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811"/>
  <workbookPr defaultThemeVersion="124226"/>
  <mc:AlternateContent xmlns:mc="http://schemas.openxmlformats.org/markup-compatibility/2006">
    <mc:Choice Requires="x15">
      <x15ac:absPath xmlns:x15ac="http://schemas.microsoft.com/office/spreadsheetml/2010/11/ac" url="S:\FERC-REG\FERC\FERC Contract &amp; Cost Analysis\2020 FERC Rate Case TO2020\June 15 Draft Posting\"/>
    </mc:Choice>
  </mc:AlternateContent>
  <xr:revisionPtr revIDLastSave="0" documentId="11_1CB0619A7B178C97EF47B0D8DDD026267067672C" xr6:coauthVersionLast="43" xr6:coauthVersionMax="43" xr10:uidLastSave="{00000000-0000-0000-0000-000000000000}"/>
  <bookViews>
    <workbookView xWindow="-30" yWindow="120" windowWidth="13470" windowHeight="11850" tabRatio="597" firstSheet="3"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5-ROR-3" sheetId="81" r:id="rId10"/>
    <sheet name="5-ROR-4" sheetId="80" r:id="rId11"/>
    <sheet name="6-PlantInService" sheetId="4" r:id="rId12"/>
    <sheet name="7-PlantStudy" sheetId="56" r:id="rId13"/>
    <sheet name="8-AccDep" sheetId="21" r:id="rId14"/>
    <sheet name="9-ADIT" sheetId="15"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'21-RevenueCredits'!$A$1:$O$253</definedName>
    <definedName name="_xlnm.Print_Area" localSheetId="15">'10-CWIP'!$A$1:$K$452</definedName>
    <definedName name="_xlnm.Print_Area" localSheetId="16">'11-PHFU'!$A$1:$F$61</definedName>
    <definedName name="_xlnm.Print_Area" localSheetId="17">'12-AbandonedPlant'!$A$1:$J$56</definedName>
    <definedName name="_xlnm.Print_Area" localSheetId="18">'13-WorkCap'!$A$1:$G$69</definedName>
    <definedName name="_xlnm.Print_Area" localSheetId="19">'14-IncentivePlant'!$A$1:$J$396</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'18-DepRates'!$A$1:$G$64</definedName>
    <definedName name="_xlnm.Print_Area" localSheetId="24">'19-OandM'!$A$1:$L$153</definedName>
    <definedName name="_xlnm.Print_Area" localSheetId="3">'1-BaseTRR'!$A$1:$K$169</definedName>
    <definedName name="_xlnm.Print_Area" localSheetId="25">'20-AandG'!$A$1:$J$103</definedName>
    <definedName name="_xlnm.Print_Area" localSheetId="26">'21-RevenueCredits'!$A$1:$O$253</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'25-WholesaleDifference'!$A$1:$J$103</definedName>
    <definedName name="_xlnm.Print_Area" localSheetId="31">'26-TaxRates'!$A$1:$H$41</definedName>
    <definedName name="_xlnm.Print_Area" localSheetId="32">'27-Allocators'!$A$1:$K$53</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'34-UnfundedReserves'!$A$1:$K$43</definedName>
    <definedName name="_xlnm.Print_Area" localSheetId="5">'3-TrueUpAdjust'!$A$1:$L$142</definedName>
    <definedName name="_xlnm.Print_Area" localSheetId="6">'4-TUTRR'!$A$1:$J$108</definedName>
    <definedName name="_xlnm.Print_Area" localSheetId="7">'5-ROR-1'!$A$1:$L$58</definedName>
    <definedName name="_xlnm.Print_Area" localSheetId="8">'5-ROR-2'!$A$1:$P$63</definedName>
    <definedName name="_xlnm.Print_Area" localSheetId="9">'5-ROR-3'!$A$1:$M$92</definedName>
    <definedName name="_xlnm.Print_Area" localSheetId="10">'5-ROR-4'!$A$1:$L$72</definedName>
    <definedName name="_xlnm.Print_Area" localSheetId="11">'6-PlantInService'!$A$1:$M$235</definedName>
    <definedName name="_xlnm.Print_Area" localSheetId="12">'7-PlantStudy'!$A$1:$G$54</definedName>
    <definedName name="_xlnm.Print_Area" localSheetId="13">'8-AccDep'!$A$1:$N$152</definedName>
    <definedName name="_xlnm.Print_Area" localSheetId="14">'9-ADIT'!$A$1:$J$185</definedName>
    <definedName name="_xlnm.Print_Area" localSheetId="1">Contents!$A$1:$D$38</definedName>
    <definedName name="_xlnm.Print_Area" localSheetId="0">Heading!$A$1:$K$13</definedName>
    <definedName name="_xlnm.Print_Area" localSheetId="2">Overview!$A$1:$I$24</definedName>
    <definedName name="_xlnm.Print_Titles" localSheetId="3">'1-BaseTRR'!$1:$6</definedName>
    <definedName name="_xlnm.Print_Titles" localSheetId="26">'21-RevenueCredits'!$1:$3</definedName>
  </definedNames>
  <calcPr calcId="152511" calcMode="manual" iterate="1" calcCompleted="0" calcOnSave="0"/>
</workbook>
</file>

<file path=xl/calcChain.xml><?xml version="1.0" encoding="utf-8"?>
<calcChain xmlns="http://schemas.openxmlformats.org/spreadsheetml/2006/main">
  <c r="D76" i="49" l="1"/>
  <c r="D77" i="49"/>
  <c r="M76" i="48" l="1"/>
  <c r="M77" i="48"/>
  <c r="M99" i="48"/>
  <c r="H76" i="48"/>
  <c r="J92" i="49"/>
  <c r="K92" i="49"/>
  <c r="K91" i="49"/>
  <c r="M68" i="48"/>
  <c r="K68" i="48"/>
  <c r="N68" i="48"/>
  <c r="N36" i="48"/>
  <c r="E71" i="61" l="1"/>
  <c r="N159" i="61" l="1"/>
  <c r="J159" i="61"/>
  <c r="M159" i="61" s="1"/>
  <c r="I159" i="61"/>
  <c r="G159" i="61"/>
  <c r="N158" i="61"/>
  <c r="J158" i="61"/>
  <c r="M158" i="61" s="1"/>
  <c r="G158" i="61"/>
  <c r="I158" i="61" s="1"/>
  <c r="N68" i="61"/>
  <c r="J68" i="61"/>
  <c r="M68" i="61" s="1"/>
  <c r="I68" i="61"/>
  <c r="G68" i="61"/>
  <c r="N67" i="61"/>
  <c r="J67" i="61"/>
  <c r="M67" i="61" s="1"/>
  <c r="G67" i="61"/>
  <c r="I67" i="61" s="1"/>
  <c r="N66" i="61"/>
  <c r="J66" i="61"/>
  <c r="M66" i="61" s="1"/>
  <c r="G66" i="61"/>
  <c r="I66" i="61" s="1"/>
  <c r="N29" i="61"/>
  <c r="J29" i="61"/>
  <c r="M29" i="61" s="1"/>
  <c r="G29" i="61"/>
  <c r="I29" i="61" s="1"/>
  <c r="E29" i="61"/>
  <c r="N28" i="61"/>
  <c r="J28" i="61"/>
  <c r="M28" i="61" s="1"/>
  <c r="G28" i="61"/>
  <c r="I28" i="61" s="1"/>
  <c r="E6" i="81" l="1"/>
  <c r="F70" i="81"/>
  <c r="K410" i="49" l="1"/>
  <c r="K179" i="49"/>
  <c r="E123" i="48" l="1"/>
  <c r="G116" i="46" l="1"/>
  <c r="G115" i="46"/>
  <c r="K21" i="46" l="1"/>
  <c r="K20" i="46"/>
  <c r="K19" i="46"/>
  <c r="K18" i="46"/>
  <c r="K17" i="46"/>
  <c r="K16" i="46"/>
  <c r="K15" i="46"/>
  <c r="K14" i="46"/>
  <c r="K13" i="46"/>
  <c r="K12" i="46"/>
  <c r="K22" i="46"/>
  <c r="K23" i="46"/>
  <c r="K24" i="46"/>
  <c r="K25" i="46"/>
  <c r="K26" i="46"/>
  <c r="K27" i="46"/>
  <c r="K28" i="46"/>
  <c r="K29" i="46"/>
  <c r="K30" i="46"/>
  <c r="K31" i="46"/>
  <c r="K32" i="46"/>
  <c r="K33" i="46"/>
  <c r="K34" i="46"/>
  <c r="K35" i="46"/>
  <c r="K36" i="46"/>
  <c r="K37" i="46"/>
  <c r="K38" i="46"/>
  <c r="K39" i="46"/>
  <c r="K40" i="46"/>
  <c r="K11" i="46"/>
  <c r="F8" i="42" l="1"/>
  <c r="K70" i="81" l="1"/>
  <c r="K24" i="81" l="1"/>
  <c r="K60" i="81"/>
  <c r="K59" i="81"/>
  <c r="K47" i="81"/>
  <c r="E42" i="30" l="1"/>
  <c r="E22" i="30" s="1"/>
  <c r="E41" i="30"/>
  <c r="D22" i="30" s="1"/>
  <c r="D52" i="2" l="1"/>
  <c r="F22" i="80" l="1"/>
  <c r="D53" i="2" l="1"/>
  <c r="E44" i="15" l="1"/>
  <c r="E43" i="15"/>
  <c r="E42" i="15"/>
  <c r="E40" i="15"/>
  <c r="E39" i="15"/>
  <c r="E82" i="15" l="1"/>
  <c r="E81" i="15"/>
  <c r="E80" i="15"/>
  <c r="E79" i="15"/>
  <c r="E78" i="15"/>
  <c r="E119" i="15" l="1"/>
  <c r="E118" i="15"/>
  <c r="E105" i="15"/>
  <c r="E104" i="15"/>
  <c r="E103" i="15"/>
  <c r="E99" i="15"/>
  <c r="F100" i="15"/>
  <c r="F77" i="15"/>
  <c r="A66" i="15" l="1"/>
  <c r="A67" i="15" s="1"/>
  <c r="A68" i="15" s="1"/>
  <c r="A71" i="15" s="1"/>
  <c r="E60" i="15"/>
  <c r="E59" i="15"/>
  <c r="E58" i="15"/>
  <c r="G45" i="15"/>
  <c r="I56" i="81" l="1"/>
  <c r="E40" i="56" l="1"/>
  <c r="H49" i="81" l="1"/>
  <c r="H48" i="81"/>
  <c r="H47" i="81"/>
  <c r="H46" i="81"/>
  <c r="H45" i="81"/>
  <c r="I41" i="81"/>
  <c r="I42" i="81"/>
  <c r="C12" i="72" l="1"/>
  <c r="F36" i="56" l="1"/>
  <c r="B184" i="71" l="1"/>
  <c r="I28" i="53" l="1"/>
  <c r="H28" i="53"/>
  <c r="G28" i="53"/>
  <c r="F28" i="53"/>
  <c r="E28" i="53"/>
  <c r="H130" i="53"/>
  <c r="E130" i="53"/>
  <c r="D130" i="53"/>
  <c r="C130" i="53"/>
  <c r="I43" i="46" l="1"/>
  <c r="E43" i="46"/>
  <c r="D43" i="46"/>
  <c r="C11" i="46"/>
  <c r="F123" i="15"/>
  <c r="E68" i="80"/>
  <c r="G60" i="80"/>
  <c r="G61" i="80"/>
  <c r="G62" i="80"/>
  <c r="G63" i="80"/>
  <c r="G64" i="80"/>
  <c r="G65" i="80"/>
  <c r="G66" i="80"/>
  <c r="G59" i="80"/>
  <c r="G68" i="80" l="1"/>
  <c r="E7" i="80" s="1"/>
  <c r="G9" i="2"/>
  <c r="H72" i="44"/>
  <c r="G72" i="44"/>
  <c r="I34" i="44"/>
  <c r="H34" i="44"/>
  <c r="L135" i="61" l="1"/>
  <c r="E135" i="61"/>
  <c r="L71" i="61"/>
  <c r="N37" i="61"/>
  <c r="M37" i="61"/>
  <c r="L37" i="61"/>
  <c r="J37" i="61"/>
  <c r="I37" i="61"/>
  <c r="H37" i="61"/>
  <c r="G37" i="61"/>
  <c r="E37" i="61"/>
  <c r="L32" i="61"/>
  <c r="H32" i="61"/>
  <c r="E32" i="61"/>
  <c r="E8" i="61"/>
  <c r="L8" i="61"/>
  <c r="H8" i="61"/>
  <c r="E207" i="61"/>
  <c r="E208" i="61" s="1"/>
  <c r="E195" i="61"/>
  <c r="E172" i="61"/>
  <c r="E167" i="61"/>
  <c r="E162" i="61"/>
  <c r="E70" i="26"/>
  <c r="F70" i="26"/>
  <c r="E63" i="26"/>
  <c r="E211" i="61" l="1"/>
  <c r="I58" i="46"/>
  <c r="E58" i="46"/>
  <c r="D58" i="46"/>
  <c r="G76" i="48" l="1"/>
  <c r="J385" i="49" l="1"/>
  <c r="H84" i="64" l="1"/>
  <c r="P55" i="48" l="1"/>
  <c r="I37" i="79" l="1"/>
  <c r="G37" i="79"/>
  <c r="F69" i="22"/>
  <c r="F63" i="22"/>
  <c r="F23" i="22"/>
  <c r="E24" i="54"/>
  <c r="D24" i="54"/>
  <c r="E155" i="49"/>
  <c r="H46" i="49"/>
  <c r="G46" i="49"/>
  <c r="F46" i="49"/>
  <c r="E46" i="49"/>
  <c r="D46" i="49"/>
  <c r="I26" i="49"/>
  <c r="H26" i="49"/>
  <c r="G26" i="49"/>
  <c r="F26" i="49"/>
  <c r="E26" i="49"/>
  <c r="D25" i="49"/>
  <c r="D24" i="49"/>
  <c r="D23" i="49"/>
  <c r="D22" i="49"/>
  <c r="D21" i="49"/>
  <c r="D20" i="49"/>
  <c r="D19" i="49"/>
  <c r="D18" i="49"/>
  <c r="D17" i="49"/>
  <c r="D16" i="49"/>
  <c r="D15" i="49"/>
  <c r="D14" i="49"/>
  <c r="D13" i="49"/>
  <c r="D26" i="49" l="1"/>
  <c r="F35" i="21"/>
  <c r="E35" i="21"/>
  <c r="D35" i="21"/>
  <c r="G34" i="21"/>
  <c r="G33" i="21"/>
  <c r="G35" i="21" s="1"/>
  <c r="N24" i="21"/>
  <c r="N12" i="21"/>
  <c r="E42" i="56"/>
  <c r="C40" i="56"/>
  <c r="C42" i="56" s="1"/>
  <c r="E26" i="56"/>
  <c r="E12" i="56"/>
  <c r="E17" i="56" s="1"/>
  <c r="C26" i="56"/>
  <c r="D17" i="56"/>
  <c r="C12" i="56"/>
  <c r="C17" i="56" s="1"/>
  <c r="M123" i="4"/>
  <c r="M122" i="4"/>
  <c r="M121" i="4"/>
  <c r="M120" i="4"/>
  <c r="M119" i="4"/>
  <c r="M118" i="4"/>
  <c r="M117" i="4"/>
  <c r="M116" i="4"/>
  <c r="M115" i="4"/>
  <c r="M114" i="4"/>
  <c r="M113" i="4"/>
  <c r="M112" i="4"/>
  <c r="M111" i="4"/>
  <c r="M84" i="4"/>
  <c r="M83" i="4"/>
  <c r="M82" i="4"/>
  <c r="M81" i="4"/>
  <c r="M80" i="4"/>
  <c r="M79" i="4"/>
  <c r="M78" i="4"/>
  <c r="M77" i="4"/>
  <c r="M76" i="4"/>
  <c r="M75" i="4"/>
  <c r="M74" i="4"/>
  <c r="M73" i="4"/>
  <c r="E12" i="81"/>
  <c r="D66" i="65"/>
  <c r="E28" i="56" l="1"/>
  <c r="C28" i="56"/>
  <c r="K108" i="1"/>
  <c r="K44" i="1"/>
  <c r="K52" i="1" s="1"/>
  <c r="B45" i="53"/>
  <c r="J29" i="28" l="1"/>
  <c r="C36" i="72"/>
  <c r="G173" i="15" l="1"/>
  <c r="G174" i="15" s="1"/>
  <c r="G165" i="15"/>
  <c r="G166" i="15" s="1"/>
  <c r="H123" i="15"/>
  <c r="G123" i="15"/>
  <c r="D123" i="15"/>
  <c r="F114" i="15"/>
  <c r="F125" i="15" s="1"/>
  <c r="D114" i="15"/>
  <c r="H86" i="15"/>
  <c r="G86" i="15"/>
  <c r="D86" i="15"/>
  <c r="F66" i="15"/>
  <c r="H64" i="15"/>
  <c r="G64" i="15"/>
  <c r="F64" i="15"/>
  <c r="D64" i="15"/>
  <c r="F54" i="15"/>
  <c r="D54" i="15"/>
  <c r="E41" i="15" l="1"/>
  <c r="H41" i="15" s="1"/>
  <c r="E35" i="15"/>
  <c r="H35" i="15" s="1"/>
  <c r="E38" i="15"/>
  <c r="H38" i="15" s="1"/>
  <c r="E36" i="15"/>
  <c r="H36" i="15" s="1"/>
  <c r="E32" i="15"/>
  <c r="H32" i="15" s="1"/>
  <c r="E34" i="15"/>
  <c r="H34" i="15" s="1"/>
  <c r="E102" i="15"/>
  <c r="H102" i="15" s="1"/>
  <c r="E31" i="15"/>
  <c r="E33" i="15"/>
  <c r="G33" i="15" s="1"/>
  <c r="E37" i="15"/>
  <c r="G37" i="15" s="1"/>
  <c r="E101" i="15"/>
  <c r="G101" i="15" s="1"/>
  <c r="D125" i="15"/>
  <c r="D66" i="15"/>
  <c r="G71" i="8"/>
  <c r="A30" i="72"/>
  <c r="E54" i="15" l="1"/>
  <c r="G31" i="15"/>
  <c r="G57" i="81"/>
  <c r="G56" i="81"/>
  <c r="J56" i="81" s="1"/>
  <c r="K56" i="81" s="1"/>
  <c r="G55" i="81"/>
  <c r="G54" i="81"/>
  <c r="G53" i="81"/>
  <c r="G52" i="81"/>
  <c r="G51" i="81"/>
  <c r="G49" i="81"/>
  <c r="G48" i="81"/>
  <c r="G47" i="81"/>
  <c r="G46" i="81"/>
  <c r="G45" i="81"/>
  <c r="G44" i="81"/>
  <c r="G43" i="81"/>
  <c r="G42" i="81"/>
  <c r="J42" i="81" s="1"/>
  <c r="K42" i="81" s="1"/>
  <c r="G41" i="81"/>
  <c r="J41" i="81" s="1"/>
  <c r="K41" i="81" s="1"/>
  <c r="G40" i="81"/>
  <c r="G39" i="81"/>
  <c r="G38" i="81"/>
  <c r="G37" i="81"/>
  <c r="G36" i="81"/>
  <c r="G35" i="81"/>
  <c r="G34" i="81"/>
  <c r="G33" i="81"/>
  <c r="G32" i="81"/>
  <c r="G30" i="81"/>
  <c r="G29" i="81"/>
  <c r="G28" i="81"/>
  <c r="G27" i="81"/>
  <c r="G26" i="81"/>
  <c r="G25" i="81"/>
  <c r="G24" i="81"/>
  <c r="F12" i="81"/>
  <c r="A13" i="28"/>
  <c r="A14" i="28" s="1"/>
  <c r="A15" i="28" s="1"/>
  <c r="A16" i="28" s="1"/>
  <c r="A17" i="28" s="1"/>
  <c r="A18" i="28" s="1"/>
  <c r="A19" i="28" s="1"/>
  <c r="A20" i="28" s="1"/>
  <c r="A12" i="28"/>
  <c r="J12" i="28"/>
  <c r="I123" i="15" l="1"/>
  <c r="N167" i="61" l="1"/>
  <c r="M167" i="61"/>
  <c r="L167" i="61"/>
  <c r="J167" i="61"/>
  <c r="I167" i="61"/>
  <c r="H167" i="61"/>
  <c r="G167" i="61"/>
  <c r="L207" i="61" l="1"/>
  <c r="N204" i="61"/>
  <c r="N203" i="61"/>
  <c r="N202" i="61"/>
  <c r="N201" i="61"/>
  <c r="N200" i="61"/>
  <c r="J204" i="61"/>
  <c r="M204" i="61" s="1"/>
  <c r="J203" i="61"/>
  <c r="M203" i="61" s="1"/>
  <c r="J202" i="61"/>
  <c r="M202" i="61" s="1"/>
  <c r="J201" i="61"/>
  <c r="M201" i="61" s="1"/>
  <c r="J200" i="61"/>
  <c r="M200" i="61" s="1"/>
  <c r="L195" i="61"/>
  <c r="H195" i="61"/>
  <c r="E196" i="61"/>
  <c r="N89" i="61"/>
  <c r="N88" i="61"/>
  <c r="N87" i="61"/>
  <c r="N86" i="61"/>
  <c r="N85" i="61"/>
  <c r="N84" i="61"/>
  <c r="N82" i="61"/>
  <c r="N81" i="61"/>
  <c r="N80" i="61"/>
  <c r="N79" i="61"/>
  <c r="N78" i="61"/>
  <c r="N77" i="61"/>
  <c r="N76" i="61"/>
  <c r="N75" i="61"/>
  <c r="N74" i="61"/>
  <c r="J89" i="61"/>
  <c r="M89" i="61" s="1"/>
  <c r="J88" i="61"/>
  <c r="M88" i="61" s="1"/>
  <c r="J87" i="61"/>
  <c r="M87" i="61" s="1"/>
  <c r="J86" i="61"/>
  <c r="M86" i="61" s="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N157" i="61"/>
  <c r="N156" i="61"/>
  <c r="N155" i="61"/>
  <c r="N154" i="61"/>
  <c r="N153" i="61"/>
  <c r="N152" i="61"/>
  <c r="N151" i="61"/>
  <c r="N150" i="61"/>
  <c r="N149" i="61"/>
  <c r="N148" i="61"/>
  <c r="N147" i="61"/>
  <c r="N146" i="61"/>
  <c r="N145" i="61"/>
  <c r="N144" i="61"/>
  <c r="N143" i="61"/>
  <c r="N142" i="61"/>
  <c r="N141" i="61"/>
  <c r="N140" i="61"/>
  <c r="N139" i="61"/>
  <c r="N138" i="61"/>
  <c r="J157" i="61"/>
  <c r="M157" i="61" s="1"/>
  <c r="J156" i="61"/>
  <c r="M156" i="61" s="1"/>
  <c r="J155" i="61"/>
  <c r="M155" i="61" s="1"/>
  <c r="J154" i="61"/>
  <c r="M154" i="61" s="1"/>
  <c r="J153" i="61"/>
  <c r="M153" i="61" s="1"/>
  <c r="J151" i="61"/>
  <c r="M151" i="61" s="1"/>
  <c r="J150" i="61"/>
  <c r="M150" i="61" s="1"/>
  <c r="J149" i="61"/>
  <c r="M149" i="61" s="1"/>
  <c r="J148" i="61"/>
  <c r="M148" i="61" s="1"/>
  <c r="J147" i="61"/>
  <c r="M147" i="61" s="1"/>
  <c r="J146" i="61"/>
  <c r="M146" i="61" s="1"/>
  <c r="J145" i="61"/>
  <c r="M145" i="61" s="1"/>
  <c r="J144" i="61"/>
  <c r="M144" i="61" s="1"/>
  <c r="J143" i="61"/>
  <c r="J142" i="61"/>
  <c r="M142" i="61" s="1"/>
  <c r="J141" i="61"/>
  <c r="M141" i="61" s="1"/>
  <c r="J140" i="61"/>
  <c r="M140" i="61" s="1"/>
  <c r="J139" i="61"/>
  <c r="M139" i="61" s="1"/>
  <c r="J138" i="61"/>
  <c r="M138" i="61" s="1"/>
  <c r="G157" i="61"/>
  <c r="I157" i="61" s="1"/>
  <c r="G156" i="61"/>
  <c r="I156" i="61" s="1"/>
  <c r="G155" i="61"/>
  <c r="I155" i="61" s="1"/>
  <c r="G154" i="61"/>
  <c r="I154" i="61" s="1"/>
  <c r="G153" i="61"/>
  <c r="I153" i="61" s="1"/>
  <c r="G152" i="61"/>
  <c r="I152" i="61" s="1"/>
  <c r="G150" i="61"/>
  <c r="I150" i="61" s="1"/>
  <c r="G149" i="61"/>
  <c r="I149" i="61" s="1"/>
  <c r="G148" i="61"/>
  <c r="I148" i="61" s="1"/>
  <c r="G147" i="61"/>
  <c r="I147" i="61" s="1"/>
  <c r="G146" i="61"/>
  <c r="I146" i="61" s="1"/>
  <c r="G145" i="61"/>
  <c r="I145" i="61" s="1"/>
  <c r="G144" i="61"/>
  <c r="G143" i="61"/>
  <c r="I143" i="61" s="1"/>
  <c r="G142" i="61"/>
  <c r="I142" i="61" s="1"/>
  <c r="G141" i="61"/>
  <c r="G140" i="61"/>
  <c r="I140" i="61" s="1"/>
  <c r="G139" i="61"/>
  <c r="I139" i="61" s="1"/>
  <c r="G138" i="61"/>
  <c r="H138" i="61" s="1"/>
  <c r="N123" i="61"/>
  <c r="N122" i="61"/>
  <c r="N121" i="61"/>
  <c r="N120" i="61"/>
  <c r="N119" i="61"/>
  <c r="N118" i="61"/>
  <c r="N117" i="61"/>
  <c r="N116" i="61"/>
  <c r="N115" i="61"/>
  <c r="N114" i="61"/>
  <c r="N113" i="61"/>
  <c r="N112" i="61"/>
  <c r="N111" i="61"/>
  <c r="N108" i="61"/>
  <c r="N107" i="61"/>
  <c r="N106" i="61"/>
  <c r="N105" i="61"/>
  <c r="N104" i="61"/>
  <c r="N103" i="61"/>
  <c r="N102" i="61"/>
  <c r="N101" i="61"/>
  <c r="J123" i="61"/>
  <c r="M123" i="61" s="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J111" i="61"/>
  <c r="M111" i="61" s="1"/>
  <c r="J110" i="61"/>
  <c r="J109" i="61"/>
  <c r="J108" i="61"/>
  <c r="M108" i="61" s="1"/>
  <c r="J107" i="61"/>
  <c r="M107" i="61" s="1"/>
  <c r="J106" i="61"/>
  <c r="M106" i="61" s="1"/>
  <c r="J105" i="61"/>
  <c r="M105" i="61" s="1"/>
  <c r="J104" i="61"/>
  <c r="M104" i="61" s="1"/>
  <c r="J103" i="61"/>
  <c r="M103" i="61" s="1"/>
  <c r="J102" i="61"/>
  <c r="M102" i="61" s="1"/>
  <c r="J101" i="61"/>
  <c r="M101" i="61" s="1"/>
  <c r="G123" i="61"/>
  <c r="I123" i="61" s="1"/>
  <c r="G122" i="61"/>
  <c r="I122" i="61" s="1"/>
  <c r="G120" i="61"/>
  <c r="I120" i="61" s="1"/>
  <c r="G119" i="61"/>
  <c r="I119" i="61" s="1"/>
  <c r="G118" i="61"/>
  <c r="I118" i="61" s="1"/>
  <c r="G117" i="61"/>
  <c r="I117" i="61" s="1"/>
  <c r="G116" i="61"/>
  <c r="I116" i="61" s="1"/>
  <c r="G115" i="61"/>
  <c r="I115" i="61" s="1"/>
  <c r="G114" i="61"/>
  <c r="I114" i="61" s="1"/>
  <c r="G113" i="61"/>
  <c r="I113" i="61" s="1"/>
  <c r="G112" i="61"/>
  <c r="I112" i="61" s="1"/>
  <c r="G111" i="61"/>
  <c r="I111" i="61" s="1"/>
  <c r="G108" i="61"/>
  <c r="I108" i="61" s="1"/>
  <c r="G107" i="61"/>
  <c r="I107" i="61" s="1"/>
  <c r="G106" i="61"/>
  <c r="I106" i="61" s="1"/>
  <c r="G105" i="61"/>
  <c r="I105" i="61" s="1"/>
  <c r="G104" i="61"/>
  <c r="I104" i="61" s="1"/>
  <c r="G103" i="61"/>
  <c r="I103" i="61" s="1"/>
  <c r="G102" i="61"/>
  <c r="I102" i="61" s="1"/>
  <c r="G101" i="61"/>
  <c r="I101" i="61" s="1"/>
  <c r="G100" i="61"/>
  <c r="G99" i="61"/>
  <c r="G98" i="61"/>
  <c r="G97" i="61"/>
  <c r="G96" i="61"/>
  <c r="G95" i="61"/>
  <c r="G94" i="61"/>
  <c r="G93" i="61"/>
  <c r="G92" i="61"/>
  <c r="G91" i="61"/>
  <c r="G90" i="61"/>
  <c r="G89" i="61"/>
  <c r="I89" i="61" s="1"/>
  <c r="G88" i="61"/>
  <c r="I88" i="61" s="1"/>
  <c r="G87" i="61"/>
  <c r="I87" i="61" s="1"/>
  <c r="G86" i="61"/>
  <c r="I86" i="61" s="1"/>
  <c r="G85" i="61"/>
  <c r="I85" i="61" s="1"/>
  <c r="G84" i="61"/>
  <c r="I84" i="61" s="1"/>
  <c r="G82" i="61"/>
  <c r="G81" i="61"/>
  <c r="I81" i="61" s="1"/>
  <c r="G80" i="61"/>
  <c r="I80" i="61" s="1"/>
  <c r="G79" i="61"/>
  <c r="I79" i="61" s="1"/>
  <c r="G78" i="61"/>
  <c r="I78" i="61" s="1"/>
  <c r="G77" i="61"/>
  <c r="I77" i="61" s="1"/>
  <c r="G76" i="61"/>
  <c r="I76" i="61" s="1"/>
  <c r="G75" i="61"/>
  <c r="I75" i="61" s="1"/>
  <c r="G74" i="61"/>
  <c r="N63" i="61"/>
  <c r="N62" i="61"/>
  <c r="N61" i="61"/>
  <c r="N60" i="61"/>
  <c r="N59" i="61"/>
  <c r="J63" i="61"/>
  <c r="M63" i="61" s="1"/>
  <c r="J60" i="61"/>
  <c r="M60" i="61" s="1"/>
  <c r="J59" i="61"/>
  <c r="M59" i="61" s="1"/>
  <c r="J62" i="61"/>
  <c r="M62" i="61" s="1"/>
  <c r="N57" i="61"/>
  <c r="N56" i="61"/>
  <c r="N55" i="61"/>
  <c r="N54" i="61"/>
  <c r="N53" i="61"/>
  <c r="J57" i="61"/>
  <c r="J56" i="61"/>
  <c r="J55" i="61"/>
  <c r="J54" i="61"/>
  <c r="J53" i="61"/>
  <c r="G121" i="61"/>
  <c r="I121" i="61" s="1"/>
  <c r="I74" i="61" l="1"/>
  <c r="N207" i="61"/>
  <c r="M207" i="61"/>
  <c r="J207" i="61"/>
  <c r="I138" i="61"/>
  <c r="I141" i="61"/>
  <c r="M74" i="61"/>
  <c r="G53" i="61" l="1"/>
  <c r="N52" i="61" l="1"/>
  <c r="H52" i="61"/>
  <c r="H51" i="61"/>
  <c r="N51" i="61" s="1"/>
  <c r="G63" i="61" l="1"/>
  <c r="I63" i="61" s="1"/>
  <c r="G62" i="61"/>
  <c r="I62" i="61" s="1"/>
  <c r="G61" i="61"/>
  <c r="I61" i="61" s="1"/>
  <c r="G59" i="61"/>
  <c r="I59" i="61" s="1"/>
  <c r="G58" i="61"/>
  <c r="G57" i="61"/>
  <c r="I57" i="61" s="1"/>
  <c r="G56" i="61"/>
  <c r="I56" i="61" s="1"/>
  <c r="G55" i="61"/>
  <c r="I55" i="61" s="1"/>
  <c r="G54" i="61"/>
  <c r="I54" i="61" s="1"/>
  <c r="J51" i="61" l="1"/>
  <c r="M51" i="61" s="1"/>
  <c r="N43" i="61"/>
  <c r="N42" i="61"/>
  <c r="N41" i="61"/>
  <c r="N40" i="61"/>
  <c r="J40" i="61"/>
  <c r="G51" i="61"/>
  <c r="G43" i="61"/>
  <c r="I43" i="61" s="1"/>
  <c r="G42" i="61"/>
  <c r="I42" i="61" s="1"/>
  <c r="G41" i="61"/>
  <c r="I41" i="61" s="1"/>
  <c r="G40" i="61"/>
  <c r="N130" i="61"/>
  <c r="G130" i="61"/>
  <c r="I130" i="61" s="1"/>
  <c r="J130" i="61"/>
  <c r="M130" i="61" s="1"/>
  <c r="I40" i="61" l="1"/>
  <c r="M40" i="61"/>
  <c r="N129" i="61" l="1"/>
  <c r="N128" i="61"/>
  <c r="N126" i="61"/>
  <c r="N125" i="61"/>
  <c r="N124" i="61"/>
  <c r="H127" i="61"/>
  <c r="N127" i="61" s="1"/>
  <c r="J124" i="61"/>
  <c r="M124" i="61" s="1"/>
  <c r="J125" i="61"/>
  <c r="M125" i="61" s="1"/>
  <c r="J126" i="61"/>
  <c r="M126" i="61" s="1"/>
  <c r="J127" i="61"/>
  <c r="M127" i="61" s="1"/>
  <c r="J128" i="61"/>
  <c r="M128" i="61" s="1"/>
  <c r="J129" i="61"/>
  <c r="M129" i="61" s="1"/>
  <c r="G124" i="61"/>
  <c r="I124" i="61" s="1"/>
  <c r="G125" i="61"/>
  <c r="I125" i="61" s="1"/>
  <c r="G126" i="61"/>
  <c r="I126" i="61" s="1"/>
  <c r="G128" i="61"/>
  <c r="I128" i="61" s="1"/>
  <c r="G129" i="61"/>
  <c r="H129" i="61" l="1"/>
  <c r="I129" i="61" s="1"/>
  <c r="L162" i="61"/>
  <c r="H49" i="61" l="1"/>
  <c r="J48" i="61"/>
  <c r="G48" i="61"/>
  <c r="I48" i="61" s="1"/>
  <c r="N27" i="61"/>
  <c r="N26" i="61"/>
  <c r="N25" i="61"/>
  <c r="N24" i="61"/>
  <c r="N23" i="61"/>
  <c r="N22" i="61"/>
  <c r="N21" i="61"/>
  <c r="J27" i="61"/>
  <c r="M27" i="61" s="1"/>
  <c r="J26" i="61"/>
  <c r="M26" i="61" s="1"/>
  <c r="J25" i="61"/>
  <c r="M25" i="61" s="1"/>
  <c r="J24" i="61"/>
  <c r="M24" i="61" s="1"/>
  <c r="J23" i="61"/>
  <c r="M23" i="61" s="1"/>
  <c r="J22" i="61"/>
  <c r="M22" i="61" s="1"/>
  <c r="J21" i="61"/>
  <c r="M21" i="61" s="1"/>
  <c r="G27" i="61"/>
  <c r="I27" i="61" s="1"/>
  <c r="G26" i="61"/>
  <c r="I26" i="61" s="1"/>
  <c r="G25" i="61"/>
  <c r="I25" i="61" s="1"/>
  <c r="G24" i="61"/>
  <c r="I24" i="61" s="1"/>
  <c r="G23" i="61"/>
  <c r="I23" i="61" s="1"/>
  <c r="G22" i="61"/>
  <c r="I22" i="61" s="1"/>
  <c r="G21" i="61"/>
  <c r="I21" i="61" s="1"/>
  <c r="G49" i="61" l="1"/>
  <c r="N49" i="61"/>
  <c r="N19" i="61"/>
  <c r="J19" i="61"/>
  <c r="M19" i="61" s="1"/>
  <c r="G19" i="61"/>
  <c r="H204" i="61" l="1"/>
  <c r="H207" i="61" s="1"/>
  <c r="G204" i="61"/>
  <c r="G203" i="61"/>
  <c r="G202" i="61"/>
  <c r="G201" i="61"/>
  <c r="G200" i="61"/>
  <c r="J190" i="61"/>
  <c r="M190" i="61" s="1"/>
  <c r="J189" i="61"/>
  <c r="M189" i="61" s="1"/>
  <c r="J188" i="61"/>
  <c r="M188" i="61" s="1"/>
  <c r="J187" i="61"/>
  <c r="M187" i="61" s="1"/>
  <c r="J186" i="61"/>
  <c r="M186" i="61" s="1"/>
  <c r="J185" i="61"/>
  <c r="M185" i="61" s="1"/>
  <c r="J184" i="61"/>
  <c r="M184" i="61" s="1"/>
  <c r="J183" i="61"/>
  <c r="M183" i="61" s="1"/>
  <c r="J182" i="61"/>
  <c r="M182" i="61" s="1"/>
  <c r="J181" i="61"/>
  <c r="M181" i="61" s="1"/>
  <c r="J180" i="61"/>
  <c r="M180" i="61" s="1"/>
  <c r="J179" i="61"/>
  <c r="M179" i="61" s="1"/>
  <c r="J178" i="61"/>
  <c r="M178" i="61" s="1"/>
  <c r="J177" i="61"/>
  <c r="M177" i="61" s="1"/>
  <c r="J176" i="61"/>
  <c r="G190" i="61"/>
  <c r="I190" i="61" s="1"/>
  <c r="G189" i="61"/>
  <c r="I189" i="61" s="1"/>
  <c r="G188" i="61"/>
  <c r="I188" i="61" s="1"/>
  <c r="G187" i="61"/>
  <c r="I187" i="61" s="1"/>
  <c r="G186" i="61"/>
  <c r="I186" i="61" s="1"/>
  <c r="G185" i="61"/>
  <c r="I185" i="61" s="1"/>
  <c r="G184" i="61"/>
  <c r="I184" i="61" s="1"/>
  <c r="G183" i="61"/>
  <c r="I183" i="61" s="1"/>
  <c r="G182" i="61"/>
  <c r="I182" i="61" s="1"/>
  <c r="G181" i="61"/>
  <c r="I181" i="61" s="1"/>
  <c r="G180" i="61"/>
  <c r="I180" i="61" s="1"/>
  <c r="G179" i="61"/>
  <c r="I179" i="61" s="1"/>
  <c r="G178" i="61"/>
  <c r="I178" i="61" s="1"/>
  <c r="G177" i="61"/>
  <c r="I177" i="61" s="1"/>
  <c r="G176" i="61"/>
  <c r="G110" i="61"/>
  <c r="I110" i="61" s="1"/>
  <c r="G109" i="61"/>
  <c r="I109" i="61" s="1"/>
  <c r="N100" i="61"/>
  <c r="N99" i="61"/>
  <c r="N98" i="61"/>
  <c r="N97" i="61"/>
  <c r="N96" i="61"/>
  <c r="N95" i="61"/>
  <c r="N94" i="61"/>
  <c r="N93" i="61"/>
  <c r="N92" i="61"/>
  <c r="N91" i="61"/>
  <c r="J100" i="61"/>
  <c r="M100" i="61" s="1"/>
  <c r="J99" i="61"/>
  <c r="M99" i="61" s="1"/>
  <c r="J98" i="61"/>
  <c r="M98" i="61" s="1"/>
  <c r="J97" i="61"/>
  <c r="M97" i="61" s="1"/>
  <c r="J96" i="61"/>
  <c r="M96" i="61" s="1"/>
  <c r="J95" i="61"/>
  <c r="M95" i="61" s="1"/>
  <c r="J94" i="61"/>
  <c r="M94" i="61" s="1"/>
  <c r="J93" i="61"/>
  <c r="M93" i="61" s="1"/>
  <c r="J92" i="61"/>
  <c r="M92" i="61" s="1"/>
  <c r="J91" i="61"/>
  <c r="M91" i="61" s="1"/>
  <c r="I100" i="61"/>
  <c r="I99" i="61"/>
  <c r="I98" i="61"/>
  <c r="I97" i="61"/>
  <c r="I96" i="61"/>
  <c r="I95" i="61"/>
  <c r="I94" i="61"/>
  <c r="I93" i="61"/>
  <c r="I92" i="61"/>
  <c r="I91" i="61"/>
  <c r="I90" i="61"/>
  <c r="N90" i="61"/>
  <c r="J90" i="61"/>
  <c r="N58" i="61"/>
  <c r="N44" i="61"/>
  <c r="N20" i="61"/>
  <c r="J135" i="61" l="1"/>
  <c r="I204" i="61"/>
  <c r="M176" i="61"/>
  <c r="M195" i="61" s="1"/>
  <c r="J195" i="61"/>
  <c r="G207" i="61"/>
  <c r="G195" i="61"/>
  <c r="M90" i="61"/>
  <c r="I176" i="61"/>
  <c r="I195" i="61" s="1"/>
  <c r="N176" i="61" l="1"/>
  <c r="A119" i="15"/>
  <c r="A120" i="15" s="1"/>
  <c r="E123" i="15" l="1"/>
  <c r="J18" i="61"/>
  <c r="M18" i="61" s="1"/>
  <c r="N189" i="61" l="1"/>
  <c r="N190" i="61"/>
  <c r="G12" i="61" l="1"/>
  <c r="J64" i="61" l="1"/>
  <c r="M64" i="61" s="1"/>
  <c r="H65" i="61"/>
  <c r="H64" i="61"/>
  <c r="J65" i="61"/>
  <c r="M65" i="61" s="1"/>
  <c r="G64" i="61" l="1"/>
  <c r="N64" i="61"/>
  <c r="G65" i="61"/>
  <c r="N65" i="61"/>
  <c r="I55" i="81" l="1"/>
  <c r="I57" i="81"/>
  <c r="I49" i="81"/>
  <c r="J57" i="81" l="1"/>
  <c r="K57" i="81" s="1"/>
  <c r="J49" i="81"/>
  <c r="K49" i="81" s="1"/>
  <c r="J55" i="81"/>
  <c r="K55" i="81" s="1"/>
  <c r="F86" i="15" l="1"/>
  <c r="A59" i="15"/>
  <c r="A60" i="15" s="1"/>
  <c r="E86" i="15" l="1"/>
  <c r="G60" i="61"/>
  <c r="I60" i="61" s="1"/>
  <c r="J61" i="61"/>
  <c r="M61" i="61" s="1"/>
  <c r="J58" i="61" l="1"/>
  <c r="M58" i="61" s="1"/>
  <c r="F39" i="56"/>
  <c r="H321" i="11" l="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J419" i="49" l="1"/>
  <c r="K419" i="49" s="1"/>
  <c r="J420" i="49"/>
  <c r="K420" i="49" s="1"/>
  <c r="J421" i="49" l="1"/>
  <c r="K421" i="49" s="1"/>
  <c r="J422" i="49" l="1"/>
  <c r="K422" i="49" s="1"/>
  <c r="J423" i="49" l="1"/>
  <c r="K423" i="49" s="1"/>
  <c r="J424" i="49" l="1"/>
  <c r="K424" i="49" s="1"/>
  <c r="J425" i="49" l="1"/>
  <c r="K425" i="49" s="1"/>
  <c r="J426" i="49" l="1"/>
  <c r="K426" i="49" s="1"/>
  <c r="J427" i="49" l="1"/>
  <c r="K427" i="49" s="1"/>
  <c r="J428" i="49" l="1"/>
  <c r="K428" i="49" s="1"/>
  <c r="J429" i="49" l="1"/>
  <c r="K429" i="49" s="1"/>
  <c r="J430" i="49" l="1"/>
  <c r="K430" i="49" s="1"/>
  <c r="J431" i="49" l="1"/>
  <c r="K431" i="49" s="1"/>
  <c r="J432" i="49" l="1"/>
  <c r="K432" i="49" s="1"/>
  <c r="J433" i="49" l="1"/>
  <c r="K433" i="49" s="1"/>
  <c r="J434" i="49" l="1"/>
  <c r="K434" i="49" s="1"/>
  <c r="J435" i="49" l="1"/>
  <c r="K435" i="49" s="1"/>
  <c r="J436" i="49" l="1"/>
  <c r="K436" i="49" s="1"/>
  <c r="J437" i="49" l="1"/>
  <c r="K437" i="49" s="1"/>
  <c r="J438" i="49" l="1"/>
  <c r="K438" i="49" s="1"/>
  <c r="J439" i="49" l="1"/>
  <c r="K439" i="49" s="1"/>
  <c r="J440" i="49" l="1"/>
  <c r="K440" i="49" s="1"/>
  <c r="J441" i="49" l="1"/>
  <c r="K441" i="49" s="1"/>
  <c r="J442" i="49" l="1"/>
  <c r="K442" i="49" s="1"/>
  <c r="K443" i="49" l="1"/>
  <c r="F19" i="71" s="1"/>
  <c r="E35" i="11"/>
  <c r="F35" i="11"/>
  <c r="F6" i="81" l="1"/>
  <c r="A78" i="15" l="1"/>
  <c r="A10" i="28" l="1"/>
  <c r="A11" i="28" s="1"/>
  <c r="I63" i="1" s="1"/>
  <c r="C40" i="72"/>
  <c r="C38" i="72"/>
  <c r="C34" i="72"/>
  <c r="L29" i="28" s="1"/>
  <c r="C32" i="72"/>
  <c r="C30" i="72"/>
  <c r="C28" i="72"/>
  <c r="C26" i="72"/>
  <c r="C24" i="72"/>
  <c r="C22" i="72"/>
  <c r="C20" i="72"/>
  <c r="C18" i="72"/>
  <c r="C16" i="72"/>
  <c r="L12" i="28" s="1"/>
  <c r="C14" i="72"/>
  <c r="A12" i="72"/>
  <c r="A14" i="72" s="1"/>
  <c r="A16" i="72" s="1"/>
  <c r="A18" i="72" s="1"/>
  <c r="A20" i="72" s="1"/>
  <c r="A22" i="72" s="1"/>
  <c r="A24" i="72" s="1"/>
  <c r="A26" i="72" s="1"/>
  <c r="A28" i="72" s="1"/>
  <c r="A32" i="72" s="1"/>
  <c r="C10" i="72"/>
  <c r="A10" i="72"/>
  <c r="C8" i="72"/>
  <c r="L31" i="28" l="1"/>
  <c r="L25" i="28"/>
  <c r="A34" i="72"/>
  <c r="A38" i="72" s="1"/>
  <c r="A40" i="72" s="1"/>
  <c r="J31" i="28"/>
  <c r="M45" i="48"/>
  <c r="J33" i="28" l="1"/>
  <c r="J32" i="28"/>
  <c r="J30" i="28"/>
  <c r="J25" i="28"/>
  <c r="J24" i="28"/>
  <c r="J23" i="28"/>
  <c r="J19" i="28"/>
  <c r="J18" i="28"/>
  <c r="J15" i="28"/>
  <c r="J14" i="28"/>
  <c r="J13" i="28"/>
  <c r="J11" i="28"/>
  <c r="J10" i="28"/>
  <c r="J9" i="28"/>
  <c r="J8" i="28"/>
  <c r="L33" i="28"/>
  <c r="L32" i="28"/>
  <c r="L30" i="28"/>
  <c r="L24" i="28"/>
  <c r="L23" i="28"/>
  <c r="L19" i="28"/>
  <c r="L18" i="28"/>
  <c r="L15" i="28"/>
  <c r="L14" i="28"/>
  <c r="L13" i="28"/>
  <c r="L11" i="28"/>
  <c r="L10" i="28"/>
  <c r="L9" i="28"/>
  <c r="L8" i="28"/>
  <c r="A9" i="28"/>
  <c r="L34" i="28" l="1"/>
  <c r="K73" i="1" s="1"/>
  <c r="L26" i="28"/>
  <c r="K68" i="1" s="1"/>
  <c r="A23" i="28" l="1"/>
  <c r="J20" i="28"/>
  <c r="J17" i="28"/>
  <c r="I30" i="28" l="1"/>
  <c r="A24" i="28"/>
  <c r="A25" i="28" s="1"/>
  <c r="J26" i="28" s="1"/>
  <c r="A26" i="28" l="1"/>
  <c r="I31" i="28"/>
  <c r="I68" i="1" l="1"/>
  <c r="A29" i="28"/>
  <c r="A61" i="80"/>
  <c r="A62" i="80" s="1"/>
  <c r="A63" i="80" s="1"/>
  <c r="A64" i="80" s="1"/>
  <c r="A65" i="80" s="1"/>
  <c r="A66" i="80" s="1"/>
  <c r="A67" i="80" s="1"/>
  <c r="A68" i="80" s="1"/>
  <c r="A60" i="80"/>
  <c r="A42" i="80"/>
  <c r="A43" i="80" s="1"/>
  <c r="A44" i="80" s="1"/>
  <c r="A45" i="80" s="1"/>
  <c r="A46" i="80" s="1"/>
  <c r="A47" i="80" s="1"/>
  <c r="A48" i="80" s="1"/>
  <c r="A49" i="80" s="1"/>
  <c r="A50" i="80" s="1"/>
  <c r="A51" i="80" s="1"/>
  <c r="F31" i="80"/>
  <c r="G31" i="80" s="1"/>
  <c r="H31" i="80" s="1"/>
  <c r="F30" i="80"/>
  <c r="G30" i="80" s="1"/>
  <c r="H30" i="80" s="1"/>
  <c r="F29" i="80"/>
  <c r="G29" i="80" s="1"/>
  <c r="H29" i="80" s="1"/>
  <c r="F28" i="80"/>
  <c r="G28" i="80" s="1"/>
  <c r="F27" i="80"/>
  <c r="G27" i="80" s="1"/>
  <c r="F26" i="80"/>
  <c r="G26" i="80" s="1"/>
  <c r="F25" i="80"/>
  <c r="G25" i="80" s="1"/>
  <c r="H25" i="80" s="1"/>
  <c r="I25" i="80" s="1"/>
  <c r="J25" i="80" s="1"/>
  <c r="F24" i="80"/>
  <c r="G24" i="80" s="1"/>
  <c r="H24" i="80" s="1"/>
  <c r="I24" i="80" s="1"/>
  <c r="J24" i="80" s="1"/>
  <c r="F23" i="80"/>
  <c r="G23" i="80" s="1"/>
  <c r="H23" i="80" s="1"/>
  <c r="I23" i="80" s="1"/>
  <c r="J23" i="80" s="1"/>
  <c r="A23" i="80"/>
  <c r="A24" i="80" s="1"/>
  <c r="A25" i="80" s="1"/>
  <c r="A26" i="80" s="1"/>
  <c r="A27" i="80" s="1"/>
  <c r="A28" i="80" s="1"/>
  <c r="A29" i="80" s="1"/>
  <c r="A30" i="80" s="1"/>
  <c r="A31" i="80" s="1"/>
  <c r="A32" i="80" s="1"/>
  <c r="A33" i="80" s="1"/>
  <c r="F6" i="80" s="1"/>
  <c r="G22" i="80"/>
  <c r="H22" i="80" s="1"/>
  <c r="I22" i="80" s="1"/>
  <c r="J22" i="80" s="1"/>
  <c r="E11" i="80"/>
  <c r="E12" i="80" s="1"/>
  <c r="A8" i="80"/>
  <c r="A9" i="80" s="1"/>
  <c r="A10" i="80" s="1"/>
  <c r="A11" i="80" s="1"/>
  <c r="A12" i="80" s="1"/>
  <c r="A13" i="80" s="1"/>
  <c r="A14" i="80" s="1"/>
  <c r="I70" i="1" s="1"/>
  <c r="A7" i="80"/>
  <c r="F79" i="81"/>
  <c r="E11" i="81" s="1"/>
  <c r="F11" i="81"/>
  <c r="I54" i="81"/>
  <c r="I53" i="81"/>
  <c r="I52" i="81"/>
  <c r="I51" i="81"/>
  <c r="I48" i="81"/>
  <c r="I47" i="81"/>
  <c r="I46" i="81"/>
  <c r="I45" i="81"/>
  <c r="I44" i="81"/>
  <c r="I43" i="81"/>
  <c r="I40" i="81"/>
  <c r="I39" i="81"/>
  <c r="I38" i="81"/>
  <c r="I37" i="81"/>
  <c r="I36" i="81"/>
  <c r="I35" i="81"/>
  <c r="I34" i="81"/>
  <c r="I33" i="81"/>
  <c r="I32" i="81"/>
  <c r="I30" i="81"/>
  <c r="I29" i="81"/>
  <c r="I28" i="81"/>
  <c r="I27" i="81"/>
  <c r="I26" i="81"/>
  <c r="I25" i="81"/>
  <c r="A25" i="8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I24" i="81"/>
  <c r="F10" i="81"/>
  <c r="E10" i="81"/>
  <c r="A7" i="81"/>
  <c r="A8" i="81" s="1"/>
  <c r="A9" i="81" s="1"/>
  <c r="A10" i="81" s="1"/>
  <c r="A11" i="81" s="1"/>
  <c r="A12" i="81" s="1"/>
  <c r="A13" i="81" s="1"/>
  <c r="A14" i="81" s="1"/>
  <c r="A15" i="81" s="1"/>
  <c r="H28" i="80" l="1"/>
  <c r="H27" i="80"/>
  <c r="H26" i="80"/>
  <c r="A16" i="81"/>
  <c r="A17" i="81" s="1"/>
  <c r="I65" i="1" s="1"/>
  <c r="A30" i="28"/>
  <c r="A31" i="28" s="1"/>
  <c r="A32" i="28" s="1"/>
  <c r="A33" i="28" s="1"/>
  <c r="A34" i="28" s="1"/>
  <c r="I73" i="1" s="1"/>
  <c r="J34" i="28"/>
  <c r="A56" i="81"/>
  <c r="A57" i="81" s="1"/>
  <c r="A58" i="81" s="1"/>
  <c r="A59" i="81" s="1"/>
  <c r="A60" i="81" s="1"/>
  <c r="J24" i="81"/>
  <c r="J27" i="81"/>
  <c r="K27" i="81" s="1"/>
  <c r="J29" i="81"/>
  <c r="K29" i="81" s="1"/>
  <c r="J43" i="81"/>
  <c r="K43" i="81" s="1"/>
  <c r="J45" i="81"/>
  <c r="K45" i="81" s="1"/>
  <c r="J51" i="81"/>
  <c r="K51" i="81" s="1"/>
  <c r="J26" i="81"/>
  <c r="K26" i="81" s="1"/>
  <c r="J35" i="81"/>
  <c r="K35" i="81" s="1"/>
  <c r="J37" i="81"/>
  <c r="K37" i="81" s="1"/>
  <c r="J28" i="81"/>
  <c r="K28" i="81" s="1"/>
  <c r="J44" i="81"/>
  <c r="K44" i="81" s="1"/>
  <c r="J52" i="81"/>
  <c r="K52" i="81" s="1"/>
  <c r="J53" i="81"/>
  <c r="K53" i="81" s="1"/>
  <c r="J30" i="81"/>
  <c r="K30" i="81" s="1"/>
  <c r="J39" i="81"/>
  <c r="K39" i="81" s="1"/>
  <c r="J25" i="81"/>
  <c r="K25" i="81" s="1"/>
  <c r="J32" i="81"/>
  <c r="K32" i="81" s="1"/>
  <c r="J33" i="81"/>
  <c r="K33" i="81" s="1"/>
  <c r="J48" i="81"/>
  <c r="K48" i="81" s="1"/>
  <c r="F11" i="80"/>
  <c r="F7" i="80"/>
  <c r="J34" i="81"/>
  <c r="K34" i="81" s="1"/>
  <c r="J36" i="81"/>
  <c r="K36" i="81" s="1"/>
  <c r="J38" i="81"/>
  <c r="K38" i="81" s="1"/>
  <c r="J40" i="81"/>
  <c r="K40" i="81" s="1"/>
  <c r="J46" i="81"/>
  <c r="K46" i="81" s="1"/>
  <c r="J54" i="81"/>
  <c r="K54" i="81" s="1"/>
  <c r="J33" i="80" l="1"/>
  <c r="E6" i="80" s="1"/>
  <c r="E8" i="80" s="1"/>
  <c r="E8" i="81" l="1"/>
  <c r="E14" i="80"/>
  <c r="K70" i="1" s="1"/>
  <c r="K69" i="1" s="1"/>
  <c r="E139" i="15"/>
  <c r="J139" i="15" s="1"/>
  <c r="H139" i="15"/>
  <c r="G139" i="15"/>
  <c r="G140" i="15" s="1"/>
  <c r="H140" i="15" s="1"/>
  <c r="G141" i="15" l="1"/>
  <c r="H141" i="15" s="1"/>
  <c r="G25" i="46"/>
  <c r="G142" i="15" l="1"/>
  <c r="H142" i="15" s="1"/>
  <c r="G143" i="15" l="1"/>
  <c r="H143" i="15" s="1"/>
  <c r="G144" i="15" l="1"/>
  <c r="H144" i="15" s="1"/>
  <c r="F102" i="8"/>
  <c r="F97" i="8"/>
  <c r="G145" i="15" l="1"/>
  <c r="H145" i="15" s="1"/>
  <c r="G146" i="15" l="1"/>
  <c r="H146" i="15" s="1"/>
  <c r="G147" i="15" l="1"/>
  <c r="H147" i="15" s="1"/>
  <c r="E6" i="66"/>
  <c r="E12" i="66"/>
  <c r="E18" i="66"/>
  <c r="G148" i="15" l="1"/>
  <c r="H148" i="15" s="1"/>
  <c r="G149" i="15" l="1"/>
  <c r="H149" i="15" s="1"/>
  <c r="G150" i="15" l="1"/>
  <c r="H150" i="15" s="1"/>
  <c r="B145" i="21"/>
  <c r="M106" i="21"/>
  <c r="L106" i="21"/>
  <c r="K106" i="21"/>
  <c r="J106" i="21"/>
  <c r="I106" i="21"/>
  <c r="H106" i="21"/>
  <c r="G106" i="21"/>
  <c r="F106" i="21"/>
  <c r="E106" i="21"/>
  <c r="D106" i="21"/>
  <c r="E45" i="21"/>
  <c r="F58" i="21" s="1"/>
  <c r="E44" i="21"/>
  <c r="A35" i="21"/>
  <c r="A44" i="21" s="1"/>
  <c r="A13" i="21"/>
  <c r="A14" i="21" s="1"/>
  <c r="A15" i="21" s="1"/>
  <c r="A16" i="21" s="1"/>
  <c r="A17" i="21" s="1"/>
  <c r="A18" i="21" s="1"/>
  <c r="A19" i="21" s="1"/>
  <c r="A20" i="21" s="1"/>
  <c r="A21" i="21" s="1"/>
  <c r="A22" i="21" s="1"/>
  <c r="A23" i="21" s="1"/>
  <c r="A24" i="21" s="1"/>
  <c r="E46" i="21" l="1"/>
  <c r="F51" i="21" s="1"/>
  <c r="N106" i="21"/>
  <c r="G151" i="15"/>
  <c r="H151" i="15" s="1"/>
  <c r="B148" i="21"/>
  <c r="A25" i="21"/>
  <c r="A33" i="21" s="1"/>
  <c r="H46" i="21"/>
  <c r="A45" i="21"/>
  <c r="E23" i="4"/>
  <c r="F23" i="4"/>
  <c r="G23" i="4"/>
  <c r="H23" i="4"/>
  <c r="I23" i="4"/>
  <c r="J23" i="4"/>
  <c r="K23" i="4"/>
  <c r="L23" i="4"/>
  <c r="L85" i="4"/>
  <c r="K85" i="4"/>
  <c r="J85" i="4"/>
  <c r="I85" i="4"/>
  <c r="H85" i="4"/>
  <c r="G85" i="4"/>
  <c r="F85" i="4"/>
  <c r="E85" i="4"/>
  <c r="D92" i="4"/>
  <c r="M85" i="4" l="1"/>
  <c r="B144" i="21"/>
  <c r="H35" i="21"/>
  <c r="G58" i="21"/>
  <c r="A46" i="21"/>
  <c r="D182" i="4"/>
  <c r="C182" i="4"/>
  <c r="L141" i="4"/>
  <c r="K141" i="4"/>
  <c r="J141" i="4"/>
  <c r="I141" i="4"/>
  <c r="H141" i="4"/>
  <c r="G141" i="4"/>
  <c r="F141" i="4"/>
  <c r="E141" i="4"/>
  <c r="D141" i="4"/>
  <c r="C141" i="4"/>
  <c r="L140" i="4"/>
  <c r="K140" i="4"/>
  <c r="J140" i="4"/>
  <c r="I140" i="4"/>
  <c r="H140" i="4"/>
  <c r="G140" i="4"/>
  <c r="F140" i="4"/>
  <c r="E140" i="4"/>
  <c r="D140" i="4"/>
  <c r="C140" i="4"/>
  <c r="L139" i="4"/>
  <c r="K139" i="4"/>
  <c r="J139" i="4"/>
  <c r="I139" i="4"/>
  <c r="H139" i="4"/>
  <c r="G139" i="4"/>
  <c r="F139" i="4"/>
  <c r="E139" i="4"/>
  <c r="D139" i="4"/>
  <c r="C139" i="4"/>
  <c r="L138" i="4"/>
  <c r="K138" i="4"/>
  <c r="J138" i="4"/>
  <c r="I138" i="4"/>
  <c r="H138" i="4"/>
  <c r="G138" i="4"/>
  <c r="F138" i="4"/>
  <c r="E138" i="4"/>
  <c r="D138" i="4"/>
  <c r="C138" i="4"/>
  <c r="L137" i="4"/>
  <c r="K137" i="4"/>
  <c r="J137" i="4"/>
  <c r="I137" i="4"/>
  <c r="H137" i="4"/>
  <c r="G137" i="4"/>
  <c r="F137" i="4"/>
  <c r="E137" i="4"/>
  <c r="D137" i="4"/>
  <c r="C137" i="4"/>
  <c r="L136" i="4"/>
  <c r="K136" i="4"/>
  <c r="J136" i="4"/>
  <c r="I136" i="4"/>
  <c r="H136" i="4"/>
  <c r="G136" i="4"/>
  <c r="F136" i="4"/>
  <c r="E136" i="4"/>
  <c r="D136" i="4"/>
  <c r="C136" i="4"/>
  <c r="L135" i="4"/>
  <c r="K135" i="4"/>
  <c r="J135" i="4"/>
  <c r="I135" i="4"/>
  <c r="H135" i="4"/>
  <c r="G135" i="4"/>
  <c r="F135" i="4"/>
  <c r="E135" i="4"/>
  <c r="D135" i="4"/>
  <c r="C135" i="4"/>
  <c r="L134" i="4"/>
  <c r="K134" i="4"/>
  <c r="J134" i="4"/>
  <c r="I134" i="4"/>
  <c r="H134" i="4"/>
  <c r="G134" i="4"/>
  <c r="F134" i="4"/>
  <c r="E134" i="4"/>
  <c r="D134" i="4"/>
  <c r="C134" i="4"/>
  <c r="L133" i="4"/>
  <c r="K133" i="4"/>
  <c r="J133" i="4"/>
  <c r="I133" i="4"/>
  <c r="H133" i="4"/>
  <c r="G133" i="4"/>
  <c r="F133" i="4"/>
  <c r="E133" i="4"/>
  <c r="D133" i="4"/>
  <c r="C133" i="4"/>
  <c r="L132" i="4"/>
  <c r="K132" i="4"/>
  <c r="J132" i="4"/>
  <c r="I132" i="4"/>
  <c r="H132" i="4"/>
  <c r="G132" i="4"/>
  <c r="F132" i="4"/>
  <c r="E132" i="4"/>
  <c r="D132" i="4"/>
  <c r="C132" i="4"/>
  <c r="L131" i="4"/>
  <c r="K131" i="4"/>
  <c r="J131" i="4"/>
  <c r="I131" i="4"/>
  <c r="H131" i="4"/>
  <c r="G131" i="4"/>
  <c r="F131" i="4"/>
  <c r="E131" i="4"/>
  <c r="D131" i="4"/>
  <c r="C131" i="4"/>
  <c r="L130" i="4"/>
  <c r="K130" i="4"/>
  <c r="J130" i="4"/>
  <c r="I130" i="4"/>
  <c r="H130" i="4"/>
  <c r="G130" i="4"/>
  <c r="F130" i="4"/>
  <c r="E130" i="4"/>
  <c r="D130" i="4"/>
  <c r="C130" i="4"/>
  <c r="J103" i="4"/>
  <c r="F103" i="4"/>
  <c r="D103" i="4"/>
  <c r="C103" i="4"/>
  <c r="L102" i="4"/>
  <c r="K102" i="4"/>
  <c r="J102" i="4"/>
  <c r="I102" i="4"/>
  <c r="H102" i="4"/>
  <c r="G102" i="4"/>
  <c r="F102" i="4"/>
  <c r="E102" i="4"/>
  <c r="D102" i="4"/>
  <c r="C102" i="4"/>
  <c r="L101" i="4"/>
  <c r="K101" i="4"/>
  <c r="J101" i="4"/>
  <c r="I101" i="4"/>
  <c r="H101" i="4"/>
  <c r="G101" i="4"/>
  <c r="F101" i="4"/>
  <c r="E101" i="4"/>
  <c r="D101" i="4"/>
  <c r="C101" i="4"/>
  <c r="L100" i="4"/>
  <c r="K100" i="4"/>
  <c r="J100" i="4"/>
  <c r="I100" i="4"/>
  <c r="H100" i="4"/>
  <c r="G100" i="4"/>
  <c r="F100" i="4"/>
  <c r="E100" i="4"/>
  <c r="D100" i="4"/>
  <c r="C100" i="4"/>
  <c r="L99" i="4"/>
  <c r="K99" i="4"/>
  <c r="J99" i="4"/>
  <c r="I99" i="4"/>
  <c r="H99" i="4"/>
  <c r="G99" i="4"/>
  <c r="F99" i="4"/>
  <c r="E99" i="4"/>
  <c r="D99" i="4"/>
  <c r="C99" i="4"/>
  <c r="L98" i="4"/>
  <c r="K98" i="4"/>
  <c r="J98" i="4"/>
  <c r="I98" i="4"/>
  <c r="H98" i="4"/>
  <c r="G98" i="4"/>
  <c r="F98" i="4"/>
  <c r="E98" i="4"/>
  <c r="D98" i="4"/>
  <c r="C98" i="4"/>
  <c r="L97" i="4"/>
  <c r="K97" i="4"/>
  <c r="J97" i="4"/>
  <c r="I97" i="4"/>
  <c r="H97" i="4"/>
  <c r="G97" i="4"/>
  <c r="F97" i="4"/>
  <c r="E97" i="4"/>
  <c r="D97" i="4"/>
  <c r="C97" i="4"/>
  <c r="L96" i="4"/>
  <c r="K96" i="4"/>
  <c r="J96" i="4"/>
  <c r="I96" i="4"/>
  <c r="H96" i="4"/>
  <c r="G96" i="4"/>
  <c r="F96" i="4"/>
  <c r="E96" i="4"/>
  <c r="D96" i="4"/>
  <c r="C96" i="4"/>
  <c r="L95" i="4"/>
  <c r="K95" i="4"/>
  <c r="J95" i="4"/>
  <c r="I95" i="4"/>
  <c r="H95" i="4"/>
  <c r="G95" i="4"/>
  <c r="F95" i="4"/>
  <c r="E95" i="4"/>
  <c r="D95" i="4"/>
  <c r="C95" i="4"/>
  <c r="L94" i="4"/>
  <c r="K94" i="4"/>
  <c r="J94" i="4"/>
  <c r="I94" i="4"/>
  <c r="H94" i="4"/>
  <c r="G94" i="4"/>
  <c r="F94" i="4"/>
  <c r="E94" i="4"/>
  <c r="D94" i="4"/>
  <c r="C94" i="4"/>
  <c r="L93" i="4"/>
  <c r="K93" i="4"/>
  <c r="J93" i="4"/>
  <c r="I93" i="4"/>
  <c r="H93" i="4"/>
  <c r="G93" i="4"/>
  <c r="F93" i="4"/>
  <c r="E93" i="4"/>
  <c r="D93" i="4"/>
  <c r="C93" i="4"/>
  <c r="L92" i="4"/>
  <c r="K92" i="4"/>
  <c r="J92" i="4"/>
  <c r="I92" i="4"/>
  <c r="H92" i="4"/>
  <c r="G92" i="4"/>
  <c r="F92" i="4"/>
  <c r="E92" i="4"/>
  <c r="C92" i="4"/>
  <c r="L103" i="4"/>
  <c r="K103" i="4"/>
  <c r="I103" i="4"/>
  <c r="I104" i="4" s="1"/>
  <c r="H103" i="4"/>
  <c r="H104" i="4" s="1"/>
  <c r="G103" i="4"/>
  <c r="E103" i="4"/>
  <c r="H53" i="4"/>
  <c r="F61" i="4" s="1"/>
  <c r="H52" i="4"/>
  <c r="E36" i="4"/>
  <c r="D36" i="4"/>
  <c r="C36" i="4"/>
  <c r="F35" i="4"/>
  <c r="F34" i="4"/>
  <c r="A12" i="4"/>
  <c r="A13" i="4" s="1"/>
  <c r="A14" i="4" s="1"/>
  <c r="A15" i="4" s="1"/>
  <c r="A16" i="4" s="1"/>
  <c r="A17" i="4" s="1"/>
  <c r="A18" i="4" s="1"/>
  <c r="A19" i="4" s="1"/>
  <c r="A20" i="4" s="1"/>
  <c r="A21" i="4" s="1"/>
  <c r="A22" i="4" s="1"/>
  <c r="A23" i="4" s="1"/>
  <c r="M11" i="4"/>
  <c r="M12" i="64" s="1"/>
  <c r="F142" i="4" l="1"/>
  <c r="F186" i="4" s="1"/>
  <c r="J142" i="4"/>
  <c r="J186" i="4" s="1"/>
  <c r="E149" i="4"/>
  <c r="I149" i="4"/>
  <c r="G150" i="4"/>
  <c r="K150" i="4"/>
  <c r="E151" i="4"/>
  <c r="I151" i="4"/>
  <c r="G152" i="4"/>
  <c r="K152" i="4"/>
  <c r="E153" i="4"/>
  <c r="I153" i="4"/>
  <c r="G154" i="4"/>
  <c r="E155" i="4"/>
  <c r="I155" i="4"/>
  <c r="G156" i="4"/>
  <c r="K156" i="4"/>
  <c r="E157" i="4"/>
  <c r="I157" i="4"/>
  <c r="G158" i="4"/>
  <c r="E159" i="4"/>
  <c r="I159" i="4"/>
  <c r="C160" i="4"/>
  <c r="G142" i="4"/>
  <c r="K142" i="4"/>
  <c r="D104" i="4"/>
  <c r="C142" i="4"/>
  <c r="M130" i="4"/>
  <c r="M132" i="4"/>
  <c r="M134" i="4"/>
  <c r="M136" i="4"/>
  <c r="M138" i="4"/>
  <c r="M140" i="4"/>
  <c r="D142" i="4"/>
  <c r="D186" i="4" s="1"/>
  <c r="D190" i="4" s="1"/>
  <c r="H142" i="4"/>
  <c r="L142" i="4"/>
  <c r="E142" i="4"/>
  <c r="E186" i="4" s="1"/>
  <c r="I142" i="4"/>
  <c r="I186" i="4" s="1"/>
  <c r="M131" i="4"/>
  <c r="M133" i="4"/>
  <c r="M135" i="4"/>
  <c r="M137" i="4"/>
  <c r="M139" i="4"/>
  <c r="M141" i="4"/>
  <c r="J104" i="4"/>
  <c r="M99" i="4"/>
  <c r="M101" i="4"/>
  <c r="L104" i="4"/>
  <c r="M94" i="4"/>
  <c r="M96" i="4"/>
  <c r="M98" i="4"/>
  <c r="M100" i="4"/>
  <c r="M102" i="4"/>
  <c r="C150" i="4"/>
  <c r="M93" i="4"/>
  <c r="C152" i="4"/>
  <c r="M95" i="4"/>
  <c r="C154" i="4"/>
  <c r="M97" i="4"/>
  <c r="C104" i="4"/>
  <c r="M92" i="4"/>
  <c r="K160" i="4"/>
  <c r="K104" i="4"/>
  <c r="G160" i="4"/>
  <c r="G104" i="4"/>
  <c r="F160" i="4"/>
  <c r="F104" i="4"/>
  <c r="E160" i="4"/>
  <c r="M103" i="4"/>
  <c r="E104" i="4"/>
  <c r="D152" i="4"/>
  <c r="L152" i="4"/>
  <c r="I160" i="4"/>
  <c r="G157" i="4"/>
  <c r="C155" i="4"/>
  <c r="K157" i="4"/>
  <c r="C159" i="4"/>
  <c r="F36" i="4"/>
  <c r="J149" i="4"/>
  <c r="D150" i="4"/>
  <c r="H150" i="4"/>
  <c r="L150" i="4"/>
  <c r="F151" i="4"/>
  <c r="J151" i="4"/>
  <c r="H152" i="4"/>
  <c r="F153" i="4"/>
  <c r="J153" i="4"/>
  <c r="D154" i="4"/>
  <c r="H154" i="4"/>
  <c r="L154" i="4"/>
  <c r="F155" i="4"/>
  <c r="J155" i="4"/>
  <c r="D156" i="4"/>
  <c r="H156" i="4"/>
  <c r="L156" i="4"/>
  <c r="F157" i="4"/>
  <c r="J157" i="4"/>
  <c r="D158" i="4"/>
  <c r="H158" i="4"/>
  <c r="L158" i="4"/>
  <c r="F159" i="4"/>
  <c r="J159" i="4"/>
  <c r="D160" i="4"/>
  <c r="G186" i="4"/>
  <c r="K186" i="4"/>
  <c r="L160" i="4"/>
  <c r="E150" i="4"/>
  <c r="I150" i="4"/>
  <c r="C151" i="4"/>
  <c r="G151" i="4"/>
  <c r="K151" i="4"/>
  <c r="E152" i="4"/>
  <c r="I152" i="4"/>
  <c r="C153" i="4"/>
  <c r="G153" i="4"/>
  <c r="K153" i="4"/>
  <c r="E154" i="4"/>
  <c r="I154" i="4"/>
  <c r="G155" i="4"/>
  <c r="K155" i="4"/>
  <c r="E156" i="4"/>
  <c r="I156" i="4"/>
  <c r="C157" i="4"/>
  <c r="E158" i="4"/>
  <c r="I158" i="4"/>
  <c r="G159" i="4"/>
  <c r="K159" i="4"/>
  <c r="H186" i="4"/>
  <c r="L186" i="4"/>
  <c r="H160" i="4"/>
  <c r="K154" i="4"/>
  <c r="K158" i="4"/>
  <c r="G51" i="21"/>
  <c r="A51" i="21"/>
  <c r="D149" i="4"/>
  <c r="L149" i="4"/>
  <c r="F150" i="4"/>
  <c r="J150" i="4"/>
  <c r="D151" i="4"/>
  <c r="H151" i="4"/>
  <c r="L151" i="4"/>
  <c r="F152" i="4"/>
  <c r="J152" i="4"/>
  <c r="D153" i="4"/>
  <c r="H153" i="4"/>
  <c r="L153" i="4"/>
  <c r="F154" i="4"/>
  <c r="J154" i="4"/>
  <c r="D155" i="4"/>
  <c r="H155" i="4"/>
  <c r="L155" i="4"/>
  <c r="F156" i="4"/>
  <c r="J156" i="4"/>
  <c r="D157" i="4"/>
  <c r="H157" i="4"/>
  <c r="L157" i="4"/>
  <c r="F158" i="4"/>
  <c r="J158" i="4"/>
  <c r="D159" i="4"/>
  <c r="H159" i="4"/>
  <c r="L159" i="4"/>
  <c r="J160" i="4"/>
  <c r="C156" i="4"/>
  <c r="C158" i="4"/>
  <c r="F56" i="4"/>
  <c r="F149" i="4"/>
  <c r="H149" i="4"/>
  <c r="B230" i="4"/>
  <c r="A24" i="4"/>
  <c r="C186" i="4"/>
  <c r="C190" i="4" s="1"/>
  <c r="C149" i="4"/>
  <c r="G149" i="4"/>
  <c r="K149" i="4"/>
  <c r="J319" i="49"/>
  <c r="G161" i="4" l="1"/>
  <c r="G166" i="4" s="1"/>
  <c r="H89" i="21" s="1"/>
  <c r="M142" i="4"/>
  <c r="M186" i="4" s="1"/>
  <c r="M152" i="4"/>
  <c r="H161" i="4"/>
  <c r="H166" i="4" s="1"/>
  <c r="I89" i="21" s="1"/>
  <c r="L161" i="4"/>
  <c r="L172" i="4" s="1"/>
  <c r="M95" i="21" s="1"/>
  <c r="F161" i="4"/>
  <c r="K161" i="4"/>
  <c r="K166" i="4" s="1"/>
  <c r="L89" i="21" s="1"/>
  <c r="M158" i="4"/>
  <c r="J161" i="4"/>
  <c r="J167" i="4" s="1"/>
  <c r="K90" i="21" s="1"/>
  <c r="M151" i="4"/>
  <c r="M159" i="4"/>
  <c r="I161" i="4"/>
  <c r="I169" i="4" s="1"/>
  <c r="J92" i="21" s="1"/>
  <c r="M149" i="4"/>
  <c r="C161" i="4"/>
  <c r="C166" i="4" s="1"/>
  <c r="M156" i="4"/>
  <c r="M157" i="4"/>
  <c r="M155" i="4"/>
  <c r="D161" i="4"/>
  <c r="D173" i="4" s="1"/>
  <c r="E96" i="21" s="1"/>
  <c r="M153" i="4"/>
  <c r="M154" i="4"/>
  <c r="M150" i="4"/>
  <c r="E161" i="4"/>
  <c r="E172" i="4" s="1"/>
  <c r="F95" i="21" s="1"/>
  <c r="M160" i="4"/>
  <c r="M104" i="4"/>
  <c r="L170" i="4"/>
  <c r="M93" i="21" s="1"/>
  <c r="A52" i="21"/>
  <c r="A53" i="21" s="1"/>
  <c r="A58" i="21" s="1"/>
  <c r="L167" i="4"/>
  <c r="M90" i="21" s="1"/>
  <c r="L168" i="4"/>
  <c r="M91" i="21" s="1"/>
  <c r="A34" i="4"/>
  <c r="J177" i="4"/>
  <c r="K100" i="21" s="1"/>
  <c r="L174" i="4" l="1"/>
  <c r="M97" i="21" s="1"/>
  <c r="G53" i="21"/>
  <c r="E168" i="4"/>
  <c r="F91" i="21" s="1"/>
  <c r="C167" i="4"/>
  <c r="D89" i="21"/>
  <c r="C197" i="4"/>
  <c r="C12" i="4" s="1"/>
  <c r="M161" i="4"/>
  <c r="I170" i="4"/>
  <c r="J93" i="21" s="1"/>
  <c r="L171" i="4"/>
  <c r="M94" i="21" s="1"/>
  <c r="I166" i="4"/>
  <c r="J89" i="21" s="1"/>
  <c r="J166" i="4"/>
  <c r="K89" i="21" s="1"/>
  <c r="L173" i="4"/>
  <c r="M96" i="21" s="1"/>
  <c r="J171" i="4"/>
  <c r="K94" i="21" s="1"/>
  <c r="L166" i="4"/>
  <c r="M89" i="21" s="1"/>
  <c r="J170" i="4"/>
  <c r="K93" i="21" s="1"/>
  <c r="J176" i="4"/>
  <c r="K99" i="21" s="1"/>
  <c r="L177" i="4"/>
  <c r="M100" i="21" s="1"/>
  <c r="L169" i="4"/>
  <c r="M92" i="21" s="1"/>
  <c r="J175" i="4"/>
  <c r="K98" i="21" s="1"/>
  <c r="D168" i="4"/>
  <c r="E91" i="21" s="1"/>
  <c r="E171" i="4"/>
  <c r="F94" i="21" s="1"/>
  <c r="D174" i="4"/>
  <c r="E97" i="21" s="1"/>
  <c r="E177" i="4"/>
  <c r="F100" i="21" s="1"/>
  <c r="E176" i="4"/>
  <c r="F99" i="21" s="1"/>
  <c r="E166" i="4"/>
  <c r="F89" i="21" s="1"/>
  <c r="E169" i="4"/>
  <c r="F92" i="21" s="1"/>
  <c r="D171" i="4"/>
  <c r="J174" i="4"/>
  <c r="K97" i="21" s="1"/>
  <c r="E170" i="4"/>
  <c r="F93" i="21" s="1"/>
  <c r="E167" i="4"/>
  <c r="F90" i="21" s="1"/>
  <c r="E173" i="4"/>
  <c r="F96" i="21" s="1"/>
  <c r="E174" i="4"/>
  <c r="F97" i="21" s="1"/>
  <c r="E175" i="4"/>
  <c r="F98" i="21" s="1"/>
  <c r="J173" i="4"/>
  <c r="K96" i="21" s="1"/>
  <c r="I168" i="4"/>
  <c r="J91" i="21" s="1"/>
  <c r="I171" i="4"/>
  <c r="J94" i="21" s="1"/>
  <c r="I173" i="4"/>
  <c r="J96" i="21" s="1"/>
  <c r="I177" i="4"/>
  <c r="J100" i="21" s="1"/>
  <c r="I172" i="4"/>
  <c r="J95" i="21" s="1"/>
  <c r="J169" i="4"/>
  <c r="K92" i="21" s="1"/>
  <c r="J168" i="4"/>
  <c r="K91" i="21" s="1"/>
  <c r="D204" i="4"/>
  <c r="I175" i="4"/>
  <c r="J98" i="21" s="1"/>
  <c r="I167" i="4"/>
  <c r="J90" i="21" s="1"/>
  <c r="I176" i="4"/>
  <c r="J99" i="21" s="1"/>
  <c r="I174" i="4"/>
  <c r="J97" i="21" s="1"/>
  <c r="J172" i="4"/>
  <c r="K95" i="21" s="1"/>
  <c r="L176" i="4"/>
  <c r="M99" i="21" s="1"/>
  <c r="L175" i="4"/>
  <c r="M98" i="21" s="1"/>
  <c r="A59" i="21"/>
  <c r="A60" i="21" s="1"/>
  <c r="A70" i="21" s="1"/>
  <c r="A71" i="21" s="1"/>
  <c r="A72" i="21" s="1"/>
  <c r="A73" i="21" s="1"/>
  <c r="A74" i="21" s="1"/>
  <c r="A75" i="21" s="1"/>
  <c r="A76" i="21" s="1"/>
  <c r="A77" i="21" s="1"/>
  <c r="A78" i="21" s="1"/>
  <c r="A79" i="21" s="1"/>
  <c r="A80" i="21" s="1"/>
  <c r="A81" i="21" s="1"/>
  <c r="A82" i="21" s="1"/>
  <c r="D166" i="4"/>
  <c r="D177" i="4"/>
  <c r="D167" i="4"/>
  <c r="D169" i="4"/>
  <c r="D175" i="4"/>
  <c r="D176" i="4"/>
  <c r="D172" i="4"/>
  <c r="D170" i="4"/>
  <c r="B222" i="4"/>
  <c r="A35" i="4"/>
  <c r="F174" i="4"/>
  <c r="G97" i="21" s="1"/>
  <c r="F173" i="4"/>
  <c r="G96" i="21" s="1"/>
  <c r="F171" i="4"/>
  <c r="G94" i="21" s="1"/>
  <c r="F175" i="4"/>
  <c r="G98" i="21" s="1"/>
  <c r="F170" i="4"/>
  <c r="G93" i="21" s="1"/>
  <c r="F177" i="4"/>
  <c r="G100" i="21" s="1"/>
  <c r="F176" i="4"/>
  <c r="G99" i="21" s="1"/>
  <c r="F167" i="4"/>
  <c r="G90" i="21" s="1"/>
  <c r="F169" i="4"/>
  <c r="G92" i="21" s="1"/>
  <c r="F168" i="4"/>
  <c r="G91" i="21" s="1"/>
  <c r="F172" i="4"/>
  <c r="G95" i="21" s="1"/>
  <c r="C170" i="4"/>
  <c r="C172" i="4"/>
  <c r="C176" i="4"/>
  <c r="C177" i="4"/>
  <c r="C174" i="4"/>
  <c r="C173" i="4"/>
  <c r="C168" i="4"/>
  <c r="C175" i="4"/>
  <c r="C169" i="4"/>
  <c r="C171" i="4"/>
  <c r="H170" i="4"/>
  <c r="I93" i="21" s="1"/>
  <c r="H177" i="4"/>
  <c r="I100" i="21" s="1"/>
  <c r="H169" i="4"/>
  <c r="I92" i="21" s="1"/>
  <c r="H172" i="4"/>
  <c r="I95" i="21" s="1"/>
  <c r="H171" i="4"/>
  <c r="I94" i="21" s="1"/>
  <c r="H175" i="4"/>
  <c r="I98" i="21" s="1"/>
  <c r="H173" i="4"/>
  <c r="I96" i="21" s="1"/>
  <c r="H168" i="4"/>
  <c r="I91" i="21" s="1"/>
  <c r="H167" i="4"/>
  <c r="I90" i="21" s="1"/>
  <c r="H174" i="4"/>
  <c r="I97" i="21" s="1"/>
  <c r="H176" i="4"/>
  <c r="I99" i="21" s="1"/>
  <c r="G168" i="4"/>
  <c r="H91" i="21" s="1"/>
  <c r="G170" i="4"/>
  <c r="H93" i="21" s="1"/>
  <c r="G169" i="4"/>
  <c r="H92" i="21" s="1"/>
  <c r="G172" i="4"/>
  <c r="H95" i="21" s="1"/>
  <c r="G177" i="4"/>
  <c r="H100" i="21" s="1"/>
  <c r="G167" i="4"/>
  <c r="H90" i="21" s="1"/>
  <c r="G171" i="4"/>
  <c r="H94" i="21" s="1"/>
  <c r="G175" i="4"/>
  <c r="H98" i="21" s="1"/>
  <c r="G173" i="4"/>
  <c r="H96" i="21" s="1"/>
  <c r="G174" i="4"/>
  <c r="H97" i="21" s="1"/>
  <c r="G176" i="4"/>
  <c r="H99" i="21" s="1"/>
  <c r="K175" i="4"/>
  <c r="L98" i="21" s="1"/>
  <c r="K171" i="4"/>
  <c r="L94" i="21" s="1"/>
  <c r="K168" i="4"/>
  <c r="L91" i="21" s="1"/>
  <c r="K173" i="4"/>
  <c r="L96" i="21" s="1"/>
  <c r="K170" i="4"/>
  <c r="L93" i="21" s="1"/>
  <c r="K169" i="4"/>
  <c r="L92" i="21" s="1"/>
  <c r="K167" i="4"/>
  <c r="L90" i="21" s="1"/>
  <c r="K172" i="4"/>
  <c r="L95" i="21" s="1"/>
  <c r="K176" i="4"/>
  <c r="L99" i="21" s="1"/>
  <c r="K177" i="4"/>
  <c r="L100" i="21" s="1"/>
  <c r="K174" i="4"/>
  <c r="L97" i="21" s="1"/>
  <c r="F166" i="4"/>
  <c r="G89" i="21" s="1"/>
  <c r="D205" i="4" l="1"/>
  <c r="D199" i="4"/>
  <c r="E94" i="21"/>
  <c r="D202" i="4"/>
  <c r="D92" i="21"/>
  <c r="C200" i="4"/>
  <c r="D97" i="21"/>
  <c r="C205" i="4"/>
  <c r="D93" i="21"/>
  <c r="C201" i="4"/>
  <c r="E95" i="21"/>
  <c r="D203" i="4"/>
  <c r="E90" i="21"/>
  <c r="D198" i="4"/>
  <c r="D98" i="21"/>
  <c r="C206" i="4"/>
  <c r="D100" i="21"/>
  <c r="C208" i="4"/>
  <c r="D90" i="21"/>
  <c r="C198" i="4"/>
  <c r="E99" i="21"/>
  <c r="D207" i="4"/>
  <c r="E100" i="21"/>
  <c r="D208" i="4"/>
  <c r="D91" i="21"/>
  <c r="C199" i="4"/>
  <c r="D99" i="21"/>
  <c r="C207" i="4"/>
  <c r="E98" i="21"/>
  <c r="D206" i="4"/>
  <c r="E89" i="21"/>
  <c r="D197" i="4"/>
  <c r="D94" i="21"/>
  <c r="C202" i="4"/>
  <c r="D96" i="21"/>
  <c r="C204" i="4"/>
  <c r="D95" i="21"/>
  <c r="C203" i="4"/>
  <c r="E93" i="21"/>
  <c r="D201" i="4"/>
  <c r="E92" i="21"/>
  <c r="D200" i="4"/>
  <c r="B149" i="21"/>
  <c r="A89" i="21"/>
  <c r="A90" i="21" s="1"/>
  <c r="A91" i="21" s="1"/>
  <c r="A92" i="21" s="1"/>
  <c r="A93" i="21" s="1"/>
  <c r="A94" i="21" s="1"/>
  <c r="A95" i="21" s="1"/>
  <c r="A96" i="21" s="1"/>
  <c r="A97" i="21" s="1"/>
  <c r="A98" i="21" s="1"/>
  <c r="A99" i="21" s="1"/>
  <c r="A100" i="21" s="1"/>
  <c r="A106" i="21" s="1"/>
  <c r="G60" i="21"/>
  <c r="B223" i="4"/>
  <c r="A36" i="4"/>
  <c r="E43" i="4"/>
  <c r="D12" i="4" l="1"/>
  <c r="D13" i="4" s="1"/>
  <c r="D14" i="4" s="1"/>
  <c r="D15" i="4" s="1"/>
  <c r="D16" i="4" s="1"/>
  <c r="D17" i="4" s="1"/>
  <c r="D18" i="4" s="1"/>
  <c r="D19" i="4" s="1"/>
  <c r="D20" i="4" s="1"/>
  <c r="D21" i="4" s="1"/>
  <c r="D22" i="4" s="1"/>
  <c r="D209" i="4"/>
  <c r="C13" i="4"/>
  <c r="C14" i="4" s="1"/>
  <c r="C15" i="4" s="1"/>
  <c r="C16" i="4" s="1"/>
  <c r="C17" i="4" s="1"/>
  <c r="C18" i="4" s="1"/>
  <c r="C19" i="4" s="1"/>
  <c r="C20" i="4" s="1"/>
  <c r="C21" i="4" s="1"/>
  <c r="C22" i="4" s="1"/>
  <c r="C209" i="4"/>
  <c r="A109" i="21"/>
  <c r="A112" i="21" s="1"/>
  <c r="A119" i="21" s="1"/>
  <c r="A120" i="21" s="1"/>
  <c r="A121" i="21" s="1"/>
  <c r="A122" i="21" s="1"/>
  <c r="A123" i="21" s="1"/>
  <c r="A124" i="21" s="1"/>
  <c r="A125" i="21" s="1"/>
  <c r="A126" i="21" s="1"/>
  <c r="A127" i="21" s="1"/>
  <c r="A128" i="21" s="1"/>
  <c r="A129" i="21" s="1"/>
  <c r="A130" i="21" s="1"/>
  <c r="A131" i="21" s="1"/>
  <c r="A42" i="4"/>
  <c r="A43" i="4" s="1"/>
  <c r="A52" i="4" s="1"/>
  <c r="E42" i="4"/>
  <c r="C12" i="46"/>
  <c r="B150" i="21" l="1"/>
  <c r="A53" i="4"/>
  <c r="G61" i="4" l="1"/>
  <c r="A56" i="4"/>
  <c r="G56" i="4"/>
  <c r="A57" i="4" l="1"/>
  <c r="A58" i="4" s="1"/>
  <c r="A61" i="4" s="1"/>
  <c r="G63" i="4" l="1"/>
  <c r="A62" i="4"/>
  <c r="A63" i="4" s="1"/>
  <c r="A73" i="4" s="1"/>
  <c r="A74" i="4" s="1"/>
  <c r="A75" i="4" s="1"/>
  <c r="A76" i="4" s="1"/>
  <c r="A77" i="4" s="1"/>
  <c r="A78" i="4" s="1"/>
  <c r="A79" i="4" s="1"/>
  <c r="A80" i="4" s="1"/>
  <c r="A81" i="4" s="1"/>
  <c r="A82" i="4" s="1"/>
  <c r="A83" i="4" s="1"/>
  <c r="A84" i="4" s="1"/>
  <c r="A85" i="4" s="1"/>
  <c r="A92" i="4" s="1"/>
  <c r="A93" i="4" s="1"/>
  <c r="A94" i="4" s="1"/>
  <c r="A95" i="4" s="1"/>
  <c r="A96" i="4" s="1"/>
  <c r="A97" i="4" s="1"/>
  <c r="A98" i="4" s="1"/>
  <c r="A99" i="4" s="1"/>
  <c r="A100" i="4" s="1"/>
  <c r="A101" i="4" s="1"/>
  <c r="A102" i="4" s="1"/>
  <c r="A103" i="4" s="1"/>
  <c r="A104" i="4" s="1"/>
  <c r="A111" i="4" s="1"/>
  <c r="A112" i="4" s="1"/>
  <c r="A113" i="4" s="1"/>
  <c r="A114" i="4" s="1"/>
  <c r="A115" i="4" s="1"/>
  <c r="A116" i="4" s="1"/>
  <c r="A117" i="4" s="1"/>
  <c r="A118" i="4" s="1"/>
  <c r="A119" i="4" s="1"/>
  <c r="A120" i="4" s="1"/>
  <c r="A121" i="4" s="1"/>
  <c r="A122" i="4" s="1"/>
  <c r="A123" i="4" s="1"/>
  <c r="A130" i="4" s="1"/>
  <c r="A131" i="4" s="1"/>
  <c r="A132" i="4" s="1"/>
  <c r="A133" i="4" s="1"/>
  <c r="A134" i="4" s="1"/>
  <c r="A135" i="4" s="1"/>
  <c r="A136" i="4" s="1"/>
  <c r="A137" i="4" s="1"/>
  <c r="A138" i="4" s="1"/>
  <c r="A139" i="4" s="1"/>
  <c r="A140" i="4" s="1"/>
  <c r="A141" i="4" s="1"/>
  <c r="A142" i="4" s="1"/>
  <c r="G58" i="4"/>
  <c r="B231" i="4" l="1"/>
  <c r="A149" i="4"/>
  <c r="B234" i="4" l="1"/>
  <c r="A150" i="4"/>
  <c r="A151" i="4" s="1"/>
  <c r="A152" i="4" s="1"/>
  <c r="A153" i="4" s="1"/>
  <c r="A154" i="4" s="1"/>
  <c r="A155" i="4" s="1"/>
  <c r="A156" i="4" s="1"/>
  <c r="A157" i="4" s="1"/>
  <c r="A158" i="4" s="1"/>
  <c r="A159" i="4" s="1"/>
  <c r="A160" i="4" s="1"/>
  <c r="A161" i="4" s="1"/>
  <c r="A166" i="4" s="1"/>
  <c r="A167" i="4" s="1"/>
  <c r="A168" i="4" s="1"/>
  <c r="A169" i="4" s="1"/>
  <c r="A170" i="4" s="1"/>
  <c r="A171" i="4" s="1"/>
  <c r="A172" i="4" s="1"/>
  <c r="A173" i="4" s="1"/>
  <c r="A174" i="4" s="1"/>
  <c r="A175" i="4" s="1"/>
  <c r="A176" i="4" s="1"/>
  <c r="A177" i="4" s="1"/>
  <c r="A182" i="4" s="1"/>
  <c r="A186" i="4" l="1"/>
  <c r="A190" i="4" s="1"/>
  <c r="B233" i="4" s="1"/>
  <c r="A197" i="4" l="1"/>
  <c r="B232" i="4"/>
  <c r="A198" i="4" l="1"/>
  <c r="A199" i="4" s="1"/>
  <c r="A200" i="4" s="1"/>
  <c r="A201" i="4" s="1"/>
  <c r="A202" i="4" s="1"/>
  <c r="A203" i="4" s="1"/>
  <c r="A204" i="4" s="1"/>
  <c r="A205" i="4" s="1"/>
  <c r="A206" i="4" s="1"/>
  <c r="A207" i="4" s="1"/>
  <c r="A208" i="4" s="1"/>
  <c r="A209" i="4" s="1"/>
  <c r="B235" i="4" l="1"/>
  <c r="C57" i="22" l="1"/>
  <c r="D19" i="71" l="1"/>
  <c r="D18" i="71"/>
  <c r="B190" i="71"/>
  <c r="F46" i="22" l="1"/>
  <c r="F34" i="22"/>
  <c r="G69" i="22"/>
  <c r="G63" i="22"/>
  <c r="G22" i="45" l="1"/>
  <c r="C32" i="57" l="1"/>
  <c r="G20" i="45"/>
  <c r="G19" i="45"/>
  <c r="G18" i="45"/>
  <c r="G21" i="45" l="1"/>
  <c r="E32" i="57"/>
  <c r="D32" i="57"/>
  <c r="B107" i="65"/>
  <c r="B106" i="65"/>
  <c r="B103" i="65"/>
  <c r="B98" i="65"/>
  <c r="B95" i="65"/>
  <c r="B94" i="65"/>
  <c r="B9" i="65"/>
  <c r="B8" i="65"/>
  <c r="B7" i="65"/>
  <c r="F44" i="65"/>
  <c r="F43" i="65"/>
  <c r="F42" i="65"/>
  <c r="F41" i="65"/>
  <c r="F40" i="65"/>
  <c r="A82" i="44" l="1"/>
  <c r="A83" i="44" s="1"/>
  <c r="B117" i="65" l="1"/>
  <c r="B114" i="65"/>
  <c r="B113" i="65"/>
  <c r="H24" i="65"/>
  <c r="J24" i="65" s="1"/>
  <c r="L24" i="65" s="1"/>
  <c r="J128" i="53" l="1"/>
  <c r="I128" i="53"/>
  <c r="K128" i="53" s="1"/>
  <c r="F128" i="53"/>
  <c r="J127" i="53"/>
  <c r="I127" i="53"/>
  <c r="F127" i="53"/>
  <c r="J126" i="53"/>
  <c r="I126" i="53"/>
  <c r="F126" i="53"/>
  <c r="J125" i="53"/>
  <c r="I125" i="53"/>
  <c r="K125" i="53" s="1"/>
  <c r="F125" i="53"/>
  <c r="J124" i="53"/>
  <c r="I124" i="53"/>
  <c r="F124" i="53"/>
  <c r="J123" i="53"/>
  <c r="I123" i="53"/>
  <c r="F123" i="53"/>
  <c r="J122" i="53"/>
  <c r="I122" i="53"/>
  <c r="F122" i="53"/>
  <c r="J121" i="53"/>
  <c r="I121" i="53"/>
  <c r="K121" i="53" s="1"/>
  <c r="F121" i="53"/>
  <c r="J120" i="53"/>
  <c r="I120" i="53"/>
  <c r="K120" i="53" s="1"/>
  <c r="F120" i="53"/>
  <c r="J119" i="53"/>
  <c r="I119" i="53"/>
  <c r="F119" i="53"/>
  <c r="J118" i="53"/>
  <c r="I118" i="53"/>
  <c r="F118" i="53"/>
  <c r="J117" i="53"/>
  <c r="I117" i="53"/>
  <c r="K117" i="53" s="1"/>
  <c r="F117" i="53"/>
  <c r="J116" i="53"/>
  <c r="I116" i="53"/>
  <c r="F116" i="53"/>
  <c r="J115" i="53"/>
  <c r="J130" i="53" s="1"/>
  <c r="I115" i="53"/>
  <c r="F115" i="53"/>
  <c r="B114" i="53"/>
  <c r="A108" i="53"/>
  <c r="A109" i="53" s="1"/>
  <c r="A110" i="53" s="1"/>
  <c r="A111" i="53" s="1"/>
  <c r="A112" i="53" s="1"/>
  <c r="A113" i="53" s="1"/>
  <c r="A114" i="53" s="1"/>
  <c r="B90" i="53"/>
  <c r="I38" i="53"/>
  <c r="D38" i="53"/>
  <c r="I37" i="53"/>
  <c r="D37" i="53"/>
  <c r="I36" i="53"/>
  <c r="D36" i="53"/>
  <c r="A29" i="53"/>
  <c r="A30" i="53" s="1"/>
  <c r="A31" i="53" s="1"/>
  <c r="A32" i="53" s="1"/>
  <c r="A33" i="53" s="1"/>
  <c r="A34" i="53" s="1"/>
  <c r="J27" i="53"/>
  <c r="J26" i="53"/>
  <c r="J25" i="53"/>
  <c r="J24" i="53"/>
  <c r="J23" i="53"/>
  <c r="J22" i="53"/>
  <c r="J21" i="53"/>
  <c r="J20" i="53"/>
  <c r="J19" i="53"/>
  <c r="J18" i="53"/>
  <c r="J17" i="53"/>
  <c r="J16" i="53"/>
  <c r="J15" i="53"/>
  <c r="J14" i="53"/>
  <c r="J13" i="53"/>
  <c r="J12" i="53"/>
  <c r="I130" i="53" l="1"/>
  <c r="K119" i="53"/>
  <c r="L119" i="53" s="1"/>
  <c r="K123" i="53"/>
  <c r="L123" i="53" s="1"/>
  <c r="K127" i="53"/>
  <c r="F130" i="53"/>
  <c r="K115" i="53"/>
  <c r="K122" i="53"/>
  <c r="K126" i="53"/>
  <c r="L126" i="53" s="1"/>
  <c r="L128" i="53"/>
  <c r="L120" i="53"/>
  <c r="K124" i="53"/>
  <c r="L124" i="53" s="1"/>
  <c r="K116" i="53"/>
  <c r="L116" i="53" s="1"/>
  <c r="L121" i="53"/>
  <c r="J28" i="53"/>
  <c r="L127" i="53"/>
  <c r="K118" i="53"/>
  <c r="L115" i="53"/>
  <c r="L117" i="53"/>
  <c r="L125" i="53"/>
  <c r="L118" i="53"/>
  <c r="L122"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L130" i="53" l="1"/>
  <c r="M118" i="53" s="1"/>
  <c r="C16" i="53" s="1"/>
  <c r="K130" i="53"/>
  <c r="A38" i="79"/>
  <c r="A39" i="79"/>
  <c r="M122" i="53" l="1"/>
  <c r="C20" i="53" s="1"/>
  <c r="M115" i="53"/>
  <c r="M117" i="53"/>
  <c r="C15" i="53" s="1"/>
  <c r="M121" i="53"/>
  <c r="C19" i="53" s="1"/>
  <c r="M123" i="53"/>
  <c r="C21" i="53" s="1"/>
  <c r="M119" i="53"/>
  <c r="C17" i="53" s="1"/>
  <c r="M124" i="53"/>
  <c r="C22" i="53" s="1"/>
  <c r="M116" i="53"/>
  <c r="C13" i="53" s="1"/>
  <c r="M128" i="53"/>
  <c r="C26" i="53" s="1"/>
  <c r="M120" i="53"/>
  <c r="C18" i="53" s="1"/>
  <c r="M127" i="53"/>
  <c r="C25" i="53" s="1"/>
  <c r="M125" i="53"/>
  <c r="C23" i="53" s="1"/>
  <c r="M126" i="53"/>
  <c r="C24" i="53" s="1"/>
  <c r="C12" i="53" l="1"/>
  <c r="M130" i="53"/>
  <c r="C28" i="53" l="1"/>
  <c r="E64" i="15"/>
  <c r="E29" i="55" l="1"/>
  <c r="D29" i="55"/>
  <c r="C29" i="55"/>
  <c r="H42" i="8" l="1"/>
  <c r="H33" i="8"/>
  <c r="F26" i="65" l="1"/>
  <c r="F27" i="65"/>
  <c r="F28" i="65"/>
  <c r="F29" i="65"/>
  <c r="F30" i="65"/>
  <c r="F31" i="65"/>
  <c r="F32" i="65"/>
  <c r="F33" i="65"/>
  <c r="F34" i="65"/>
  <c r="F35" i="65"/>
  <c r="F36" i="65"/>
  <c r="F25" i="65"/>
  <c r="E222" i="49" l="1"/>
  <c r="D78" i="49" l="1"/>
  <c r="H76" i="49"/>
  <c r="H77" i="49"/>
  <c r="H78" i="49"/>
  <c r="G76" i="49"/>
  <c r="G77" i="49"/>
  <c r="G78" i="49"/>
  <c r="D75" i="49"/>
  <c r="O34" i="48" l="1"/>
  <c r="O35" i="48"/>
  <c r="O36" i="48"/>
  <c r="J20" i="61" l="1"/>
  <c r="M20" i="61" s="1"/>
  <c r="G20" i="61"/>
  <c r="I20" i="61" s="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407" i="49" l="1"/>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23" i="61" l="1"/>
  <c r="F72" i="64"/>
  <c r="E72" i="64"/>
  <c r="D72" i="64"/>
  <c r="F67" i="64"/>
  <c r="F66" i="64"/>
  <c r="E67" i="64"/>
  <c r="E66" i="64"/>
  <c r="D67" i="64"/>
  <c r="D66" i="64"/>
  <c r="D24" i="64" l="1"/>
  <c r="L12" i="64"/>
  <c r="K12" i="64"/>
  <c r="J12" i="64"/>
  <c r="I12" i="64"/>
  <c r="H12" i="64"/>
  <c r="G12" i="64"/>
  <c r="F12" i="64"/>
  <c r="E12" i="64"/>
  <c r="D12" i="64"/>
  <c r="C24" i="64"/>
  <c r="C12" i="64"/>
  <c r="B97" i="64"/>
  <c r="F68" i="64"/>
  <c r="D68" i="64"/>
  <c r="D77" i="64" s="1"/>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C48" i="64" l="1"/>
  <c r="D70" i="21" s="1"/>
  <c r="F48" i="64"/>
  <c r="G70" i="21" s="1"/>
  <c r="J48" i="64"/>
  <c r="K70" i="21" s="1"/>
  <c r="G48" i="64"/>
  <c r="H70" i="21" s="1"/>
  <c r="K48" i="64"/>
  <c r="L70" i="21" s="1"/>
  <c r="D48" i="64"/>
  <c r="E70" i="21" s="1"/>
  <c r="H48" i="64"/>
  <c r="L48" i="64"/>
  <c r="E48" i="64"/>
  <c r="F70" i="21" s="1"/>
  <c r="I48" i="64"/>
  <c r="J70" i="21" s="1"/>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F77" i="64"/>
  <c r="G91" i="64"/>
  <c r="M70" i="21" l="1"/>
  <c r="M48" i="64"/>
  <c r="I70" i="21"/>
  <c r="B146" i="21"/>
  <c r="G77" i="64"/>
  <c r="F92" i="64" s="1"/>
  <c r="B98" i="64"/>
  <c r="A69" i="64"/>
  <c r="A70" i="64" s="1"/>
  <c r="A71" i="64" s="1"/>
  <c r="A72" i="64" s="1"/>
  <c r="N70" i="21" l="1"/>
  <c r="B99" i="64"/>
  <c r="A73" i="64"/>
  <c r="A74" i="64" s="1"/>
  <c r="A75" i="64" s="1"/>
  <c r="A76" i="64" s="1"/>
  <c r="A77" i="64" s="1"/>
  <c r="B104" i="64" l="1"/>
  <c r="G92" i="64"/>
  <c r="A78" i="64"/>
  <c r="A79" i="64" s="1"/>
  <c r="A80" i="64" s="1"/>
  <c r="A81" i="64" s="1"/>
  <c r="A82" i="64" s="1"/>
  <c r="A83" i="64" l="1"/>
  <c r="A84" i="64" s="1"/>
  <c r="A85" i="64" l="1"/>
  <c r="A86" i="64" s="1"/>
  <c r="I84" i="64"/>
  <c r="I86" i="64" l="1"/>
  <c r="G93" i="64"/>
  <c r="A87" i="64"/>
  <c r="A88" i="64" s="1"/>
  <c r="A89" i="64" s="1"/>
  <c r="A90" i="64" s="1"/>
  <c r="A91" i="64" s="1"/>
  <c r="A92" i="64" l="1"/>
  <c r="A93" i="64" s="1"/>
  <c r="A94" i="64" s="1"/>
  <c r="I127" i="1" s="1"/>
  <c r="G94" i="64" l="1"/>
  <c r="O19" i="48" l="1"/>
  <c r="J85" i="8"/>
  <c r="C117" i="48" l="1"/>
  <c r="H26" i="8" l="1"/>
  <c r="I31" i="1"/>
  <c r="A33" i="79" l="1"/>
  <c r="A34" i="79" s="1"/>
  <c r="A35" i="79" s="1"/>
  <c r="A36" i="79" s="1"/>
  <c r="A37" i="79" s="1"/>
  <c r="E19" i="71" l="1"/>
  <c r="E18" i="71"/>
  <c r="D17" i="71"/>
  <c r="D16" i="71"/>
  <c r="D15" i="71"/>
  <c r="D14" i="71"/>
  <c r="D13" i="71"/>
  <c r="D12" i="71"/>
  <c r="D11" i="71"/>
  <c r="D10" i="71"/>
  <c r="D9" i="71"/>
  <c r="D20" i="71" l="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E404" i="49"/>
  <c r="E403" i="49"/>
  <c r="E402" i="49"/>
  <c r="E401" i="49"/>
  <c r="E400" i="49"/>
  <c r="E399" i="49"/>
  <c r="E398" i="49"/>
  <c r="E397" i="49"/>
  <c r="E396" i="49"/>
  <c r="E395" i="49"/>
  <c r="E394" i="49"/>
  <c r="E393" i="49"/>
  <c r="E392" i="49"/>
  <c r="E391" i="49"/>
  <c r="E390" i="49"/>
  <c r="E389" i="49"/>
  <c r="E388" i="49"/>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E372" i="49"/>
  <c r="E371" i="49"/>
  <c r="E370" i="49"/>
  <c r="E369" i="49"/>
  <c r="E368" i="49"/>
  <c r="E367" i="49"/>
  <c r="E366" i="49"/>
  <c r="E365" i="49"/>
  <c r="E364" i="49"/>
  <c r="E363" i="49"/>
  <c r="E362" i="49"/>
  <c r="E361" i="49"/>
  <c r="E360" i="49"/>
  <c r="E359" i="49"/>
  <c r="E358" i="49"/>
  <c r="E357" i="49"/>
  <c r="E356" i="49"/>
  <c r="E355" i="49"/>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E339" i="49"/>
  <c r="E338" i="49"/>
  <c r="E337" i="49"/>
  <c r="E336" i="49"/>
  <c r="E335" i="49"/>
  <c r="E334" i="49"/>
  <c r="E333" i="49"/>
  <c r="E332" i="49"/>
  <c r="E331" i="49"/>
  <c r="E330" i="49"/>
  <c r="E329" i="49"/>
  <c r="E328" i="49"/>
  <c r="E327" i="49"/>
  <c r="E326" i="49"/>
  <c r="E325" i="49"/>
  <c r="E324" i="49"/>
  <c r="E323" i="49"/>
  <c r="E322" i="49"/>
  <c r="E321" i="49"/>
  <c r="E320" i="49"/>
  <c r="I307" i="49"/>
  <c r="I306" i="49"/>
  <c r="I305" i="49"/>
  <c r="I304" i="49"/>
  <c r="I303" i="49"/>
  <c r="I302" i="49"/>
  <c r="I301" i="49"/>
  <c r="I300" i="49"/>
  <c r="I299" i="49"/>
  <c r="I298" i="49"/>
  <c r="I297" i="49"/>
  <c r="I296" i="49"/>
  <c r="I295" i="49"/>
  <c r="I294" i="49"/>
  <c r="I293" i="49"/>
  <c r="I292" i="49"/>
  <c r="I291" i="49"/>
  <c r="I290" i="49"/>
  <c r="I289" i="49"/>
  <c r="I288" i="49"/>
  <c r="I287" i="49"/>
  <c r="E307" i="49"/>
  <c r="E306" i="49"/>
  <c r="E305" i="49"/>
  <c r="E304" i="49"/>
  <c r="E303" i="49"/>
  <c r="E302" i="49"/>
  <c r="E301" i="49"/>
  <c r="E300" i="49"/>
  <c r="E299" i="49"/>
  <c r="E298" i="49"/>
  <c r="E297" i="49"/>
  <c r="E296" i="49"/>
  <c r="E295" i="49"/>
  <c r="E294" i="49"/>
  <c r="E293" i="49"/>
  <c r="E292" i="49"/>
  <c r="E291" i="49"/>
  <c r="E290" i="49"/>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E272" i="49"/>
  <c r="E271" i="49"/>
  <c r="E270" i="49"/>
  <c r="E269" i="49"/>
  <c r="E268" i="49"/>
  <c r="E267" i="49"/>
  <c r="E266" i="49"/>
  <c r="E265" i="49"/>
  <c r="E264" i="49"/>
  <c r="E263" i="49"/>
  <c r="E262" i="49"/>
  <c r="E261" i="49"/>
  <c r="E260" i="49"/>
  <c r="E259" i="49"/>
  <c r="E258" i="49"/>
  <c r="E257" i="49"/>
  <c r="E256" i="49"/>
  <c r="E255" i="49"/>
  <c r="E254" i="49"/>
  <c r="I241" i="49"/>
  <c r="I240" i="49"/>
  <c r="I239" i="49"/>
  <c r="I238" i="49"/>
  <c r="I237" i="49"/>
  <c r="I236" i="49"/>
  <c r="I235" i="49"/>
  <c r="I234" i="49"/>
  <c r="I233" i="49"/>
  <c r="I232" i="49"/>
  <c r="I231" i="49"/>
  <c r="I230" i="49"/>
  <c r="I229" i="49"/>
  <c r="I228" i="49"/>
  <c r="I227" i="49"/>
  <c r="I226" i="49"/>
  <c r="I225" i="49"/>
  <c r="I224" i="49"/>
  <c r="I223" i="49"/>
  <c r="I222" i="49"/>
  <c r="I221" i="49"/>
  <c r="E241" i="49"/>
  <c r="E240" i="49"/>
  <c r="E239" i="49"/>
  <c r="E238" i="49"/>
  <c r="E237" i="49"/>
  <c r="E236" i="49"/>
  <c r="E235" i="49"/>
  <c r="E234" i="49"/>
  <c r="E233" i="49"/>
  <c r="E232" i="49"/>
  <c r="E231" i="49"/>
  <c r="E230" i="49"/>
  <c r="E229" i="49"/>
  <c r="E228" i="49"/>
  <c r="E227" i="49"/>
  <c r="E226" i="49"/>
  <c r="E225" i="49"/>
  <c r="E224" i="49"/>
  <c r="E223" i="49"/>
  <c r="E221" i="49"/>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E191" i="49"/>
  <c r="E192" i="49"/>
  <c r="E193" i="49"/>
  <c r="E194" i="49"/>
  <c r="E195" i="49"/>
  <c r="E196" i="49"/>
  <c r="E197" i="49"/>
  <c r="E198" i="49"/>
  <c r="E199" i="49"/>
  <c r="E200" i="49"/>
  <c r="E201" i="49"/>
  <c r="E202" i="49"/>
  <c r="E203" i="49"/>
  <c r="E204" i="49"/>
  <c r="E205" i="49"/>
  <c r="E206" i="49"/>
  <c r="E207" i="49"/>
  <c r="E208" i="49"/>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E174" i="49"/>
  <c r="E173" i="49"/>
  <c r="E172" i="49"/>
  <c r="E171" i="49"/>
  <c r="E170" i="49"/>
  <c r="E169" i="49"/>
  <c r="E168" i="49"/>
  <c r="E167" i="49"/>
  <c r="E166" i="49"/>
  <c r="E165" i="49"/>
  <c r="E164" i="49"/>
  <c r="E163" i="49"/>
  <c r="E162" i="49"/>
  <c r="E161" i="49"/>
  <c r="E160" i="49"/>
  <c r="E159" i="49"/>
  <c r="E158" i="49"/>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7" i="11" l="1"/>
  <c r="E75" i="49"/>
  <c r="C120" i="48"/>
  <c r="E120" i="48" s="1"/>
  <c r="C119" i="48"/>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406" i="49"/>
  <c r="F405" i="49"/>
  <c r="F404" i="49"/>
  <c r="F403" i="49"/>
  <c r="F402" i="49"/>
  <c r="F401" i="49"/>
  <c r="F400" i="49"/>
  <c r="F399" i="49"/>
  <c r="F398" i="49"/>
  <c r="F397" i="49"/>
  <c r="F396" i="49"/>
  <c r="F395" i="49"/>
  <c r="F394" i="49"/>
  <c r="F393" i="49"/>
  <c r="F392" i="49"/>
  <c r="F391" i="49"/>
  <c r="F390" i="49"/>
  <c r="F389" i="49"/>
  <c r="F388" i="49"/>
  <c r="J386" i="49"/>
  <c r="K386" i="49" s="1"/>
  <c r="K384" i="49"/>
  <c r="J384" i="49"/>
  <c r="I384" i="49"/>
  <c r="H384" i="49"/>
  <c r="G384" i="49"/>
  <c r="F384" i="49"/>
  <c r="E384" i="49"/>
  <c r="D384" i="49"/>
  <c r="K383" i="49"/>
  <c r="J383" i="49"/>
  <c r="I383" i="49"/>
  <c r="H383" i="49"/>
  <c r="G383" i="49"/>
  <c r="F383" i="49"/>
  <c r="E383" i="49"/>
  <c r="D383" i="49"/>
  <c r="G382" i="49"/>
  <c r="F373" i="49"/>
  <c r="F372" i="49"/>
  <c r="F371" i="49"/>
  <c r="F370" i="49"/>
  <c r="F369" i="49"/>
  <c r="F368" i="49"/>
  <c r="F367" i="49"/>
  <c r="F366" i="49"/>
  <c r="F365" i="49"/>
  <c r="F364" i="49"/>
  <c r="F363" i="49"/>
  <c r="F362" i="49"/>
  <c r="F361" i="49"/>
  <c r="F360" i="49"/>
  <c r="F359" i="49"/>
  <c r="F358" i="49"/>
  <c r="F357" i="49"/>
  <c r="F356" i="49"/>
  <c r="F355" i="49"/>
  <c r="F354" i="49"/>
  <c r="F353" i="49"/>
  <c r="J352" i="49"/>
  <c r="K351" i="49"/>
  <c r="J351" i="49"/>
  <c r="I351" i="49"/>
  <c r="H351" i="49"/>
  <c r="G351" i="49"/>
  <c r="F351" i="49"/>
  <c r="E351" i="49"/>
  <c r="D351" i="49"/>
  <c r="K350" i="49"/>
  <c r="J350" i="49"/>
  <c r="I350" i="49"/>
  <c r="H350" i="49"/>
  <c r="G350" i="49"/>
  <c r="F350" i="49"/>
  <c r="E350" i="49"/>
  <c r="D350" i="49"/>
  <c r="G349" i="49"/>
  <c r="F340" i="49"/>
  <c r="F339" i="49"/>
  <c r="F338" i="49"/>
  <c r="F337" i="49"/>
  <c r="F336" i="49"/>
  <c r="F335" i="49"/>
  <c r="F334" i="49"/>
  <c r="F333" i="49"/>
  <c r="F332" i="49"/>
  <c r="F331" i="49"/>
  <c r="F330" i="49"/>
  <c r="F329" i="49"/>
  <c r="F328" i="49"/>
  <c r="F327" i="49"/>
  <c r="F326" i="49"/>
  <c r="F325" i="49"/>
  <c r="F324" i="49"/>
  <c r="F323" i="49"/>
  <c r="F322" i="49"/>
  <c r="F321" i="49"/>
  <c r="F320" i="49"/>
  <c r="K318" i="49"/>
  <c r="J318" i="49"/>
  <c r="I318" i="49"/>
  <c r="H318" i="49"/>
  <c r="G318" i="49"/>
  <c r="F318" i="49"/>
  <c r="E318" i="49"/>
  <c r="D318" i="49"/>
  <c r="K317" i="49"/>
  <c r="J317" i="49"/>
  <c r="I317" i="49"/>
  <c r="H317" i="49"/>
  <c r="G317" i="49"/>
  <c r="F317" i="49"/>
  <c r="E317" i="49"/>
  <c r="D317" i="49"/>
  <c r="G316" i="49"/>
  <c r="F307" i="49"/>
  <c r="F306" i="49"/>
  <c r="F305" i="49"/>
  <c r="F304" i="49"/>
  <c r="F303" i="49"/>
  <c r="I70" i="49"/>
  <c r="G60" i="48" s="1"/>
  <c r="F302" i="49"/>
  <c r="F301" i="49"/>
  <c r="F300" i="49"/>
  <c r="F299" i="49"/>
  <c r="F298" i="49"/>
  <c r="F297" i="49"/>
  <c r="F296" i="49"/>
  <c r="F295" i="49"/>
  <c r="F294" i="49"/>
  <c r="F293" i="49"/>
  <c r="F292" i="49"/>
  <c r="F291" i="49"/>
  <c r="F290" i="49"/>
  <c r="F289" i="49"/>
  <c r="F288" i="49"/>
  <c r="F287" i="49"/>
  <c r="J286" i="49"/>
  <c r="K285" i="49"/>
  <c r="J285" i="49"/>
  <c r="I285" i="49"/>
  <c r="H285" i="49"/>
  <c r="G285" i="49"/>
  <c r="F285" i="49"/>
  <c r="E285" i="49"/>
  <c r="D285" i="49"/>
  <c r="K284" i="49"/>
  <c r="J284" i="49"/>
  <c r="I284" i="49"/>
  <c r="H284" i="49"/>
  <c r="G284" i="49"/>
  <c r="F284" i="49"/>
  <c r="E284" i="49"/>
  <c r="D284" i="49"/>
  <c r="G283" i="49"/>
  <c r="F273" i="49"/>
  <c r="F272" i="49"/>
  <c r="F271" i="49"/>
  <c r="F270" i="49"/>
  <c r="F269" i="49"/>
  <c r="F268" i="49"/>
  <c r="F267" i="49"/>
  <c r="F266" i="49"/>
  <c r="F265" i="49"/>
  <c r="F264" i="49"/>
  <c r="F263" i="49"/>
  <c r="F262" i="49"/>
  <c r="F261" i="49"/>
  <c r="F260" i="49"/>
  <c r="F259" i="49"/>
  <c r="F258" i="49"/>
  <c r="E58" i="49"/>
  <c r="F256" i="49"/>
  <c r="F255" i="49"/>
  <c r="F254" i="49"/>
  <c r="J253" i="49"/>
  <c r="K252" i="49"/>
  <c r="J252" i="49"/>
  <c r="I252" i="49"/>
  <c r="H252" i="49"/>
  <c r="F252" i="49"/>
  <c r="E252" i="49"/>
  <c r="D252" i="49"/>
  <c r="K251" i="49"/>
  <c r="J251" i="49"/>
  <c r="I251" i="49"/>
  <c r="H251" i="49"/>
  <c r="F251" i="49"/>
  <c r="E251" i="49"/>
  <c r="D251" i="49"/>
  <c r="F241" i="49"/>
  <c r="F240" i="49"/>
  <c r="F239" i="49"/>
  <c r="F238" i="49"/>
  <c r="F237" i="49"/>
  <c r="F236" i="49"/>
  <c r="F235" i="49"/>
  <c r="F234" i="49"/>
  <c r="F233" i="49"/>
  <c r="F232" i="49"/>
  <c r="F231" i="49"/>
  <c r="F230" i="49"/>
  <c r="F229" i="49"/>
  <c r="F228" i="49"/>
  <c r="F227" i="49"/>
  <c r="F226" i="49"/>
  <c r="F225" i="49"/>
  <c r="F224" i="49"/>
  <c r="F223" i="49"/>
  <c r="F222" i="49"/>
  <c r="F221" i="49"/>
  <c r="J220" i="49"/>
  <c r="K219" i="49"/>
  <c r="J219" i="49"/>
  <c r="I219" i="49"/>
  <c r="H219" i="49"/>
  <c r="G219" i="49"/>
  <c r="F219" i="49"/>
  <c r="E219" i="49"/>
  <c r="D219" i="49"/>
  <c r="K218" i="49"/>
  <c r="J218" i="49"/>
  <c r="I218" i="49"/>
  <c r="H218" i="49"/>
  <c r="G218" i="49"/>
  <c r="F218" i="49"/>
  <c r="E218" i="49"/>
  <c r="D218" i="49"/>
  <c r="G217" i="49"/>
  <c r="F208" i="49"/>
  <c r="F207" i="49"/>
  <c r="F206" i="49"/>
  <c r="F205" i="49"/>
  <c r="F204" i="49"/>
  <c r="F203" i="49"/>
  <c r="F202" i="49"/>
  <c r="F201" i="49"/>
  <c r="F200" i="49"/>
  <c r="E66" i="49"/>
  <c r="F198" i="49"/>
  <c r="F197" i="49"/>
  <c r="F196" i="49"/>
  <c r="I62" i="49"/>
  <c r="G52" i="48" s="1"/>
  <c r="F195" i="49"/>
  <c r="F194" i="49"/>
  <c r="F193" i="49"/>
  <c r="F192" i="49"/>
  <c r="F191" i="49"/>
  <c r="F190" i="49"/>
  <c r="F189" i="49"/>
  <c r="J187" i="49"/>
  <c r="K186" i="49"/>
  <c r="J186" i="49"/>
  <c r="I186" i="49"/>
  <c r="H186" i="49"/>
  <c r="G186" i="49"/>
  <c r="F186" i="49"/>
  <c r="E186" i="49"/>
  <c r="D186" i="49"/>
  <c r="K185" i="49"/>
  <c r="J185" i="49"/>
  <c r="I185" i="49"/>
  <c r="H185" i="49"/>
  <c r="G185" i="49"/>
  <c r="F185" i="49"/>
  <c r="E185" i="49"/>
  <c r="D185" i="49"/>
  <c r="G184" i="49"/>
  <c r="F175" i="49"/>
  <c r="F174" i="49"/>
  <c r="F173" i="49"/>
  <c r="F172" i="49"/>
  <c r="F171" i="49"/>
  <c r="F170" i="49"/>
  <c r="F169" i="49"/>
  <c r="F168" i="49"/>
  <c r="F167" i="49"/>
  <c r="F166" i="49"/>
  <c r="F165" i="49"/>
  <c r="F164" i="49"/>
  <c r="F163" i="49"/>
  <c r="F162" i="49"/>
  <c r="F161" i="49"/>
  <c r="F160" i="49"/>
  <c r="F159" i="49"/>
  <c r="F158" i="49"/>
  <c r="F157" i="49"/>
  <c r="F156" i="49"/>
  <c r="F155" i="49"/>
  <c r="J154" i="49"/>
  <c r="K153" i="49"/>
  <c r="J153" i="49"/>
  <c r="I153" i="49"/>
  <c r="H153" i="49"/>
  <c r="G153" i="49"/>
  <c r="F153" i="49"/>
  <c r="E153" i="49"/>
  <c r="D153" i="49"/>
  <c r="K152" i="49"/>
  <c r="J152" i="49"/>
  <c r="I152" i="49"/>
  <c r="H152" i="49"/>
  <c r="G152" i="49"/>
  <c r="F152" i="49"/>
  <c r="E152" i="49"/>
  <c r="D152" i="49"/>
  <c r="G151"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G417" i="49" s="1"/>
  <c r="F87" i="49"/>
  <c r="E87" i="49"/>
  <c r="D87" i="49"/>
  <c r="K86" i="49"/>
  <c r="J86" i="49"/>
  <c r="I86" i="49"/>
  <c r="H86" i="49"/>
  <c r="G86" i="49"/>
  <c r="G416" i="49" s="1"/>
  <c r="F86" i="49"/>
  <c r="E86" i="49"/>
  <c r="D86" i="49"/>
  <c r="G85" i="49"/>
  <c r="G415" i="49" s="1"/>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A14" i="49"/>
  <c r="A15" i="49" s="1"/>
  <c r="A16" i="49" s="1"/>
  <c r="A17" i="49" s="1"/>
  <c r="A18" i="49" s="1"/>
  <c r="A19" i="49" s="1"/>
  <c r="A20" i="49" s="1"/>
  <c r="A21" i="49" s="1"/>
  <c r="A22" i="49" s="1"/>
  <c r="A23" i="49" s="1"/>
  <c r="A24" i="49" s="1"/>
  <c r="A25" i="49" s="1"/>
  <c r="J254" i="49" l="1"/>
  <c r="E119" i="48"/>
  <c r="H13" i="48"/>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7" i="49"/>
  <c r="K287"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20" i="49"/>
  <c r="K320" i="49" s="1"/>
  <c r="J353" i="49"/>
  <c r="K353" i="49" s="1"/>
  <c r="J221" i="49"/>
  <c r="K221" i="49" s="1"/>
  <c r="J188" i="49"/>
  <c r="K188" i="49" s="1"/>
  <c r="E16" i="71"/>
  <c r="F33" i="11"/>
  <c r="E15" i="71"/>
  <c r="F32" i="11"/>
  <c r="E17" i="71"/>
  <c r="F34" i="11"/>
  <c r="E14" i="71"/>
  <c r="F31" i="11"/>
  <c r="J54" i="49"/>
  <c r="D46" i="7"/>
  <c r="E12" i="71"/>
  <c r="F29" i="11"/>
  <c r="E9" i="71"/>
  <c r="F26" i="11"/>
  <c r="E13" i="71"/>
  <c r="F30" i="11"/>
  <c r="E10" i="71"/>
  <c r="F27" i="11"/>
  <c r="E11" i="71"/>
  <c r="F28" i="11"/>
  <c r="J387" i="49"/>
  <c r="F62" i="49"/>
  <c r="F63" i="49"/>
  <c r="F67" i="49"/>
  <c r="F60" i="49"/>
  <c r="F69" i="49"/>
  <c r="F61" i="49"/>
  <c r="F68" i="49"/>
  <c r="F64" i="49"/>
  <c r="F59" i="49"/>
  <c r="F71" i="49"/>
  <c r="F70" i="49"/>
  <c r="F57" i="49"/>
  <c r="F55" i="49"/>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47" i="48"/>
  <c r="P86" i="48"/>
  <c r="P90" i="48"/>
  <c r="E74" i="48"/>
  <c r="E43" i="48"/>
  <c r="P81" i="48"/>
  <c r="O16" i="48"/>
  <c r="O32" i="48"/>
  <c r="G43" i="48"/>
  <c r="G94" i="48"/>
  <c r="G95" i="48"/>
  <c r="O22" i="48"/>
  <c r="O30" i="48"/>
  <c r="F56" i="49"/>
  <c r="F72" i="49"/>
  <c r="F74" i="49"/>
  <c r="F257" i="49"/>
  <c r="F58" i="49" s="1"/>
  <c r="F274" i="49"/>
  <c r="F75" i="49" s="1"/>
  <c r="E72" i="49"/>
  <c r="I67" i="49"/>
  <c r="G57" i="48" s="1"/>
  <c r="E60" i="49"/>
  <c r="E73" i="49"/>
  <c r="I71" i="49"/>
  <c r="G61" i="48" s="1"/>
  <c r="F107" i="49"/>
  <c r="F73" i="49" s="1"/>
  <c r="I75" i="49"/>
  <c r="G65" i="48" s="1"/>
  <c r="I55" i="49"/>
  <c r="G45" i="48" s="1"/>
  <c r="K45" i="48" s="1"/>
  <c r="N45" i="48" s="1"/>
  <c r="E57" i="49"/>
  <c r="F199" i="49"/>
  <c r="F66" i="49" s="1"/>
  <c r="E55" i="49"/>
  <c r="F99" i="49"/>
  <c r="F65" i="49" s="1"/>
  <c r="E59" i="49"/>
  <c r="E67" i="49"/>
  <c r="I59" i="49"/>
  <c r="G49" i="48" s="1"/>
  <c r="E61" i="49"/>
  <c r="E69" i="49"/>
  <c r="J155" i="49"/>
  <c r="K155" i="49" s="1"/>
  <c r="E20" i="71" l="1"/>
  <c r="J90" i="49"/>
  <c r="K90" i="49" s="1"/>
  <c r="F37" i="11"/>
  <c r="M13" i="48"/>
  <c r="J55" i="49"/>
  <c r="J388" i="49"/>
  <c r="K388" i="49" s="1"/>
  <c r="K387" i="49"/>
  <c r="J321" i="49"/>
  <c r="K321" i="49" s="1"/>
  <c r="J255" i="49"/>
  <c r="K255" i="49" s="1"/>
  <c r="K254" i="49"/>
  <c r="K55" i="49" s="1"/>
  <c r="P24" i="48"/>
  <c r="J288" i="49"/>
  <c r="K288"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9" i="49"/>
  <c r="K189"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54" i="49"/>
  <c r="K354" i="49" s="1"/>
  <c r="J222" i="49"/>
  <c r="K222" i="49" s="1"/>
  <c r="G29" i="48"/>
  <c r="G25" i="48"/>
  <c r="G13" i="48"/>
  <c r="P32" i="48"/>
  <c r="P30" i="48"/>
  <c r="H18" i="48"/>
  <c r="P13" i="48"/>
  <c r="P15" i="48"/>
  <c r="G14" i="48"/>
  <c r="I78" i="48"/>
  <c r="J78" i="48" s="1"/>
  <c r="J15" i="48" s="1"/>
  <c r="K46" i="48"/>
  <c r="K47" i="48" s="1"/>
  <c r="P29" i="48"/>
  <c r="I86" i="48"/>
  <c r="I23" i="48" s="1"/>
  <c r="I79" i="48"/>
  <c r="J79" i="48" s="1"/>
  <c r="J16" i="48" s="1"/>
  <c r="P19" i="48"/>
  <c r="G16"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156" i="49"/>
  <c r="K156" i="49" s="1"/>
  <c r="J91" i="49" l="1"/>
  <c r="G19" i="71"/>
  <c r="J289" i="49"/>
  <c r="K289" i="49" s="1"/>
  <c r="J389" i="49"/>
  <c r="K389" i="49" s="1"/>
  <c r="J256" i="49"/>
  <c r="K256" i="49" s="1"/>
  <c r="J322" i="49"/>
  <c r="K322" i="49" s="1"/>
  <c r="J124" i="49"/>
  <c r="K124" i="49" s="1"/>
  <c r="K123" i="49"/>
  <c r="P37" i="48"/>
  <c r="D41" i="57" s="1"/>
  <c r="J223" i="49"/>
  <c r="A107" i="48"/>
  <c r="A111" i="48" s="1"/>
  <c r="G72" i="48"/>
  <c r="I87" i="48"/>
  <c r="I24" i="48" s="1"/>
  <c r="J190" i="49"/>
  <c r="K190"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55" i="49"/>
  <c r="K355" i="49" s="1"/>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157" i="49"/>
  <c r="K157" i="49" s="1"/>
  <c r="J290" i="49" l="1"/>
  <c r="K290" i="49" s="1"/>
  <c r="J390" i="49"/>
  <c r="K390" i="49" s="1"/>
  <c r="J257" i="49"/>
  <c r="K257" i="49" s="1"/>
  <c r="J323" i="49"/>
  <c r="K323" i="49" s="1"/>
  <c r="J125" i="49"/>
  <c r="K125" i="49" s="1"/>
  <c r="J224" i="49"/>
  <c r="K224" i="49" s="1"/>
  <c r="K223" i="49"/>
  <c r="J87" i="48"/>
  <c r="J24" i="48" s="1"/>
  <c r="J356" i="49"/>
  <c r="K356" i="49" s="1"/>
  <c r="J191"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8" i="49"/>
  <c r="K158" i="49" s="1"/>
  <c r="J225" i="49"/>
  <c r="K225" i="49" s="1"/>
  <c r="J258" i="49"/>
  <c r="J57" i="49"/>
  <c r="J291" i="49"/>
  <c r="K291" i="49" s="1"/>
  <c r="J93" i="49"/>
  <c r="K93" i="49" s="1"/>
  <c r="K258" i="49" l="1"/>
  <c r="J259" i="49"/>
  <c r="K259" i="49" s="1"/>
  <c r="J391" i="49"/>
  <c r="K391" i="49" s="1"/>
  <c r="J324" i="49"/>
  <c r="K324" i="49" s="1"/>
  <c r="J126" i="49"/>
  <c r="K126" i="49" s="1"/>
  <c r="J192" i="49"/>
  <c r="K192" i="49" s="1"/>
  <c r="K191" i="49"/>
  <c r="K57" i="49"/>
  <c r="J357" i="49"/>
  <c r="K357" i="49" s="1"/>
  <c r="A154" i="49"/>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H27" i="11"/>
  <c r="G10" i="71"/>
  <c r="K14" i="48"/>
  <c r="K50" i="48"/>
  <c r="K79" i="48"/>
  <c r="K15" i="48"/>
  <c r="J292" i="49"/>
  <c r="K292" i="49" s="1"/>
  <c r="J159" i="49"/>
  <c r="K159" i="49" s="1"/>
  <c r="J226" i="49"/>
  <c r="K226" i="49" s="1"/>
  <c r="J58" i="49"/>
  <c r="J94" i="49"/>
  <c r="K94" i="49" s="1"/>
  <c r="J392" i="49" l="1"/>
  <c r="K392" i="49" s="1"/>
  <c r="J325" i="49"/>
  <c r="K325" i="49" s="1"/>
  <c r="J193" i="49"/>
  <c r="K193" i="49" s="1"/>
  <c r="J127" i="49"/>
  <c r="K127" i="49" s="1"/>
  <c r="J358" i="49"/>
  <c r="K358" i="49" s="1"/>
  <c r="J59" i="49"/>
  <c r="K58" i="49"/>
  <c r="A187" i="49"/>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G11" i="71"/>
  <c r="H28" i="11"/>
  <c r="K51" i="48"/>
  <c r="K80" i="48"/>
  <c r="K16" i="48"/>
  <c r="A119" i="48"/>
  <c r="J72" i="48"/>
  <c r="J293" i="49"/>
  <c r="K293" i="49" s="1"/>
  <c r="J227" i="49"/>
  <c r="K227" i="49" s="1"/>
  <c r="J95" i="49"/>
  <c r="K95" i="49" s="1"/>
  <c r="K59" i="49"/>
  <c r="J160" i="49"/>
  <c r="K160" i="49" s="1"/>
  <c r="J260" i="49"/>
  <c r="K260" i="49" s="1"/>
  <c r="J393" i="49" l="1"/>
  <c r="K393" i="49" s="1"/>
  <c r="J326" i="49"/>
  <c r="K326" i="49" s="1"/>
  <c r="J194" i="49"/>
  <c r="K194" i="49" s="1"/>
  <c r="J128" i="49"/>
  <c r="K128" i="49" s="1"/>
  <c r="J359" i="49"/>
  <c r="J60" i="49"/>
  <c r="A220" i="49"/>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G12" i="71"/>
  <c r="H29" i="11"/>
  <c r="K52" i="48"/>
  <c r="K81" i="48"/>
  <c r="K17" i="48"/>
  <c r="A120" i="48"/>
  <c r="A121" i="48" s="1"/>
  <c r="A122" i="48" s="1"/>
  <c r="A123" i="48" s="1"/>
  <c r="A124" i="48" s="1"/>
  <c r="A125" i="48" s="1"/>
  <c r="A126" i="48" s="1"/>
  <c r="A127" i="48" s="1"/>
  <c r="A128" i="48" s="1"/>
  <c r="A129" i="48" s="1"/>
  <c r="A130" i="48" s="1"/>
  <c r="J228" i="49"/>
  <c r="K228" i="49" s="1"/>
  <c r="J294" i="49"/>
  <c r="K294" i="49" s="1"/>
  <c r="J261" i="49"/>
  <c r="K261" i="49" s="1"/>
  <c r="J96" i="49"/>
  <c r="K96" i="49" s="1"/>
  <c r="K60" i="49"/>
  <c r="J161" i="49"/>
  <c r="K161" i="49" s="1"/>
  <c r="J394" i="49" l="1"/>
  <c r="K394" i="49" s="1"/>
  <c r="J327" i="49"/>
  <c r="K327" i="49" s="1"/>
  <c r="J195" i="49"/>
  <c r="K195" i="49" s="1"/>
  <c r="J360" i="49"/>
  <c r="K360" i="49" s="1"/>
  <c r="K359" i="49"/>
  <c r="J129" i="49"/>
  <c r="K129" i="49" s="1"/>
  <c r="J61" i="49"/>
  <c r="A242" i="49"/>
  <c r="A243" i="49" s="1"/>
  <c r="A244" i="49" s="1"/>
  <c r="A245"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F130" i="48"/>
  <c r="A131" i="48"/>
  <c r="A132" i="48" s="1"/>
  <c r="A133" i="48" s="1"/>
  <c r="F131" i="48"/>
  <c r="K82" i="48"/>
  <c r="K18" i="48"/>
  <c r="K53" i="48"/>
  <c r="J162" i="49"/>
  <c r="K162" i="49" s="1"/>
  <c r="J295" i="49"/>
  <c r="K295" i="49" s="1"/>
  <c r="J97" i="49"/>
  <c r="K97" i="49" s="1"/>
  <c r="J262" i="49"/>
  <c r="K262" i="49" s="1"/>
  <c r="J229" i="49"/>
  <c r="K229" i="49" s="1"/>
  <c r="J395" i="49" l="1"/>
  <c r="K395" i="49" s="1"/>
  <c r="J328" i="49"/>
  <c r="K328" i="49" s="1"/>
  <c r="J196" i="49"/>
  <c r="K196" i="49" s="1"/>
  <c r="J361" i="49"/>
  <c r="K361" i="49" s="1"/>
  <c r="J130" i="49"/>
  <c r="K130" i="49" s="1"/>
  <c r="K61" i="49"/>
  <c r="F133" i="48"/>
  <c r="H30" i="11"/>
  <c r="A276" i="49"/>
  <c r="A277" i="49" s="1"/>
  <c r="A278"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G13" i="71"/>
  <c r="K54" i="48"/>
  <c r="K83" i="48"/>
  <c r="K19" i="48"/>
  <c r="J230" i="49"/>
  <c r="K230" i="49" s="1"/>
  <c r="J296" i="49"/>
  <c r="K296" i="49" s="1"/>
  <c r="J263" i="49"/>
  <c r="K263" i="49" s="1"/>
  <c r="J163" i="49"/>
  <c r="K62" i="49"/>
  <c r="J62" i="49"/>
  <c r="J98" i="49"/>
  <c r="K98" i="49" s="1"/>
  <c r="J396" i="49" l="1"/>
  <c r="K396" i="49" s="1"/>
  <c r="J197" i="49"/>
  <c r="K197" i="49" s="1"/>
  <c r="J329" i="49"/>
  <c r="K329" i="49" s="1"/>
  <c r="J362" i="49"/>
  <c r="K362" i="49" s="1"/>
  <c r="J131" i="49"/>
  <c r="K131" i="49" s="1"/>
  <c r="J63" i="49"/>
  <c r="K163" i="49"/>
  <c r="K63" i="49" s="1"/>
  <c r="H31" i="11"/>
  <c r="G14" i="71"/>
  <c r="A319" i="49"/>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G15" i="71"/>
  <c r="H32" i="11"/>
  <c r="K84" i="48"/>
  <c r="K20" i="48"/>
  <c r="K55" i="48"/>
  <c r="J99" i="49"/>
  <c r="K99" i="49" s="1"/>
  <c r="J397" i="49"/>
  <c r="K397" i="49" s="1"/>
  <c r="J164" i="49"/>
  <c r="J297" i="49"/>
  <c r="K297" i="49" s="1"/>
  <c r="J264" i="49"/>
  <c r="K264" i="49" s="1"/>
  <c r="J231" i="49"/>
  <c r="K231" i="49" s="1"/>
  <c r="J198" i="49"/>
  <c r="K198" i="49" s="1"/>
  <c r="J132" i="49" l="1"/>
  <c r="K132" i="49" s="1"/>
  <c r="J330" i="49"/>
  <c r="K330" i="49" s="1"/>
  <c r="J363" i="49"/>
  <c r="K363" i="49" s="1"/>
  <c r="J64" i="49"/>
  <c r="K164" i="49"/>
  <c r="K64" i="49" s="1"/>
  <c r="A341" i="49"/>
  <c r="A342" i="49" s="1"/>
  <c r="A343" i="49" s="1"/>
  <c r="A344" i="49" s="1"/>
  <c r="A352" i="49" s="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K56" i="48"/>
  <c r="K85" i="48"/>
  <c r="K21" i="48"/>
  <c r="J199" i="49"/>
  <c r="K199" i="49" s="1"/>
  <c r="J398" i="49"/>
  <c r="K398" i="49" s="1"/>
  <c r="J232" i="49"/>
  <c r="K232" i="49" s="1"/>
  <c r="J298" i="49"/>
  <c r="K298" i="49" s="1"/>
  <c r="J265" i="49"/>
  <c r="K265" i="49" s="1"/>
  <c r="J100" i="49"/>
  <c r="K100" i="49" s="1"/>
  <c r="J165" i="49"/>
  <c r="K165" i="49" s="1"/>
  <c r="H33" i="11" l="1"/>
  <c r="J331" i="49"/>
  <c r="K331" i="49" s="1"/>
  <c r="J133" i="49"/>
  <c r="K133" i="49" s="1"/>
  <c r="J364" i="49"/>
  <c r="K364" i="49" s="1"/>
  <c r="A374" i="49"/>
  <c r="A375" i="49" s="1"/>
  <c r="A376" i="49" s="1"/>
  <c r="A377" i="49" s="1"/>
  <c r="G17" i="71" s="1"/>
  <c r="G16" i="71"/>
  <c r="K86" i="48"/>
  <c r="K22" i="48"/>
  <c r="K57" i="48"/>
  <c r="J101" i="49"/>
  <c r="K101" i="49" s="1"/>
  <c r="J200" i="49"/>
  <c r="K200" i="49" s="1"/>
  <c r="J266" i="49"/>
  <c r="K266" i="49" s="1"/>
  <c r="J399" i="49"/>
  <c r="K399" i="49" s="1"/>
  <c r="K65" i="49"/>
  <c r="J166" i="49"/>
  <c r="J299" i="49"/>
  <c r="K299" i="49" s="1"/>
  <c r="J65" i="49"/>
  <c r="J233" i="49"/>
  <c r="K233" i="49" s="1"/>
  <c r="J332" i="49" l="1"/>
  <c r="K332" i="49" s="1"/>
  <c r="J134" i="49"/>
  <c r="K134" i="49" s="1"/>
  <c r="J365" i="49"/>
  <c r="K365" i="49" s="1"/>
  <c r="J66" i="49"/>
  <c r="K166" i="49"/>
  <c r="H34" i="11"/>
  <c r="A385" i="49"/>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K87" i="48"/>
  <c r="K23" i="48"/>
  <c r="K58" i="48"/>
  <c r="J300" i="49"/>
  <c r="K300" i="49" s="1"/>
  <c r="J267" i="49"/>
  <c r="K267" i="49" s="1"/>
  <c r="J102" i="49"/>
  <c r="K102" i="49" s="1"/>
  <c r="J234" i="49"/>
  <c r="K234" i="49" s="1"/>
  <c r="J167" i="49"/>
  <c r="K167" i="49" s="1"/>
  <c r="J201" i="49"/>
  <c r="K201" i="49" s="1"/>
  <c r="J400" i="49"/>
  <c r="K400" i="49" s="1"/>
  <c r="J135" i="49" l="1"/>
  <c r="K135" i="49" s="1"/>
  <c r="J333" i="49"/>
  <c r="J366" i="49"/>
  <c r="K366" i="49" s="1"/>
  <c r="K66" i="49"/>
  <c r="A407" i="49"/>
  <c r="A408" i="49" s="1"/>
  <c r="A409" i="49" s="1"/>
  <c r="A410"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K88" i="48"/>
  <c r="K24" i="48"/>
  <c r="K59" i="48"/>
  <c r="J401" i="49"/>
  <c r="K401" i="49" s="1"/>
  <c r="J103" i="49"/>
  <c r="K103" i="49" s="1"/>
  <c r="J168" i="49"/>
  <c r="K168" i="49" s="1"/>
  <c r="K67" i="49"/>
  <c r="J301" i="49"/>
  <c r="K301" i="49" s="1"/>
  <c r="J202" i="49"/>
  <c r="K202" i="49" s="1"/>
  <c r="J67" i="49"/>
  <c r="J235" i="49"/>
  <c r="K235" i="49" s="1"/>
  <c r="J268" i="49"/>
  <c r="K268" i="49" s="1"/>
  <c r="J136" i="49" l="1"/>
  <c r="K136" i="49" s="1"/>
  <c r="K333" i="49"/>
  <c r="J334" i="49"/>
  <c r="K334" i="49" s="1"/>
  <c r="G18" i="71"/>
  <c r="H35" i="11"/>
  <c r="J367" i="49"/>
  <c r="K367" i="49" s="1"/>
  <c r="K89" i="48"/>
  <c r="K25" i="48"/>
  <c r="K60" i="48"/>
  <c r="J169" i="49"/>
  <c r="J104" i="49"/>
  <c r="K104" i="49" s="1"/>
  <c r="J269" i="49"/>
  <c r="K269" i="49" s="1"/>
  <c r="J236" i="49"/>
  <c r="K236" i="49" s="1"/>
  <c r="J68" i="49"/>
  <c r="J203" i="49"/>
  <c r="K203" i="49" s="1"/>
  <c r="J302" i="49"/>
  <c r="K302" i="49" s="1"/>
  <c r="J402" i="49"/>
  <c r="K402" i="49" s="1"/>
  <c r="J137" i="49" l="1"/>
  <c r="K137" i="49" s="1"/>
  <c r="J335" i="49"/>
  <c r="K335" i="49" s="1"/>
  <c r="J368" i="49"/>
  <c r="K368" i="49" s="1"/>
  <c r="J69" i="49"/>
  <c r="K169" i="49"/>
  <c r="K69" i="49" s="1"/>
  <c r="K68" i="49"/>
  <c r="K90" i="48"/>
  <c r="K26" i="48"/>
  <c r="K61" i="48"/>
  <c r="J336" i="49"/>
  <c r="K336" i="49" s="1"/>
  <c r="J237" i="49"/>
  <c r="K237" i="49" s="1"/>
  <c r="J270" i="49"/>
  <c r="K270" i="49" s="1"/>
  <c r="J105" i="49"/>
  <c r="K105" i="49" s="1"/>
  <c r="J403" i="49"/>
  <c r="K403" i="49" s="1"/>
  <c r="J303" i="49"/>
  <c r="K303" i="49" s="1"/>
  <c r="J204" i="49"/>
  <c r="K204" i="49" s="1"/>
  <c r="J138" i="49"/>
  <c r="K138" i="49" s="1"/>
  <c r="J170" i="49"/>
  <c r="K170" i="49" s="1"/>
  <c r="J369" i="49" l="1"/>
  <c r="K369" i="49" s="1"/>
  <c r="K62" i="48"/>
  <c r="K91" i="48"/>
  <c r="K27" i="48"/>
  <c r="J271" i="49"/>
  <c r="K271" i="49" s="1"/>
  <c r="J171" i="49"/>
  <c r="K70" i="49"/>
  <c r="J238" i="49"/>
  <c r="K238" i="49" s="1"/>
  <c r="J139" i="49"/>
  <c r="K139" i="49" s="1"/>
  <c r="J70" i="49"/>
  <c r="J337" i="49"/>
  <c r="K337" i="49" s="1"/>
  <c r="J304" i="49"/>
  <c r="K304" i="49" s="1"/>
  <c r="J404" i="49"/>
  <c r="K404" i="49" s="1"/>
  <c r="J205" i="49"/>
  <c r="K205" i="49" s="1"/>
  <c r="J106" i="49"/>
  <c r="K106" i="49" s="1"/>
  <c r="J370" i="49" l="1"/>
  <c r="K370" i="49" s="1"/>
  <c r="J71" i="49"/>
  <c r="K171" i="49"/>
  <c r="K63" i="48"/>
  <c r="K92" i="48"/>
  <c r="K28" i="48"/>
  <c r="J405" i="49"/>
  <c r="K405" i="49" s="1"/>
  <c r="J239" i="49"/>
  <c r="K239" i="49" s="1"/>
  <c r="J107" i="49"/>
  <c r="K107" i="49" s="1"/>
  <c r="J338" i="49"/>
  <c r="K338" i="49" s="1"/>
  <c r="J206" i="49"/>
  <c r="K206" i="49" s="1"/>
  <c r="J140" i="49"/>
  <c r="K140" i="49" s="1"/>
  <c r="J305" i="49"/>
  <c r="K305" i="49" s="1"/>
  <c r="J172" i="49"/>
  <c r="J272" i="49"/>
  <c r="K272" i="49" s="1"/>
  <c r="J371" i="49" l="1"/>
  <c r="K371" i="49" s="1"/>
  <c r="J72" i="49"/>
  <c r="K172" i="49"/>
  <c r="K72" i="49" s="1"/>
  <c r="K71" i="49"/>
  <c r="K64" i="48"/>
  <c r="K93" i="48"/>
  <c r="K29" i="48"/>
  <c r="J108" i="49"/>
  <c r="K108" i="49" s="1"/>
  <c r="J207" i="49"/>
  <c r="K207" i="49" s="1"/>
  <c r="J173" i="49"/>
  <c r="K173" i="49" s="1"/>
  <c r="J141" i="49"/>
  <c r="K141" i="49" s="1"/>
  <c r="J273" i="49"/>
  <c r="K273" i="49" s="1"/>
  <c r="J372" i="49"/>
  <c r="K372" i="49" s="1"/>
  <c r="J240" i="49"/>
  <c r="K240" i="49" s="1"/>
  <c r="J306" i="49"/>
  <c r="K306" i="49" s="1"/>
  <c r="J339" i="49"/>
  <c r="K339" i="49" s="1"/>
  <c r="J406" i="49"/>
  <c r="K406" i="49" s="1"/>
  <c r="J407" i="49" l="1"/>
  <c r="K407" i="49" s="1"/>
  <c r="K94" i="48"/>
  <c r="K30" i="48"/>
  <c r="K65" i="48"/>
  <c r="J174" i="49"/>
  <c r="K174" i="49" s="1"/>
  <c r="K73" i="49"/>
  <c r="J274" i="49"/>
  <c r="K274" i="49" s="1"/>
  <c r="J340" i="49"/>
  <c r="K340" i="49" s="1"/>
  <c r="J307" i="49"/>
  <c r="K307" i="49" s="1"/>
  <c r="J142" i="49"/>
  <c r="K142" i="49" s="1"/>
  <c r="J109" i="49"/>
  <c r="J241" i="49"/>
  <c r="K241" i="49" s="1"/>
  <c r="J208" i="49"/>
  <c r="K208" i="49" s="1"/>
  <c r="J373" i="49"/>
  <c r="K373" i="49" s="1"/>
  <c r="J73" i="49"/>
  <c r="J74" i="49" l="1"/>
  <c r="J110" i="49"/>
  <c r="K110" i="49" s="1"/>
  <c r="K109" i="49"/>
  <c r="K66" i="48"/>
  <c r="J408" i="49"/>
  <c r="K408" i="49" s="1"/>
  <c r="J374" i="49"/>
  <c r="K374" i="49" s="1"/>
  <c r="J341" i="49"/>
  <c r="K341" i="49" s="1"/>
  <c r="J308" i="49"/>
  <c r="K308" i="49" s="1"/>
  <c r="J275" i="49"/>
  <c r="K275" i="49" s="1"/>
  <c r="J242" i="49"/>
  <c r="K242" i="49" s="1"/>
  <c r="J209" i="49"/>
  <c r="K209" i="49" s="1"/>
  <c r="J143" i="49"/>
  <c r="K143" i="49" s="1"/>
  <c r="K95" i="48"/>
  <c r="K31" i="48"/>
  <c r="K74" i="49"/>
  <c r="J175" i="49"/>
  <c r="K175" i="49" s="1"/>
  <c r="J111" i="49" l="1"/>
  <c r="K111" i="49" s="1"/>
  <c r="K67" i="48"/>
  <c r="J409" i="49"/>
  <c r="J375" i="49"/>
  <c r="K375" i="49" s="1"/>
  <c r="J342" i="49"/>
  <c r="K342" i="49" s="1"/>
  <c r="J309" i="49"/>
  <c r="K309" i="49" s="1"/>
  <c r="J276" i="49"/>
  <c r="K276" i="49" s="1"/>
  <c r="J243" i="49"/>
  <c r="K243" i="49" s="1"/>
  <c r="J210" i="49"/>
  <c r="K210" i="49" s="1"/>
  <c r="K75" i="49"/>
  <c r="J176" i="49"/>
  <c r="J144" i="49"/>
  <c r="K144" i="49" s="1"/>
  <c r="J112" i="49"/>
  <c r="K112" i="49" s="1"/>
  <c r="K113" i="49" s="1"/>
  <c r="K96" i="48"/>
  <c r="K97" i="48" s="1"/>
  <c r="K98" i="48" s="1"/>
  <c r="K99" i="48" s="1"/>
  <c r="K32" i="48"/>
  <c r="J75" i="49"/>
  <c r="K409" i="49" l="1"/>
  <c r="J76" i="49"/>
  <c r="K176" i="49"/>
  <c r="K76" i="49" s="1"/>
  <c r="K35" i="48"/>
  <c r="K34" i="48"/>
  <c r="G26" i="11"/>
  <c r="K36" i="48"/>
  <c r="J376" i="49"/>
  <c r="K376" i="49" s="1"/>
  <c r="J343" i="49"/>
  <c r="K343" i="49" s="1"/>
  <c r="J310" i="49"/>
  <c r="K310" i="49" s="1"/>
  <c r="J277" i="49"/>
  <c r="K277" i="49" s="1"/>
  <c r="J244" i="49"/>
  <c r="K244" i="49" s="1"/>
  <c r="J211" i="49"/>
  <c r="K211" i="49" s="1"/>
  <c r="K212" i="49" s="1"/>
  <c r="J177" i="49"/>
  <c r="J145" i="49"/>
  <c r="K145" i="49" s="1"/>
  <c r="K33" i="48"/>
  <c r="K37" i="48" l="1"/>
  <c r="C41" i="57" s="1"/>
  <c r="E41" i="57" s="1"/>
  <c r="F18" i="71"/>
  <c r="G35" i="11"/>
  <c r="J77" i="49"/>
  <c r="K177" i="49"/>
  <c r="K77" i="49" s="1"/>
  <c r="F9" i="71"/>
  <c r="K245" i="49"/>
  <c r="K311" i="49"/>
  <c r="K377" i="49"/>
  <c r="K146" i="49"/>
  <c r="K278" i="49"/>
  <c r="K344" i="49"/>
  <c r="J178" i="49"/>
  <c r="K178" i="49" s="1"/>
  <c r="J78" i="49" l="1"/>
  <c r="K78" i="49"/>
  <c r="K79" i="49" s="1"/>
  <c r="G28" i="11"/>
  <c r="F10" i="71"/>
  <c r="G27" i="11"/>
  <c r="G33" i="11"/>
  <c r="F16" i="71"/>
  <c r="F17" i="71"/>
  <c r="G34" i="11"/>
  <c r="F14" i="71"/>
  <c r="G31" i="11"/>
  <c r="G32" i="11"/>
  <c r="F15" i="71"/>
  <c r="G29" i="11"/>
  <c r="F12" i="71"/>
  <c r="F13" i="71"/>
  <c r="G30" i="11"/>
  <c r="I125" i="15"/>
  <c r="A125" i="15"/>
  <c r="I114" i="15"/>
  <c r="A100" i="15"/>
  <c r="A101" i="15" s="1"/>
  <c r="A102" i="15" s="1"/>
  <c r="A103" i="15" s="1"/>
  <c r="A104" i="15" s="1"/>
  <c r="A105" i="15" s="1"/>
  <c r="E91" i="15"/>
  <c r="A87" i="15"/>
  <c r="A88" i="15" s="1"/>
  <c r="I86" i="15"/>
  <c r="A79" i="15"/>
  <c r="A80" i="15" s="1"/>
  <c r="A81" i="15" s="1"/>
  <c r="A82" i="15" s="1"/>
  <c r="A83" i="15" s="1"/>
  <c r="I66" i="15"/>
  <c r="E71" i="15"/>
  <c r="I64" i="15"/>
  <c r="A31" i="15"/>
  <c r="A11" i="15"/>
  <c r="A12" i="15" s="1"/>
  <c r="A13" i="15" s="1"/>
  <c r="E14" i="15" s="1"/>
  <c r="G114" i="15" l="1"/>
  <c r="G125" i="15" s="1"/>
  <c r="A14" i="15"/>
  <c r="G37" i="11"/>
  <c r="C42" i="57"/>
  <c r="F11" i="71"/>
  <c r="F88" i="15"/>
  <c r="I88" i="15"/>
  <c r="A126" i="15"/>
  <c r="A127" i="15" s="1"/>
  <c r="E12" i="15" s="1"/>
  <c r="F68" i="15"/>
  <c r="A32" i="15"/>
  <c r="A33" i="15" s="1"/>
  <c r="A34" i="15" s="1"/>
  <c r="A35" i="15" s="1"/>
  <c r="A36" i="15" s="1"/>
  <c r="A37" i="15" s="1"/>
  <c r="A38" i="15" s="1"/>
  <c r="A39" i="15" s="1"/>
  <c r="A40" i="15" s="1"/>
  <c r="A41" i="15" s="1"/>
  <c r="A42" i="15" s="1"/>
  <c r="A43" i="15" s="1"/>
  <c r="A44" i="15" s="1"/>
  <c r="A45" i="15" s="1"/>
  <c r="I54" i="15"/>
  <c r="A91" i="15"/>
  <c r="E11" i="15"/>
  <c r="E130" i="15"/>
  <c r="G54" i="15" l="1"/>
  <c r="G66" i="15" s="1"/>
  <c r="A15" i="15"/>
  <c r="A16" i="15" s="1"/>
  <c r="A17" i="15" s="1"/>
  <c r="A18" i="15" s="1"/>
  <c r="A19" i="15" s="1"/>
  <c r="A20" i="15" s="1"/>
  <c r="A21" i="15" s="1"/>
  <c r="A22" i="15" s="1"/>
  <c r="A23" i="15" s="1"/>
  <c r="A24" i="15" s="1"/>
  <c r="E19" i="15"/>
  <c r="D82" i="7"/>
  <c r="A130" i="15"/>
  <c r="A139" i="15" s="1"/>
  <c r="A140" i="15" s="1"/>
  <c r="A141" i="15" s="1"/>
  <c r="A142" i="15" s="1"/>
  <c r="A143" i="15" s="1"/>
  <c r="A144" i="15" s="1"/>
  <c r="A145" i="15" s="1"/>
  <c r="A146" i="15" s="1"/>
  <c r="A147" i="15" s="1"/>
  <c r="A148" i="15" s="1"/>
  <c r="A149" i="15" s="1"/>
  <c r="A150" i="15" s="1"/>
  <c r="A151" i="15" s="1"/>
  <c r="A152" i="15" s="1"/>
  <c r="I127" i="15"/>
  <c r="E10" i="15"/>
  <c r="I68" i="15"/>
  <c r="F127" i="15"/>
  <c r="H114" i="15" l="1"/>
  <c r="H125" i="15" s="1"/>
  <c r="E114" i="15"/>
  <c r="E125" i="15" s="1"/>
  <c r="H54" i="15"/>
  <c r="H66" i="15" s="1"/>
  <c r="E66" i="15"/>
  <c r="E86" i="8" l="1"/>
  <c r="G56" i="46"/>
  <c r="A10" i="22" l="1"/>
  <c r="A11" i="22" s="1"/>
  <c r="A12" i="22" s="1"/>
  <c r="A13" i="22" s="1"/>
  <c r="A14" i="22" s="1"/>
  <c r="A15" i="22" s="1"/>
  <c r="A16" i="22" s="1"/>
  <c r="A17" i="22" s="1"/>
  <c r="A18" i="22" s="1"/>
  <c r="A19" i="22" s="1"/>
  <c r="A20" i="22" s="1"/>
  <c r="A21" i="22" l="1"/>
  <c r="G23" i="22" s="1"/>
  <c r="D46" i="2" l="1"/>
  <c r="D47" i="2" s="1"/>
  <c r="D40" i="2"/>
  <c r="D41" i="2" s="1"/>
  <c r="D34" i="2"/>
  <c r="D35" i="2" s="1"/>
  <c r="F117" i="46" l="1"/>
  <c r="F116" i="46"/>
  <c r="F115" i="46"/>
  <c r="F118" i="46"/>
  <c r="F103" i="46"/>
  <c r="F87" i="46"/>
  <c r="F95" i="46"/>
  <c r="F97" i="46"/>
  <c r="F79" i="46"/>
  <c r="F93" i="46"/>
  <c r="F76" i="46"/>
  <c r="F74" i="46"/>
  <c r="F101" i="46"/>
  <c r="F83" i="46"/>
  <c r="F99" i="46"/>
  <c r="F90" i="46"/>
  <c r="F82" i="46"/>
  <c r="C29" i="46"/>
  <c r="L29" i="46"/>
  <c r="G29" i="46"/>
  <c r="E92" i="46" l="1"/>
  <c r="J29" i="46"/>
  <c r="C92" i="46"/>
  <c r="D92" i="46"/>
  <c r="E11" i="2" l="1"/>
  <c r="E10" i="2"/>
  <c r="E41" i="71"/>
  <c r="H27" i="8"/>
  <c r="H25" i="8"/>
  <c r="H23" i="8"/>
  <c r="H9" i="8"/>
  <c r="H8" i="8"/>
  <c r="G27" i="32"/>
  <c r="G21" i="32"/>
  <c r="G13" i="32"/>
  <c r="B100" i="44"/>
  <c r="B194" i="71"/>
  <c r="F141" i="71"/>
  <c r="F140" i="71"/>
  <c r="D64" i="46"/>
  <c r="G68" i="8"/>
  <c r="G70" i="8"/>
  <c r="E51" i="7"/>
  <c r="E39" i="7"/>
  <c r="I134" i="1"/>
  <c r="I133" i="1"/>
  <c r="I130" i="1"/>
  <c r="I128" i="1"/>
  <c r="I126" i="1"/>
  <c r="I100" i="1"/>
  <c r="I32" i="1"/>
  <c r="I30" i="1"/>
  <c r="I26" i="1"/>
  <c r="I22" i="1"/>
  <c r="I12" i="1"/>
  <c r="I11" i="1"/>
  <c r="F220" i="61" l="1"/>
  <c r="F221" i="61"/>
  <c r="F218" i="61"/>
  <c r="F224" i="61"/>
  <c r="J45" i="8" l="1"/>
  <c r="E70" i="8" l="1"/>
  <c r="C99" i="26" l="1"/>
  <c r="E19" i="55"/>
  <c r="E17" i="55"/>
  <c r="E18" i="55"/>
  <c r="I21" i="45"/>
  <c r="H56" i="26" l="1"/>
  <c r="F63" i="26"/>
  <c r="F49" i="22" l="1"/>
  <c r="I202" i="61"/>
  <c r="B112" i="12" l="1"/>
  <c r="K133" i="1"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F85" i="11" l="1"/>
  <c r="H85" i="11"/>
  <c r="G85" i="11"/>
  <c r="E95" i="11"/>
  <c r="G95" i="11" s="1"/>
  <c r="E97" i="11"/>
  <c r="E99" i="11"/>
  <c r="G99" i="11" s="1"/>
  <c r="E101" i="11"/>
  <c r="G101" i="11" s="1"/>
  <c r="E103" i="11"/>
  <c r="G103" i="11" s="1"/>
  <c r="E105" i="11"/>
  <c r="G105" i="11" s="1"/>
  <c r="E94" i="11"/>
  <c r="G94" i="11" s="1"/>
  <c r="E96" i="11"/>
  <c r="G96" i="11" s="1"/>
  <c r="E98" i="11"/>
  <c r="G98" i="11" s="1"/>
  <c r="E100" i="11"/>
  <c r="G100" i="11" s="1"/>
  <c r="E102" i="11"/>
  <c r="G102" i="11" s="1"/>
  <c r="E104" i="11"/>
  <c r="G104" i="11" s="1"/>
  <c r="E106" i="11"/>
  <c r="G106" i="11" s="1"/>
  <c r="G97" i="11"/>
  <c r="E107" i="11" l="1"/>
  <c r="G107" i="11"/>
  <c r="H19" i="8" l="1"/>
  <c r="E36" i="7"/>
  <c r="D37" i="7"/>
  <c r="G23" i="2"/>
  <c r="G21" i="2"/>
  <c r="E38" i="7" l="1"/>
  <c r="I21" i="1"/>
  <c r="J19" i="8"/>
  <c r="K22" i="1"/>
  <c r="D39" i="7"/>
  <c r="H18" i="8" l="1"/>
  <c r="F100" i="12"/>
  <c r="B108" i="12"/>
  <c r="E37" i="7" l="1"/>
  <c r="H20" i="8"/>
  <c r="I23" i="1" l="1"/>
  <c r="H6" i="8" l="1"/>
  <c r="I9" i="1" l="1"/>
  <c r="E23" i="2" l="1"/>
  <c r="E21" i="2"/>
  <c r="H7" i="8" l="1"/>
  <c r="I10" i="1" l="1"/>
  <c r="K84" i="1" l="1"/>
  <c r="B34" i="31" l="1"/>
  <c r="F44" i="26" l="1"/>
  <c r="F46" i="71" l="1"/>
  <c r="D53" i="71"/>
  <c r="A10" i="71"/>
  <c r="A11" i="71" s="1"/>
  <c r="A12" i="71" s="1"/>
  <c r="A13" i="71" s="1"/>
  <c r="A14" i="71" s="1"/>
  <c r="A15" i="71" s="1"/>
  <c r="A16" i="71" s="1"/>
  <c r="A17" i="71" s="1"/>
  <c r="A18" i="71" s="1"/>
  <c r="A19" i="71" s="1"/>
  <c r="D46" i="71"/>
  <c r="F53" i="71"/>
  <c r="D38" i="7"/>
  <c r="J43" i="61"/>
  <c r="G11" i="2"/>
  <c r="C64" i="46"/>
  <c r="G56" i="26"/>
  <c r="G57" i="26" s="1"/>
  <c r="G37" i="26" s="1"/>
  <c r="D37" i="26" s="1"/>
  <c r="G6" i="26" s="1"/>
  <c r="H6" i="26" s="1"/>
  <c r="G10" i="2"/>
  <c r="H80" i="44"/>
  <c r="H77" i="44"/>
  <c r="H55" i="44"/>
  <c r="A14" i="44"/>
  <c r="A15" i="44" s="1"/>
  <c r="A16" i="44" s="1"/>
  <c r="A17" i="44" s="1"/>
  <c r="A18" i="44" s="1"/>
  <c r="A30" i="44" s="1"/>
  <c r="K21" i="1"/>
  <c r="E60" i="46"/>
  <c r="C56" i="46"/>
  <c r="L57" i="46"/>
  <c r="E120" i="46" s="1"/>
  <c r="I120" i="46" s="1"/>
  <c r="K56" i="46"/>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L42" i="46"/>
  <c r="E105" i="46" s="1"/>
  <c r="G41" i="46"/>
  <c r="G40" i="46"/>
  <c r="L40" i="46"/>
  <c r="C40" i="46"/>
  <c r="D102" i="46"/>
  <c r="G39" i="46"/>
  <c r="L39" i="46"/>
  <c r="C39" i="46"/>
  <c r="G38" i="46"/>
  <c r="L38" i="46"/>
  <c r="C38" i="46"/>
  <c r="D100" i="46"/>
  <c r="G37" i="46"/>
  <c r="L37" i="46"/>
  <c r="C37" i="46"/>
  <c r="G36" i="46"/>
  <c r="L36" i="46"/>
  <c r="C36" i="46"/>
  <c r="D98" i="46"/>
  <c r="H98" i="46" s="1"/>
  <c r="G35" i="46"/>
  <c r="L35" i="46"/>
  <c r="C35" i="46"/>
  <c r="G34" i="46"/>
  <c r="L34" i="46"/>
  <c r="C34" i="46"/>
  <c r="G33" i="46"/>
  <c r="L33" i="46"/>
  <c r="C33" i="46"/>
  <c r="G32" i="46"/>
  <c r="L32" i="46"/>
  <c r="C32" i="46"/>
  <c r="G31" i="46"/>
  <c r="L31" i="46"/>
  <c r="D94" i="46"/>
  <c r="C31" i="46"/>
  <c r="G30" i="46"/>
  <c r="L30" i="46"/>
  <c r="C30" i="46"/>
  <c r="G28" i="46"/>
  <c r="L28" i="46"/>
  <c r="D91" i="46"/>
  <c r="C28" i="46"/>
  <c r="G27" i="46"/>
  <c r="L27" i="46"/>
  <c r="D90" i="46"/>
  <c r="H90" i="46" s="1"/>
  <c r="C27" i="46"/>
  <c r="G26" i="46"/>
  <c r="L26" i="46"/>
  <c r="C26" i="46"/>
  <c r="L25" i="46"/>
  <c r="D88" i="46"/>
  <c r="C25" i="46"/>
  <c r="G24" i="46"/>
  <c r="L24" i="46"/>
  <c r="C24" i="46"/>
  <c r="G23" i="46"/>
  <c r="L23" i="46"/>
  <c r="C23" i="46"/>
  <c r="G22" i="46"/>
  <c r="L22" i="46"/>
  <c r="J22" i="46" s="1"/>
  <c r="D85" i="46"/>
  <c r="H85" i="46" s="1"/>
  <c r="C22" i="46"/>
  <c r="G21" i="46"/>
  <c r="L21" i="46"/>
  <c r="J21" i="46" s="1"/>
  <c r="D84" i="46"/>
  <c r="H84" i="46" s="1"/>
  <c r="C21" i="46"/>
  <c r="G20" i="46"/>
  <c r="L20" i="46"/>
  <c r="J20" i="46" s="1"/>
  <c r="D83" i="46"/>
  <c r="H83" i="46" s="1"/>
  <c r="C20" i="46"/>
  <c r="G19" i="46"/>
  <c r="L19" i="46"/>
  <c r="J19" i="46" s="1"/>
  <c r="D82" i="46"/>
  <c r="H82" i="46" s="1"/>
  <c r="C19" i="46"/>
  <c r="G18" i="46"/>
  <c r="L18" i="46"/>
  <c r="J18" i="46" s="1"/>
  <c r="D81" i="46"/>
  <c r="H81" i="46" s="1"/>
  <c r="C18" i="46"/>
  <c r="G17" i="46"/>
  <c r="L17" i="46"/>
  <c r="J17" i="46" s="1"/>
  <c r="D80" i="46"/>
  <c r="H80" i="46" s="1"/>
  <c r="C17" i="46"/>
  <c r="G16" i="46"/>
  <c r="L16" i="46"/>
  <c r="J16" i="46" s="1"/>
  <c r="D79" i="46"/>
  <c r="H79" i="46" s="1"/>
  <c r="C16" i="46"/>
  <c r="G15" i="46"/>
  <c r="L15" i="46"/>
  <c r="J15" i="46" s="1"/>
  <c r="D78" i="46"/>
  <c r="H78" i="46" s="1"/>
  <c r="C15" i="46"/>
  <c r="G14" i="46"/>
  <c r="L14" i="46"/>
  <c r="C14" i="46"/>
  <c r="G13" i="46"/>
  <c r="L13" i="46"/>
  <c r="D76" i="46"/>
  <c r="C13" i="46"/>
  <c r="G12" i="46"/>
  <c r="L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E16" i="57"/>
  <c r="E10" i="57"/>
  <c r="E53" i="71"/>
  <c r="B54" i="54"/>
  <c r="C9" i="9"/>
  <c r="A5" i="31"/>
  <c r="E15" i="66"/>
  <c r="J25" i="8" s="1"/>
  <c r="F15" i="66"/>
  <c r="H43" i="26"/>
  <c r="D43" i="26" s="1"/>
  <c r="G12" i="26" s="1"/>
  <c r="H12" i="26" s="1"/>
  <c r="F53" i="22"/>
  <c r="D58" i="7"/>
  <c r="D54" i="7"/>
  <c r="F41" i="54"/>
  <c r="F38" i="54"/>
  <c r="F29" i="54"/>
  <c r="G20" i="2"/>
  <c r="J9" i="8"/>
  <c r="A7" i="2"/>
  <c r="A8" i="2" s="1"/>
  <c r="A9" i="2" s="1"/>
  <c r="A10" i="2" s="1"/>
  <c r="K126" i="1"/>
  <c r="J50" i="8" s="1"/>
  <c r="A11" i="7"/>
  <c r="A12" i="7" s="1"/>
  <c r="A13" i="7" s="1"/>
  <c r="A14" i="7" s="1"/>
  <c r="A15" i="7" s="1"/>
  <c r="A16" i="7" s="1"/>
  <c r="K32" i="1"/>
  <c r="I87" i="65"/>
  <c r="I86" i="65"/>
  <c r="I85" i="65"/>
  <c r="I83" i="65"/>
  <c r="I82" i="65"/>
  <c r="I81" i="65"/>
  <c r="I79" i="65"/>
  <c r="I78" i="65"/>
  <c r="A14" i="65"/>
  <c r="A15" i="65" s="1"/>
  <c r="A16" i="65" s="1"/>
  <c r="A17" i="65" s="1"/>
  <c r="A18" i="65" s="1"/>
  <c r="A19" i="65" s="1"/>
  <c r="A20" i="65" s="1"/>
  <c r="A21" i="65" s="1"/>
  <c r="A22" i="65" s="1"/>
  <c r="A23" i="65" s="1"/>
  <c r="I77" i="65"/>
  <c r="G48" i="11"/>
  <c r="G47" i="11"/>
  <c r="G46" i="11"/>
  <c r="E46" i="11" s="1"/>
  <c r="E39" i="12" s="1"/>
  <c r="G60" i="11"/>
  <c r="G62" i="11"/>
  <c r="E70" i="12" s="1"/>
  <c r="G61" i="11"/>
  <c r="E69" i="12" s="1"/>
  <c r="E84" i="11"/>
  <c r="E83" i="11"/>
  <c r="E82" i="11"/>
  <c r="E81" i="11"/>
  <c r="E80" i="11"/>
  <c r="E79" i="11"/>
  <c r="E78" i="11"/>
  <c r="E77" i="11"/>
  <c r="E76" i="11"/>
  <c r="E75" i="11"/>
  <c r="E74" i="11"/>
  <c r="E73" i="11"/>
  <c r="E72" i="11"/>
  <c r="A25" i="12"/>
  <c r="A26" i="12" s="1"/>
  <c r="E222" i="61"/>
  <c r="I203" i="61"/>
  <c r="N186" i="61"/>
  <c r="N183" i="61"/>
  <c r="N181" i="61"/>
  <c r="N178" i="61"/>
  <c r="N177" i="61"/>
  <c r="N172" i="61"/>
  <c r="M172" i="61"/>
  <c r="L172" i="61"/>
  <c r="L211" i="61" s="1"/>
  <c r="J172" i="61"/>
  <c r="I172" i="61"/>
  <c r="H172" i="61"/>
  <c r="G172" i="61"/>
  <c r="J152" i="61"/>
  <c r="H144" i="61"/>
  <c r="M110" i="61"/>
  <c r="N109" i="61"/>
  <c r="H83" i="61"/>
  <c r="N83" i="61" s="1"/>
  <c r="H82" i="61"/>
  <c r="H50" i="61"/>
  <c r="H71" i="61" s="1"/>
  <c r="G50" i="61"/>
  <c r="J49" i="61"/>
  <c r="M49" i="61" s="1"/>
  <c r="N48" i="61"/>
  <c r="N47" i="61"/>
  <c r="J46" i="61"/>
  <c r="M46" i="61" s="1"/>
  <c r="J45" i="61"/>
  <c r="M45" i="61" s="1"/>
  <c r="J44" i="61"/>
  <c r="M44" i="61" s="1"/>
  <c r="G18" i="61"/>
  <c r="I18" i="61" s="1"/>
  <c r="J17" i="61"/>
  <c r="M17" i="61" s="1"/>
  <c r="N16" i="61"/>
  <c r="J15" i="61"/>
  <c r="M15" i="61" s="1"/>
  <c r="G14" i="61"/>
  <c r="I14" i="61" s="1"/>
  <c r="J13" i="61"/>
  <c r="J12" i="61"/>
  <c r="M12" i="61" s="1"/>
  <c r="J11" i="61"/>
  <c r="J5" i="61"/>
  <c r="M5" i="61" s="1"/>
  <c r="G4" i="61"/>
  <c r="D16" i="57"/>
  <c r="E11" i="57"/>
  <c r="D11" i="57"/>
  <c r="D10" i="57"/>
  <c r="D17" i="57"/>
  <c r="F48" i="11"/>
  <c r="F62" i="11"/>
  <c r="E46" i="71"/>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F38" i="56"/>
  <c r="F25" i="56"/>
  <c r="F24" i="56"/>
  <c r="F23" i="56"/>
  <c r="F22" i="56"/>
  <c r="F21" i="56"/>
  <c r="F20" i="56"/>
  <c r="K30" i="1"/>
  <c r="K134" i="1"/>
  <c r="J58" i="8" s="1"/>
  <c r="A13" i="32"/>
  <c r="G14" i="32" s="1"/>
  <c r="A7" i="26"/>
  <c r="A8" i="26" s="1"/>
  <c r="A9" i="26" s="1"/>
  <c r="A10" i="26" s="1"/>
  <c r="A27" i="11"/>
  <c r="K100" i="1"/>
  <c r="A7" i="8"/>
  <c r="A8" i="8" s="1"/>
  <c r="A9" i="8" s="1"/>
  <c r="E27" i="32"/>
  <c r="K12" i="1"/>
  <c r="K128" i="1"/>
  <c r="F24" i="26"/>
  <c r="F27" i="12"/>
  <c r="F56" i="12" s="1"/>
  <c r="F26" i="12"/>
  <c r="F55" i="12" s="1"/>
  <c r="F25" i="12"/>
  <c r="F54" i="12" s="1"/>
  <c r="J44" i="8"/>
  <c r="F22" i="31"/>
  <c r="E22" i="31"/>
  <c r="D22" i="31"/>
  <c r="E20" i="26"/>
  <c r="F15" i="56"/>
  <c r="I58" i="61"/>
  <c r="F47" i="11"/>
  <c r="F61" i="11"/>
  <c r="A28" i="11"/>
  <c r="A29" i="11" s="1"/>
  <c r="A30" i="11" s="1"/>
  <c r="A31" i="11" s="1"/>
  <c r="A32" i="11" s="1"/>
  <c r="A33" i="11" s="1"/>
  <c r="A34" i="11" s="1"/>
  <c r="A35" i="11" s="1"/>
  <c r="A36" i="11" s="1"/>
  <c r="A37" i="11" s="1"/>
  <c r="I80" i="65"/>
  <c r="I84" i="65"/>
  <c r="I88" i="65"/>
  <c r="L11" i="46"/>
  <c r="J11" i="46" s="1"/>
  <c r="D97" i="46"/>
  <c r="D99" i="46"/>
  <c r="L52" i="46"/>
  <c r="H64" i="44"/>
  <c r="A10" i="1"/>
  <c r="C58" i="46" l="1"/>
  <c r="L58" i="46"/>
  <c r="E96" i="46"/>
  <c r="J33" i="46"/>
  <c r="E103" i="46"/>
  <c r="I103" i="46" s="1"/>
  <c r="J40" i="46"/>
  <c r="E87" i="46"/>
  <c r="I87" i="46" s="1"/>
  <c r="J24" i="46"/>
  <c r="E88" i="46"/>
  <c r="I88" i="46" s="1"/>
  <c r="J25" i="46"/>
  <c r="E95" i="46"/>
  <c r="J32" i="46"/>
  <c r="E100" i="46"/>
  <c r="I100" i="46" s="1"/>
  <c r="J37" i="46"/>
  <c r="C100" i="46" s="1"/>
  <c r="E101" i="46"/>
  <c r="I101" i="46" s="1"/>
  <c r="J38" i="46"/>
  <c r="E76" i="46"/>
  <c r="I76" i="46" s="1"/>
  <c r="J13" i="46"/>
  <c r="C76" i="46" s="1"/>
  <c r="E102" i="46"/>
  <c r="J39" i="46"/>
  <c r="E86" i="46"/>
  <c r="I86" i="46" s="1"/>
  <c r="J23" i="46"/>
  <c r="C86" i="46" s="1"/>
  <c r="E93" i="46"/>
  <c r="J30" i="46"/>
  <c r="E94" i="46"/>
  <c r="J31" i="46"/>
  <c r="C94" i="46" s="1"/>
  <c r="E98" i="46"/>
  <c r="I98" i="46" s="1"/>
  <c r="J35" i="46"/>
  <c r="E99" i="46"/>
  <c r="I99" i="46" s="1"/>
  <c r="J36" i="46"/>
  <c r="C99" i="46" s="1"/>
  <c r="E75" i="46"/>
  <c r="I75" i="46" s="1"/>
  <c r="J12" i="46"/>
  <c r="E77" i="46"/>
  <c r="I77" i="46" s="1"/>
  <c r="J14" i="46"/>
  <c r="E89" i="46"/>
  <c r="I89" i="46" s="1"/>
  <c r="J26" i="46"/>
  <c r="E90" i="46"/>
  <c r="I90" i="46" s="1"/>
  <c r="J27" i="46"/>
  <c r="C90" i="46" s="1"/>
  <c r="E91" i="46"/>
  <c r="J28" i="46"/>
  <c r="E97" i="46"/>
  <c r="I97" i="46" s="1"/>
  <c r="J34" i="46"/>
  <c r="E12" i="57"/>
  <c r="C10" i="57"/>
  <c r="H135" i="61"/>
  <c r="D119" i="46"/>
  <c r="H119" i="46" s="1"/>
  <c r="G119" i="46" s="1"/>
  <c r="J56" i="46"/>
  <c r="C119" i="46" s="1"/>
  <c r="E74" i="46"/>
  <c r="L43" i="46"/>
  <c r="L60" i="46" s="1"/>
  <c r="C43" i="46"/>
  <c r="C60" i="46" s="1"/>
  <c r="E85" i="11"/>
  <c r="I82" i="61"/>
  <c r="I135" i="61" s="1"/>
  <c r="I144" i="61"/>
  <c r="H162" i="61"/>
  <c r="G83" i="61"/>
  <c r="M152" i="61"/>
  <c r="J162" i="61"/>
  <c r="I19" i="61"/>
  <c r="J14" i="61"/>
  <c r="M14" i="61" s="1"/>
  <c r="G16" i="61"/>
  <c r="I16" i="61" s="1"/>
  <c r="I12" i="61"/>
  <c r="J16" i="61"/>
  <c r="M16" i="61" s="1"/>
  <c r="J41" i="61"/>
  <c r="G15" i="61"/>
  <c r="I15" i="61" s="1"/>
  <c r="N12" i="61"/>
  <c r="I200" i="61"/>
  <c r="J52" i="8"/>
  <c r="N184" i="61"/>
  <c r="A41" i="46"/>
  <c r="A42" i="46" s="1"/>
  <c r="A43" i="46" s="1"/>
  <c r="E9" i="2"/>
  <c r="A24" i="65"/>
  <c r="A25" i="65" s="1"/>
  <c r="A26" i="65" s="1"/>
  <c r="A27" i="65" s="1"/>
  <c r="A28" i="65" s="1"/>
  <c r="A29" i="65" s="1"/>
  <c r="A30" i="65" s="1"/>
  <c r="A31" i="65" s="1"/>
  <c r="A32" i="65" s="1"/>
  <c r="A33" i="65" s="1"/>
  <c r="A34" i="65" s="1"/>
  <c r="A35" i="65" s="1"/>
  <c r="A36" i="65" s="1"/>
  <c r="A38" i="65" s="1"/>
  <c r="F47" i="71"/>
  <c r="E54" i="7"/>
  <c r="A29" i="57"/>
  <c r="M109" i="61"/>
  <c r="J47" i="61"/>
  <c r="M47" i="61" s="1"/>
  <c r="E219" i="61" s="1"/>
  <c r="M54" i="61"/>
  <c r="N46" i="61"/>
  <c r="F40" i="56"/>
  <c r="M11" i="61"/>
  <c r="M32" i="61" s="1"/>
  <c r="G19" i="2"/>
  <c r="A11" i="1"/>
  <c r="A12" i="1" s="1"/>
  <c r="A15" i="1" s="1"/>
  <c r="A16" i="1" s="1"/>
  <c r="A17" i="1" s="1"/>
  <c r="H14" i="8" s="1"/>
  <c r="D18" i="57"/>
  <c r="D12" i="57"/>
  <c r="E61" i="11"/>
  <c r="E55" i="12" s="1"/>
  <c r="I60" i="46"/>
  <c r="F42" i="56"/>
  <c r="F17" i="56"/>
  <c r="C11" i="57"/>
  <c r="K20" i="57"/>
  <c r="E31" i="57" s="1"/>
  <c r="G151" i="61"/>
  <c r="N15" i="61"/>
  <c r="G45" i="61"/>
  <c r="I45" i="61" s="1"/>
  <c r="G11" i="61"/>
  <c r="N188" i="61"/>
  <c r="N5" i="61"/>
  <c r="M56" i="61"/>
  <c r="I53" i="61"/>
  <c r="G46" i="61"/>
  <c r="I46" i="61" s="1"/>
  <c r="M48" i="61"/>
  <c r="D86" i="46"/>
  <c r="H86" i="46" s="1"/>
  <c r="G86" i="46" s="1"/>
  <c r="C96" i="46"/>
  <c r="F41" i="12"/>
  <c r="F39" i="12"/>
  <c r="F26" i="56"/>
  <c r="H24" i="8"/>
  <c r="I28" i="1"/>
  <c r="E62" i="11"/>
  <c r="E56" i="12" s="1"/>
  <c r="F40" i="12"/>
  <c r="E47" i="11"/>
  <c r="E40" i="12" s="1"/>
  <c r="E21" i="32"/>
  <c r="C16" i="57"/>
  <c r="G20" i="57"/>
  <c r="C26" i="57" s="1"/>
  <c r="C15" i="57"/>
  <c r="C102" i="46"/>
  <c r="D96" i="46"/>
  <c r="N17" i="61"/>
  <c r="N14" i="61"/>
  <c r="I201" i="61"/>
  <c r="N18" i="61"/>
  <c r="G5" i="61"/>
  <c r="I5" i="61" s="1"/>
  <c r="N4" i="61"/>
  <c r="N182" i="61"/>
  <c r="N185" i="61"/>
  <c r="J42" i="61"/>
  <c r="M42" i="61" s="1"/>
  <c r="J50" i="61"/>
  <c r="M50" i="61" s="1"/>
  <c r="N13" i="61"/>
  <c r="N110" i="61"/>
  <c r="N135" i="61" s="1"/>
  <c r="G17" i="61"/>
  <c r="I17" i="61" s="1"/>
  <c r="G13" i="61"/>
  <c r="I13" i="61" s="1"/>
  <c r="N179" i="61"/>
  <c r="M143" i="61"/>
  <c r="N11" i="61"/>
  <c r="N180" i="61"/>
  <c r="N45" i="61"/>
  <c r="M57" i="61"/>
  <c r="M55" i="61"/>
  <c r="M53" i="61"/>
  <c r="G44" i="61"/>
  <c r="N50" i="61"/>
  <c r="N187" i="61"/>
  <c r="G47" i="61"/>
  <c r="I47" i="61" s="1"/>
  <c r="J4" i="61"/>
  <c r="J8" i="61" s="1"/>
  <c r="J52" i="61"/>
  <c r="M52" i="61" s="1"/>
  <c r="I89" i="65"/>
  <c r="F12" i="56"/>
  <c r="E13" i="32"/>
  <c r="H20" i="57"/>
  <c r="D26" i="57" s="1"/>
  <c r="E26" i="57" s="1"/>
  <c r="C17" i="57"/>
  <c r="E214" i="61"/>
  <c r="E215" i="61" s="1"/>
  <c r="J55" i="46"/>
  <c r="C118" i="46" s="1"/>
  <c r="J53" i="46"/>
  <c r="C116" i="46" s="1"/>
  <c r="J54" i="46"/>
  <c r="C117" i="46" s="1"/>
  <c r="G90" i="46"/>
  <c r="C101" i="46"/>
  <c r="C98" i="46"/>
  <c r="C103" i="46"/>
  <c r="E48" i="11"/>
  <c r="E24" i="71"/>
  <c r="A11" i="2"/>
  <c r="A12" i="2" s="1"/>
  <c r="J20" i="57"/>
  <c r="D27" i="57" s="1"/>
  <c r="I20" i="57"/>
  <c r="C27" i="57" s="1"/>
  <c r="D103" i="46"/>
  <c r="H103" i="46" s="1"/>
  <c r="G103" i="46" s="1"/>
  <c r="G24" i="26"/>
  <c r="A11" i="26"/>
  <c r="A12" i="26" s="1"/>
  <c r="A13" i="26" s="1"/>
  <c r="A14" i="26" s="1"/>
  <c r="A15" i="26" s="1"/>
  <c r="A16" i="26" s="1"/>
  <c r="A17" i="26" s="1"/>
  <c r="A18" i="26" s="1"/>
  <c r="A19" i="26" s="1"/>
  <c r="A20" i="26" s="1"/>
  <c r="J27" i="8"/>
  <c r="G12" i="2"/>
  <c r="G13" i="2" s="1"/>
  <c r="D101" i="46"/>
  <c r="H101" i="46" s="1"/>
  <c r="G101" i="46" s="1"/>
  <c r="E18" i="57"/>
  <c r="E20" i="57" s="1"/>
  <c r="M13" i="61"/>
  <c r="I50" i="61"/>
  <c r="M43" i="61"/>
  <c r="I4" i="61"/>
  <c r="K28" i="1"/>
  <c r="F20" i="17"/>
  <c r="K101" i="1"/>
  <c r="K102" i="1" s="1"/>
  <c r="E60" i="11"/>
  <c r="E54" i="12" s="1"/>
  <c r="E68" i="12"/>
  <c r="D24" i="71"/>
  <c r="C88" i="46"/>
  <c r="H20" i="26"/>
  <c r="F23" i="26" s="1"/>
  <c r="F25" i="26" s="1"/>
  <c r="H43" i="44"/>
  <c r="A15" i="17"/>
  <c r="A16" i="17" s="1"/>
  <c r="A17" i="17" s="1"/>
  <c r="A18" i="17" s="1"/>
  <c r="A19" i="17" s="1"/>
  <c r="A20" i="17" s="1"/>
  <c r="A21" i="17" s="1"/>
  <c r="A22" i="17" s="1"/>
  <c r="A23" i="17" s="1"/>
  <c r="C97" i="46"/>
  <c r="C91" i="46"/>
  <c r="H99" i="46"/>
  <c r="G99" i="46" s="1"/>
  <c r="H100" i="46"/>
  <c r="G100" i="46" s="1"/>
  <c r="J52" i="46"/>
  <c r="C115" i="46" s="1"/>
  <c r="D74" i="46"/>
  <c r="H97" i="46"/>
  <c r="G97" i="46" s="1"/>
  <c r="H88" i="46"/>
  <c r="G88" i="46" s="1"/>
  <c r="H76" i="46"/>
  <c r="D60" i="46"/>
  <c r="C146" i="46" s="1"/>
  <c r="H57" i="46" s="1"/>
  <c r="H58" i="46" s="1"/>
  <c r="A17" i="7"/>
  <c r="A18" i="7" s="1"/>
  <c r="A19" i="7" s="1"/>
  <c r="A20" i="7" s="1"/>
  <c r="A21" i="7" s="1"/>
  <c r="G20" i="71"/>
  <c r="A20" i="71"/>
  <c r="B191" i="71" s="1"/>
  <c r="D75" i="46"/>
  <c r="C75" i="46"/>
  <c r="E78" i="46"/>
  <c r="C78" i="46"/>
  <c r="E79" i="46"/>
  <c r="I79" i="46" s="1"/>
  <c r="G79" i="46" s="1"/>
  <c r="C79" i="46"/>
  <c r="E80" i="46"/>
  <c r="C80" i="46"/>
  <c r="E81" i="46"/>
  <c r="I81" i="46" s="1"/>
  <c r="G81" i="46" s="1"/>
  <c r="C81" i="46"/>
  <c r="E82" i="46"/>
  <c r="C82" i="46"/>
  <c r="E83" i="46"/>
  <c r="I83" i="46" s="1"/>
  <c r="G83" i="46" s="1"/>
  <c r="C83" i="46"/>
  <c r="E84" i="46"/>
  <c r="C84" i="46"/>
  <c r="D89" i="46"/>
  <c r="C89" i="46"/>
  <c r="D93" i="46"/>
  <c r="C93" i="46"/>
  <c r="D77" i="46"/>
  <c r="C77" i="46"/>
  <c r="E85" i="46"/>
  <c r="C85" i="46"/>
  <c r="D87" i="46"/>
  <c r="C87" i="46"/>
  <c r="D95" i="46"/>
  <c r="C95" i="46"/>
  <c r="G98" i="46"/>
  <c r="I18" i="1"/>
  <c r="G77" i="44"/>
  <c r="A31" i="44"/>
  <c r="A46" i="11"/>
  <c r="H39" i="12" s="1"/>
  <c r="A12" i="8"/>
  <c r="A11" i="56"/>
  <c r="A12" i="56" s="1"/>
  <c r="E115" i="46"/>
  <c r="E141" i="71"/>
  <c r="A22" i="7"/>
  <c r="A23" i="7" s="1"/>
  <c r="A24" i="7" s="1"/>
  <c r="A25" i="7" s="1"/>
  <c r="E140" i="71"/>
  <c r="E68" i="8"/>
  <c r="A23" i="22"/>
  <c r="A14" i="32"/>
  <c r="A20" i="32" s="1"/>
  <c r="A27" i="12"/>
  <c r="D47" i="71"/>
  <c r="E47" i="71"/>
  <c r="E54" i="71"/>
  <c r="D54" i="71"/>
  <c r="A6" i="31"/>
  <c r="A7" i="31" s="1"/>
  <c r="A8" i="31" s="1"/>
  <c r="B39" i="31" s="1"/>
  <c r="J32" i="61" l="1"/>
  <c r="N8" i="61"/>
  <c r="C12" i="57"/>
  <c r="L16" i="28"/>
  <c r="E13" i="81"/>
  <c r="E14" i="81" s="1"/>
  <c r="E15" i="81" s="1"/>
  <c r="E17" i="81" s="1"/>
  <c r="K65" i="1" s="1"/>
  <c r="K88" i="1" s="1"/>
  <c r="E217" i="61"/>
  <c r="E218" i="61" s="1"/>
  <c r="M135" i="61"/>
  <c r="N71" i="61"/>
  <c r="I44" i="61"/>
  <c r="I71" i="61" s="1"/>
  <c r="M41" i="61"/>
  <c r="M71" i="61" s="1"/>
  <c r="J71" i="61"/>
  <c r="N32" i="61"/>
  <c r="G32" i="61"/>
  <c r="I8" i="61"/>
  <c r="G8" i="61"/>
  <c r="C74" i="46"/>
  <c r="E106" i="46"/>
  <c r="F22" i="17"/>
  <c r="F23" i="17" s="1"/>
  <c r="H211" i="61"/>
  <c r="I207" i="61"/>
  <c r="I151" i="61"/>
  <c r="I162" i="61" s="1"/>
  <c r="G162" i="61"/>
  <c r="N195" i="61"/>
  <c r="M162" i="61"/>
  <c r="N162" i="61"/>
  <c r="I11" i="61"/>
  <c r="I32" i="61" s="1"/>
  <c r="E51" i="11"/>
  <c r="A44" i="46"/>
  <c r="A52" i="46" s="1"/>
  <c r="A53" i="46" s="1"/>
  <c r="A54" i="46" s="1"/>
  <c r="A55" i="46" s="1"/>
  <c r="E62" i="46"/>
  <c r="D20" i="57"/>
  <c r="A30" i="57"/>
  <c r="A31" i="57" s="1"/>
  <c r="G31" i="57"/>
  <c r="C76" i="26"/>
  <c r="F54" i="71"/>
  <c r="E58" i="7"/>
  <c r="A18" i="1"/>
  <c r="A21" i="1" s="1"/>
  <c r="C18" i="57"/>
  <c r="C28" i="57"/>
  <c r="E220" i="61"/>
  <c r="M4" i="61"/>
  <c r="M8" i="61" s="1"/>
  <c r="E41" i="12"/>
  <c r="E31" i="71"/>
  <c r="F28" i="56"/>
  <c r="E27" i="57"/>
  <c r="D28" i="57"/>
  <c r="E65" i="11"/>
  <c r="A23" i="26"/>
  <c r="A24" i="26" s="1"/>
  <c r="A25" i="26" s="1"/>
  <c r="G23" i="26"/>
  <c r="D31" i="71"/>
  <c r="G76" i="46"/>
  <c r="F112" i="71"/>
  <c r="G41" i="44"/>
  <c r="E25" i="7"/>
  <c r="E12" i="2"/>
  <c r="E13" i="2"/>
  <c r="A13" i="2"/>
  <c r="D33" i="71"/>
  <c r="E33" i="71"/>
  <c r="D23" i="7"/>
  <c r="E42" i="57"/>
  <c r="H56" i="44"/>
  <c r="H57" i="44" s="1"/>
  <c r="H59" i="44" s="1"/>
  <c r="G16" i="12"/>
  <c r="J57" i="8"/>
  <c r="J43" i="8"/>
  <c r="C145" i="46"/>
  <c r="H42" i="46" s="1"/>
  <c r="K57" i="46"/>
  <c r="G57" i="46"/>
  <c r="G58" i="46" s="1"/>
  <c r="H89" i="46"/>
  <c r="G89" i="46" s="1"/>
  <c r="I84" i="46"/>
  <c r="G84" i="46" s="1"/>
  <c r="I82" i="46"/>
  <c r="G82" i="46" s="1"/>
  <c r="I80" i="46"/>
  <c r="G80" i="46" s="1"/>
  <c r="I78" i="46"/>
  <c r="G78" i="46" s="1"/>
  <c r="H75" i="46"/>
  <c r="G75" i="46" s="1"/>
  <c r="H87" i="46"/>
  <c r="G87" i="46" s="1"/>
  <c r="I85" i="46"/>
  <c r="G85" i="46" s="1"/>
  <c r="H77" i="46"/>
  <c r="G77" i="46" s="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7" i="11"/>
  <c r="H40" i="12" s="1"/>
  <c r="A32" i="44"/>
  <c r="G55" i="44"/>
  <c r="C20" i="57" l="1"/>
  <c r="L17" i="28"/>
  <c r="L20" i="28" s="1"/>
  <c r="K63" i="1" s="1"/>
  <c r="K64" i="1" s="1"/>
  <c r="K42" i="46"/>
  <c r="K43" i="46" s="1"/>
  <c r="H43" i="46"/>
  <c r="H60" i="46" s="1"/>
  <c r="K58" i="46"/>
  <c r="J57" i="46"/>
  <c r="J58" i="46" s="1"/>
  <c r="M211" i="61"/>
  <c r="J211" i="61"/>
  <c r="N211" i="61"/>
  <c r="F91" i="12"/>
  <c r="A56" i="46"/>
  <c r="A57" i="46" s="1"/>
  <c r="A58" i="46" s="1"/>
  <c r="A39" i="65"/>
  <c r="A40" i="65" s="1"/>
  <c r="A32" i="57"/>
  <c r="A33" i="57" s="1"/>
  <c r="E124" i="46"/>
  <c r="E28" i="57"/>
  <c r="E33" i="57" s="1"/>
  <c r="E40" i="57" s="1"/>
  <c r="E43" i="57" s="1"/>
  <c r="E221" i="61"/>
  <c r="I93" i="46"/>
  <c r="H96" i="46"/>
  <c r="I95" i="46"/>
  <c r="I94" i="46"/>
  <c r="H94" i="46"/>
  <c r="K83" i="1"/>
  <c r="E14" i="2"/>
  <c r="A14" i="2"/>
  <c r="H15" i="8"/>
  <c r="A26" i="26"/>
  <c r="A27" i="26" s="1"/>
  <c r="A28" i="26" s="1"/>
  <c r="G25" i="26"/>
  <c r="H78" i="44"/>
  <c r="H65" i="44"/>
  <c r="G42" i="46"/>
  <c r="G43" i="46" s="1"/>
  <c r="D120"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D105" i="46" l="1"/>
  <c r="D106" i="46" s="1"/>
  <c r="H66" i="44"/>
  <c r="H79" i="44" s="1"/>
  <c r="J42" i="46"/>
  <c r="J43" i="46" s="1"/>
  <c r="J60" i="46" s="1"/>
  <c r="G60" i="46"/>
  <c r="E223" i="61"/>
  <c r="E224" i="61" s="1"/>
  <c r="E227" i="61" s="1"/>
  <c r="K130" i="1" s="1"/>
  <c r="G52" i="21"/>
  <c r="G59" i="21"/>
  <c r="G62" i="4"/>
  <c r="G57" i="4"/>
  <c r="A59" i="46"/>
  <c r="A60" i="46" s="1"/>
  <c r="E63" i="46"/>
  <c r="A41" i="65"/>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C29" i="57"/>
  <c r="C31" i="57" s="1"/>
  <c r="C33" i="57" s="1"/>
  <c r="C40" i="57" s="1"/>
  <c r="C43" i="57" s="1"/>
  <c r="A34" i="57"/>
  <c r="A35" i="57" s="1"/>
  <c r="A36" i="57" s="1"/>
  <c r="A37" i="57" s="1"/>
  <c r="A38" i="57" s="1"/>
  <c r="A39" i="57" s="1"/>
  <c r="A40" i="57" s="1"/>
  <c r="A41" i="57" s="1"/>
  <c r="A42" i="57" s="1"/>
  <c r="A43" i="57" s="1"/>
  <c r="A44" i="57" s="1"/>
  <c r="A45" i="57" s="1"/>
  <c r="G40" i="57"/>
  <c r="G33" i="57"/>
  <c r="G73" i="44"/>
  <c r="I85" i="64"/>
  <c r="D29" i="57"/>
  <c r="D31" i="57" s="1"/>
  <c r="D33" i="57" s="1"/>
  <c r="D40" i="57" s="1"/>
  <c r="D43" i="57" s="1"/>
  <c r="D45" i="57" s="1"/>
  <c r="B10" i="31" s="1"/>
  <c r="H93" i="46"/>
  <c r="G93" i="46" s="1"/>
  <c r="H95" i="46"/>
  <c r="G95" i="46" s="1"/>
  <c r="I96" i="46"/>
  <c r="G96" i="46" s="1"/>
  <c r="G94" i="46"/>
  <c r="K75" i="1"/>
  <c r="A47" i="7"/>
  <c r="A48" i="7" s="1"/>
  <c r="G26" i="26"/>
  <c r="G50" i="22"/>
  <c r="F28" i="54"/>
  <c r="G54" i="22"/>
  <c r="G24" i="22"/>
  <c r="I55" i="1"/>
  <c r="A15" i="2"/>
  <c r="A16" i="2" s="1"/>
  <c r="A17" i="2" s="1"/>
  <c r="A18" i="2" s="1"/>
  <c r="A19" i="2" s="1"/>
  <c r="A20" i="2" s="1"/>
  <c r="A21" i="2" s="1"/>
  <c r="K60" i="46"/>
  <c r="G22" i="32"/>
  <c r="G45" i="57"/>
  <c r="G43" i="57"/>
  <c r="G27" i="26"/>
  <c r="A55" i="12"/>
  <c r="A56" i="12" s="1"/>
  <c r="A57" i="12" s="1"/>
  <c r="A58" i="12" s="1"/>
  <c r="A59" i="12" s="1"/>
  <c r="H61" i="8" s="1"/>
  <c r="B185" i="71"/>
  <c r="B188" i="71"/>
  <c r="F26" i="71"/>
  <c r="D121" i="46"/>
  <c r="D124" i="46" s="1"/>
  <c r="H120" i="46"/>
  <c r="G120" i="46" s="1"/>
  <c r="C120" i="46"/>
  <c r="C121" i="46" s="1"/>
  <c r="A49" i="7"/>
  <c r="A50" i="7" s="1"/>
  <c r="A51" i="7" s="1"/>
  <c r="A52" i="7" s="1"/>
  <c r="A53" i="7" s="1"/>
  <c r="A54" i="7" s="1"/>
  <c r="A55" i="7"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C105" i="46" l="1"/>
  <c r="C106" i="46" s="1"/>
  <c r="C124" i="46" s="1"/>
  <c r="C45" i="57"/>
  <c r="B9" i="31" s="1"/>
  <c r="J54" i="8"/>
  <c r="D145"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6" i="46"/>
  <c r="I148" i="1"/>
  <c r="A33" i="71"/>
  <c r="A34" i="71" s="1"/>
  <c r="F65" i="71" s="1"/>
  <c r="C36" i="71"/>
  <c r="A46" i="57"/>
  <c r="A47" i="57" s="1"/>
  <c r="G9" i="31"/>
  <c r="G10" i="31"/>
  <c r="A28" i="1"/>
  <c r="A30" i="1" s="1"/>
  <c r="H54" i="12"/>
  <c r="F68" i="12"/>
  <c r="E48" i="7"/>
  <c r="E22" i="2"/>
  <c r="A22" i="2"/>
  <c r="B109" i="12"/>
  <c r="A68" i="12"/>
  <c r="K80" i="1"/>
  <c r="K90" i="1" s="1"/>
  <c r="K79" i="1"/>
  <c r="K89" i="1" s="1"/>
  <c r="K78" i="1"/>
  <c r="A19" i="31"/>
  <c r="A20" i="31" s="1"/>
  <c r="A22" i="31" s="1"/>
  <c r="A56" i="7"/>
  <c r="A57" i="7" s="1"/>
  <c r="A58" i="7" s="1"/>
  <c r="A59" i="7" s="1"/>
  <c r="A60" i="7" s="1"/>
  <c r="A61" i="7" s="1"/>
  <c r="E55" i="7" s="1"/>
  <c r="B189" i="71"/>
  <c r="B186" i="71"/>
  <c r="A35" i="71"/>
  <c r="A36" i="71" s="1"/>
  <c r="A23" i="8"/>
  <c r="H29" i="8"/>
  <c r="A30" i="26"/>
  <c r="I125" i="1" s="1"/>
  <c r="G30" i="26"/>
  <c r="H21" i="8"/>
  <c r="D26" i="56"/>
  <c r="G28" i="32"/>
  <c r="A34" i="22"/>
  <c r="A41" i="44"/>
  <c r="A42" i="44" s="1"/>
  <c r="A24" i="31"/>
  <c r="A27" i="31" s="1"/>
  <c r="A61" i="11"/>
  <c r="A27" i="56"/>
  <c r="A28" i="56" s="1"/>
  <c r="D28" i="56"/>
  <c r="K91" i="1" l="1"/>
  <c r="K93" i="1"/>
  <c r="E95" i="8"/>
  <c r="E94" i="8"/>
  <c r="A31" i="1"/>
  <c r="A32" i="1" s="1"/>
  <c r="A34" i="1" s="1"/>
  <c r="I115" i="1" s="1"/>
  <c r="A104" i="46"/>
  <c r="A105" i="46" s="1"/>
  <c r="A106" i="46" s="1"/>
  <c r="A107" i="46" s="1"/>
  <c r="A115" i="46" s="1"/>
  <c r="A116" i="46" s="1"/>
  <c r="A117" i="46" s="1"/>
  <c r="A118" i="46" s="1"/>
  <c r="A119" i="46" s="1"/>
  <c r="A120" i="46" s="1"/>
  <c r="A121" i="46" s="1"/>
  <c r="A122" i="46" s="1"/>
  <c r="A123" i="46" s="1"/>
  <c r="A124" i="46" s="1"/>
  <c r="A125" i="46" s="1"/>
  <c r="G12" i="32"/>
  <c r="G26" i="32"/>
  <c r="G20" i="32"/>
  <c r="E19" i="2"/>
  <c r="A37" i="71"/>
  <c r="F34" i="71"/>
  <c r="H55" i="12"/>
  <c r="F69" i="12"/>
  <c r="F93" i="12"/>
  <c r="E96" i="8"/>
  <c r="A35" i="22"/>
  <c r="A36" i="22" s="1"/>
  <c r="A37" i="22" s="1"/>
  <c r="A38" i="22" s="1"/>
  <c r="A39" i="22" s="1"/>
  <c r="A40" i="22" s="1"/>
  <c r="A41" i="22" s="1"/>
  <c r="A42" i="22" s="1"/>
  <c r="A43" i="22" s="1"/>
  <c r="A44" i="22" s="1"/>
  <c r="A45" i="22" s="1"/>
  <c r="A46" i="22" s="1"/>
  <c r="G49" i="22" s="1"/>
  <c r="A23" i="2"/>
  <c r="I102" i="46"/>
  <c r="H102" i="46"/>
  <c r="A34" i="56"/>
  <c r="A35" i="56" s="1"/>
  <c r="A36" i="56" s="1"/>
  <c r="A37" i="56" s="1"/>
  <c r="A38" i="56" s="1"/>
  <c r="E63" i="7"/>
  <c r="A69" i="12"/>
  <c r="A70" i="12" s="1"/>
  <c r="A71" i="12" s="1"/>
  <c r="A81" i="12" s="1"/>
  <c r="A82" i="12" s="1"/>
  <c r="A83" i="12" s="1"/>
  <c r="A84" i="12" s="1"/>
  <c r="A85" i="12" s="1"/>
  <c r="A86" i="12" s="1"/>
  <c r="B38" i="31"/>
  <c r="H27" i="31"/>
  <c r="D21" i="7"/>
  <c r="G15" i="12"/>
  <c r="G17" i="12" s="1"/>
  <c r="K81" i="1"/>
  <c r="A62" i="7"/>
  <c r="A63" i="7" s="1"/>
  <c r="E59" i="7"/>
  <c r="A38" i="71"/>
  <c r="A41" i="71" s="1"/>
  <c r="A46" i="71" s="1"/>
  <c r="A47" i="71" s="1"/>
  <c r="A48" i="71" s="1"/>
  <c r="B98" i="44"/>
  <c r="A43" i="44"/>
  <c r="A37" i="26"/>
  <c r="G77" i="26" s="1"/>
  <c r="A62" i="11"/>
  <c r="B99" i="44"/>
  <c r="A24" i="8"/>
  <c r="G91" i="12" s="1"/>
  <c r="E97" i="8" l="1"/>
  <c r="J33" i="8" s="1"/>
  <c r="E102" i="8"/>
  <c r="J42" i="8" s="1"/>
  <c r="A39" i="1"/>
  <c r="A40" i="1" s="1"/>
  <c r="A41" i="1" s="1"/>
  <c r="D32" i="71"/>
  <c r="D34" i="71" s="1"/>
  <c r="E86" i="71" s="1"/>
  <c r="I35" i="1"/>
  <c r="B125" i="46"/>
  <c r="H56" i="12"/>
  <c r="F70" i="12"/>
  <c r="E64" i="7"/>
  <c r="E69" i="7"/>
  <c r="E24" i="2"/>
  <c r="A24" i="2"/>
  <c r="G102" i="46"/>
  <c r="A25" i="8"/>
  <c r="G53" i="22"/>
  <c r="A64" i="7"/>
  <c r="A65" i="7" s="1"/>
  <c r="B110" i="12"/>
  <c r="A90" i="12"/>
  <c r="E83" i="12"/>
  <c r="F83" i="12" s="1"/>
  <c r="E82" i="12"/>
  <c r="F82" i="12" s="1"/>
  <c r="E81" i="12"/>
  <c r="F81" i="12" s="1"/>
  <c r="D25" i="71"/>
  <c r="D26" i="71" s="1"/>
  <c r="E25" i="71"/>
  <c r="E26" i="71" s="1"/>
  <c r="D103" i="71" s="1"/>
  <c r="D51" i="7"/>
  <c r="D59" i="7" s="1"/>
  <c r="G39" i="12"/>
  <c r="G40" i="12"/>
  <c r="G41" i="12"/>
  <c r="D41" i="71"/>
  <c r="G55" i="12"/>
  <c r="G56" i="12"/>
  <c r="G54" i="12"/>
  <c r="A53" i="71"/>
  <c r="A54" i="71" s="1"/>
  <c r="A55" i="71" s="1"/>
  <c r="F66" i="7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D86" i="71" l="1"/>
  <c r="D160" i="71" s="1"/>
  <c r="D77" i="71"/>
  <c r="G59" i="12"/>
  <c r="J61" i="8" s="1"/>
  <c r="G44" i="12"/>
  <c r="K135" i="1" s="1"/>
  <c r="F86" i="12"/>
  <c r="I41" i="1"/>
  <c r="G86" i="71"/>
  <c r="H86" i="71" s="1"/>
  <c r="A26" i="8"/>
  <c r="A27" i="8" s="1"/>
  <c r="A29" i="8" s="1"/>
  <c r="I124" i="1"/>
  <c r="E6" i="2"/>
  <c r="A25" i="2"/>
  <c r="A26" i="2" s="1"/>
  <c r="A27" i="2" s="1"/>
  <c r="E65" i="7"/>
  <c r="D40" i="56"/>
  <c r="A66" i="7"/>
  <c r="A67" i="7" s="1"/>
  <c r="A68" i="7" s="1"/>
  <c r="A69" i="7" s="1"/>
  <c r="A70" i="7" s="1"/>
  <c r="A50" i="22"/>
  <c r="A51" i="22" s="1"/>
  <c r="H13" i="8" s="1"/>
  <c r="A91" i="12"/>
  <c r="A92" i="12" s="1"/>
  <c r="H46" i="11"/>
  <c r="H47" i="11"/>
  <c r="H48" i="11"/>
  <c r="D22" i="7"/>
  <c r="E32" i="71"/>
  <c r="E34" i="71" s="1"/>
  <c r="D48" i="71"/>
  <c r="E55" i="71"/>
  <c r="E48" i="71"/>
  <c r="D55" i="71"/>
  <c r="D55" i="7"/>
  <c r="E83" i="71"/>
  <c r="E77" i="71"/>
  <c r="E82" i="71"/>
  <c r="D65" i="71"/>
  <c r="E84" i="71"/>
  <c r="E85" i="71"/>
  <c r="E81" i="71"/>
  <c r="E79" i="71"/>
  <c r="E80" i="71"/>
  <c r="E78" i="71"/>
  <c r="D101" i="71"/>
  <c r="D96" i="71"/>
  <c r="E64" i="71"/>
  <c r="D94" i="71"/>
  <c r="D95" i="71"/>
  <c r="D98" i="71"/>
  <c r="D97" i="71"/>
  <c r="D99" i="71"/>
  <c r="D100" i="71"/>
  <c r="D102" i="71"/>
  <c r="D81" i="71"/>
  <c r="D82" i="71"/>
  <c r="D83" i="71"/>
  <c r="D80" i="71"/>
  <c r="D64" i="71"/>
  <c r="D85" i="71"/>
  <c r="D78" i="71"/>
  <c r="D79" i="71"/>
  <c r="D84" i="71"/>
  <c r="A56" i="71"/>
  <c r="A57" i="71" s="1"/>
  <c r="F67" i="71"/>
  <c r="A41" i="56"/>
  <c r="A42" i="56" s="1"/>
  <c r="E20" i="2" s="1"/>
  <c r="D42" i="56"/>
  <c r="A85" i="11"/>
  <c r="G87" i="44"/>
  <c r="A55" i="44"/>
  <c r="A44" i="26"/>
  <c r="A53" i="22"/>
  <c r="A45" i="1"/>
  <c r="D178" i="71" l="1"/>
  <c r="D25" i="7"/>
  <c r="E112" i="71" s="1"/>
  <c r="E113" i="71" s="1"/>
  <c r="E114" i="71" s="1"/>
  <c r="E95" i="71"/>
  <c r="E103" i="71"/>
  <c r="G103" i="71" s="1"/>
  <c r="H103" i="71" s="1"/>
  <c r="G90" i="12"/>
  <c r="H41" i="8"/>
  <c r="A33" i="8"/>
  <c r="H30" i="8"/>
  <c r="I126" i="15"/>
  <c r="I87" i="15"/>
  <c r="I67" i="15"/>
  <c r="A64" i="71"/>
  <c r="F48" i="71"/>
  <c r="F55" i="71"/>
  <c r="E101" i="71"/>
  <c r="E97" i="71"/>
  <c r="E99" i="71"/>
  <c r="E94" i="71"/>
  <c r="E96" i="71"/>
  <c r="E100" i="71"/>
  <c r="E102" i="71"/>
  <c r="E65" i="71"/>
  <c r="E98" i="71"/>
  <c r="E27" i="2"/>
  <c r="A28" i="2"/>
  <c r="A29" i="2" s="1"/>
  <c r="A30" i="2" s="1"/>
  <c r="A31" i="2" s="1"/>
  <c r="I40" i="1"/>
  <c r="G28" i="26"/>
  <c r="G92" i="12"/>
  <c r="A71" i="7"/>
  <c r="E71" i="7"/>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D176" i="71"/>
  <c r="D158" i="71"/>
  <c r="D159" i="71"/>
  <c r="D177" i="71"/>
  <c r="D172" i="71"/>
  <c r="D154" i="71"/>
  <c r="D174" i="71"/>
  <c r="D156" i="71"/>
  <c r="D153" i="71"/>
  <c r="D171" i="71"/>
  <c r="D157" i="71"/>
  <c r="D175" i="71"/>
  <c r="D155" i="71"/>
  <c r="D173" i="71"/>
  <c r="G84" i="71"/>
  <c r="H84" i="71" s="1"/>
  <c r="G85" i="71"/>
  <c r="H85" i="71" s="1"/>
  <c r="G80" i="71"/>
  <c r="H80" i="71" s="1"/>
  <c r="G82" i="71"/>
  <c r="H82" i="71" s="1"/>
  <c r="G79" i="71"/>
  <c r="H79" i="71" s="1"/>
  <c r="G83" i="71"/>
  <c r="H83" i="71" s="1"/>
  <c r="G81" i="71"/>
  <c r="H81" i="71" s="1"/>
  <c r="A65" i="71"/>
  <c r="D105" i="71"/>
  <c r="E88" i="71"/>
  <c r="F78" i="71"/>
  <c r="D170" i="71" s="1"/>
  <c r="D67" i="71"/>
  <c r="F95" i="71"/>
  <c r="E67" i="71"/>
  <c r="D88" i="71"/>
  <c r="F94" i="71"/>
  <c r="E66" i="71"/>
  <c r="F77" i="71"/>
  <c r="G77" i="71" s="1"/>
  <c r="D66" i="71"/>
  <c r="A56" i="44"/>
  <c r="A57" i="44" s="1"/>
  <c r="G59" i="44" s="1"/>
  <c r="A46" i="1"/>
  <c r="A47" i="1" s="1"/>
  <c r="A48" i="1" s="1"/>
  <c r="E68" i="71" l="1"/>
  <c r="E69" i="71"/>
  <c r="D68" i="71"/>
  <c r="D69" i="71" s="1"/>
  <c r="D169" i="71"/>
  <c r="D180" i="71" s="1"/>
  <c r="G95" i="71"/>
  <c r="H41" i="44"/>
  <c r="D47" i="7"/>
  <c r="D48" i="7" s="1"/>
  <c r="D83" i="7"/>
  <c r="D84" i="7" s="1"/>
  <c r="D129" i="71"/>
  <c r="E138" i="71"/>
  <c r="E115" i="71"/>
  <c r="E129" i="71" s="1"/>
  <c r="D126" i="71"/>
  <c r="E175" i="71" s="1"/>
  <c r="F175" i="71" s="1"/>
  <c r="G175" i="71" s="1"/>
  <c r="D122" i="71"/>
  <c r="E153" i="71" s="1"/>
  <c r="F153" i="71" s="1"/>
  <c r="G153" i="71" s="1"/>
  <c r="D127" i="71"/>
  <c r="E158" i="71" s="1"/>
  <c r="D128" i="71"/>
  <c r="E159" i="71" s="1"/>
  <c r="F159" i="71" s="1"/>
  <c r="G159" i="71" s="1"/>
  <c r="D124" i="71"/>
  <c r="E155" i="71" s="1"/>
  <c r="F155" i="71" s="1"/>
  <c r="G155" i="71" s="1"/>
  <c r="D121" i="71"/>
  <c r="E152" i="71" s="1"/>
  <c r="D120" i="71"/>
  <c r="E169" i="71" s="1"/>
  <c r="D123" i="71"/>
  <c r="E172" i="71" s="1"/>
  <c r="F172" i="71" s="1"/>
  <c r="G172" i="71" s="1"/>
  <c r="D125" i="71"/>
  <c r="E156" i="71" s="1"/>
  <c r="F156" i="71" s="1"/>
  <c r="H34" i="8"/>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E73" i="7"/>
  <c r="A118" i="11"/>
  <c r="A119" i="11" s="1"/>
  <c r="A120" i="11" s="1"/>
  <c r="A121" i="11" s="1"/>
  <c r="A122" i="11" s="1"/>
  <c r="A123" i="11" s="1"/>
  <c r="A124" i="11" s="1"/>
  <c r="A125" i="11" s="1"/>
  <c r="A126" i="11" s="1"/>
  <c r="A127" i="11" s="1"/>
  <c r="A128" i="11" s="1"/>
  <c r="A129" i="11" s="1"/>
  <c r="F69" i="11" s="1"/>
  <c r="D63" i="7"/>
  <c r="D64" i="7" s="1"/>
  <c r="E105" i="71"/>
  <c r="A87" i="7"/>
  <c r="A88" i="7" s="1"/>
  <c r="A89" i="7" s="1"/>
  <c r="C23" i="17"/>
  <c r="I53" i="1"/>
  <c r="G55" i="22"/>
  <c r="A98" i="12"/>
  <c r="G94" i="12"/>
  <c r="E137" i="71"/>
  <c r="E157" i="71"/>
  <c r="F157" i="71" s="1"/>
  <c r="G157" i="71" s="1"/>
  <c r="A66" i="71"/>
  <c r="D151" i="71"/>
  <c r="D152" i="71"/>
  <c r="E174" i="71"/>
  <c r="F174" i="71" s="1"/>
  <c r="G174" i="71" s="1"/>
  <c r="H77" i="71"/>
  <c r="G78" i="71"/>
  <c r="G88" i="71" s="1"/>
  <c r="F88" i="71"/>
  <c r="F105" i="71"/>
  <c r="I44" i="1"/>
  <c r="A58" i="44"/>
  <c r="A59" i="44" s="1"/>
  <c r="G65" i="44"/>
  <c r="A49" i="1"/>
  <c r="A50" i="1" s="1"/>
  <c r="A51" i="1" s="1"/>
  <c r="A52" i="1" s="1"/>
  <c r="C20" i="17" s="1"/>
  <c r="H44" i="44" l="1"/>
  <c r="H87" i="44" s="1"/>
  <c r="E151" i="71"/>
  <c r="F151" i="71" s="1"/>
  <c r="E121" i="71"/>
  <c r="E176" i="71"/>
  <c r="F176" i="71" s="1"/>
  <c r="G176" i="71" s="1"/>
  <c r="E127" i="71"/>
  <c r="E154" i="71"/>
  <c r="F154" i="71" s="1"/>
  <c r="E126" i="71"/>
  <c r="D131" i="71"/>
  <c r="E128" i="71"/>
  <c r="E171" i="71"/>
  <c r="F171" i="71" s="1"/>
  <c r="G171" i="71" s="1"/>
  <c r="E170" i="71"/>
  <c r="F170" i="71" s="1"/>
  <c r="E120" i="71"/>
  <c r="E173" i="71"/>
  <c r="F173" i="71" s="1"/>
  <c r="G173" i="71" s="1"/>
  <c r="E123" i="71"/>
  <c r="E122" i="71"/>
  <c r="E177" i="71"/>
  <c r="F177" i="71" s="1"/>
  <c r="G177" i="71" s="1"/>
  <c r="E125" i="71"/>
  <c r="E124" i="71"/>
  <c r="E178" i="71"/>
  <c r="F178" i="71" s="1"/>
  <c r="G178" i="71" s="1"/>
  <c r="E160" i="71"/>
  <c r="F160" i="71" s="1"/>
  <c r="G160" i="71" s="1"/>
  <c r="A38" i="8"/>
  <c r="H55" i="8"/>
  <c r="E89" i="7"/>
  <c r="E79" i="7"/>
  <c r="B187" i="71"/>
  <c r="A137" i="11"/>
  <c r="A138" i="11" s="1"/>
  <c r="A139" i="11" s="1"/>
  <c r="A140" i="11" s="1"/>
  <c r="A141" i="11" s="1"/>
  <c r="A142" i="11" s="1"/>
  <c r="A143" i="11" s="1"/>
  <c r="A144" i="11" s="1"/>
  <c r="A145" i="11" s="1"/>
  <c r="A146" i="11" s="1"/>
  <c r="A147" i="11" s="1"/>
  <c r="A148" i="11" s="1"/>
  <c r="A149" i="11" s="1"/>
  <c r="A157" i="11" s="1"/>
  <c r="D69" i="7"/>
  <c r="G105" i="71"/>
  <c r="D65" i="7"/>
  <c r="A90" i="7"/>
  <c r="A91" i="7" s="1"/>
  <c r="I147" i="1" s="1"/>
  <c r="G90" i="44"/>
  <c r="A99" i="12"/>
  <c r="A100" i="12" s="1"/>
  <c r="A101" i="12" s="1"/>
  <c r="A53" i="1"/>
  <c r="A54" i="1" s="1"/>
  <c r="I52" i="1"/>
  <c r="E139" i="71"/>
  <c r="E143" i="71" s="1"/>
  <c r="F158" i="71"/>
  <c r="G158" i="71" s="1"/>
  <c r="G156" i="71"/>
  <c r="F169" i="71"/>
  <c r="F152" i="71"/>
  <c r="G152" i="71" s="1"/>
  <c r="A67" i="71"/>
  <c r="B183" i="71" s="1"/>
  <c r="H78" i="71"/>
  <c r="H88" i="71" s="1"/>
  <c r="H95" i="71"/>
  <c r="H105" i="71" s="1"/>
  <c r="E91" i="7"/>
  <c r="E80" i="7"/>
  <c r="E86" i="7"/>
  <c r="E84" i="7"/>
  <c r="G78" i="44"/>
  <c r="A64" i="44"/>
  <c r="E180" i="71" l="1"/>
  <c r="F180" i="71"/>
  <c r="G169" i="71"/>
  <c r="F162" i="71"/>
  <c r="G154" i="71"/>
  <c r="G170" i="71"/>
  <c r="E131" i="71"/>
  <c r="E162" i="71"/>
  <c r="H56" i="8"/>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I54" i="1"/>
  <c r="G101" i="12"/>
  <c r="A55" i="1"/>
  <c r="A56" i="1" s="1"/>
  <c r="A58" i="1" s="1"/>
  <c r="E142" i="71"/>
  <c r="E144" i="71" s="1"/>
  <c r="F137" i="71"/>
  <c r="A68" i="71"/>
  <c r="G151" i="71"/>
  <c r="D162" i="71"/>
  <c r="A65" i="44"/>
  <c r="A66" i="44" s="1"/>
  <c r="A67" i="44" s="1"/>
  <c r="A68" i="44" s="1"/>
  <c r="A69" i="44" s="1"/>
  <c r="A70" i="44" s="1"/>
  <c r="G180" i="71" l="1"/>
  <c r="A309" i="11"/>
  <c r="A310" i="11" s="1"/>
  <c r="A311" i="11" s="1"/>
  <c r="A312" i="11" s="1"/>
  <c r="A313" i="11" s="1"/>
  <c r="A314" i="11" s="1"/>
  <c r="A315" i="11" s="1"/>
  <c r="A316" i="11" s="1"/>
  <c r="A317" i="11" s="1"/>
  <c r="A318" i="11" s="1"/>
  <c r="A319" i="11" s="1"/>
  <c r="A320" i="11" s="1"/>
  <c r="A321" i="11" s="1"/>
  <c r="A326" i="11" s="1"/>
  <c r="A327" i="11" s="1"/>
  <c r="A49" i="8"/>
  <c r="A50" i="8" s="1"/>
  <c r="A51" i="8" s="1"/>
  <c r="A52" i="8" s="1"/>
  <c r="A53" i="8" s="1"/>
  <c r="A54" i="8" s="1"/>
  <c r="A55" i="8" s="1"/>
  <c r="A56" i="8" s="1"/>
  <c r="A57" i="8" s="1"/>
  <c r="A58" i="8" s="1"/>
  <c r="A59" i="8" s="1"/>
  <c r="G69" i="11"/>
  <c r="A71" i="44"/>
  <c r="A72" i="44" s="1"/>
  <c r="G66" i="44"/>
  <c r="I58" i="1"/>
  <c r="I56" i="1"/>
  <c r="E145" i="71"/>
  <c r="D19" i="31" s="1"/>
  <c r="A69" i="71"/>
  <c r="A77" i="71" s="1"/>
  <c r="F69" i="71"/>
  <c r="G162" i="71"/>
  <c r="G79" i="44"/>
  <c r="I129" i="1"/>
  <c r="A63" i="1"/>
  <c r="G25" i="12" l="1"/>
  <c r="A328" i="11"/>
  <c r="A331" i="11" s="1"/>
  <c r="A332" i="11" s="1"/>
  <c r="G26" i="12" s="1"/>
  <c r="H59" i="8"/>
  <c r="A61" i="8"/>
  <c r="A63" i="8" s="1"/>
  <c r="A73" i="44"/>
  <c r="A74" i="44" s="1"/>
  <c r="E19" i="31"/>
  <c r="A78" i="71"/>
  <c r="A79" i="71" s="1"/>
  <c r="A80" i="71" s="1"/>
  <c r="A81" i="71" s="1"/>
  <c r="A82" i="71" s="1"/>
  <c r="A83" i="71" s="1"/>
  <c r="A84" i="71" s="1"/>
  <c r="A85" i="71" s="1"/>
  <c r="A86" i="71" s="1"/>
  <c r="A87" i="71" s="1"/>
  <c r="I88" i="71" s="1"/>
  <c r="A64" i="1"/>
  <c r="A333" i="11" l="1"/>
  <c r="A336" i="11" s="1"/>
  <c r="A337" i="11" s="1"/>
  <c r="A67" i="8"/>
  <c r="G67" i="8"/>
  <c r="H63" i="8"/>
  <c r="G74" i="44"/>
  <c r="G81" i="44"/>
  <c r="A77" i="44"/>
  <c r="A78" i="44" s="1"/>
  <c r="A79" i="44" s="1"/>
  <c r="A80" i="44" s="1"/>
  <c r="A81" i="44" s="1"/>
  <c r="G27" i="12"/>
  <c r="A338" i="11"/>
  <c r="A339" i="11" s="1"/>
  <c r="A342" i="11" s="1"/>
  <c r="A343" i="11" s="1"/>
  <c r="A344" i="11" s="1"/>
  <c r="A345" i="11" s="1"/>
  <c r="A346" i="11" s="1"/>
  <c r="A349" i="11" s="1"/>
  <c r="A350" i="11" s="1"/>
  <c r="A351" i="11" s="1"/>
  <c r="A354" i="11" s="1"/>
  <c r="A355" i="11" s="1"/>
  <c r="A356" i="11" s="1"/>
  <c r="A359" i="11" s="1"/>
  <c r="A360" i="11" s="1"/>
  <c r="A361" i="11" s="1"/>
  <c r="A364" i="11" s="1"/>
  <c r="A365" i="11" s="1"/>
  <c r="A366" i="11" s="1"/>
  <c r="A369" i="11" s="1"/>
  <c r="A370" i="11" s="1"/>
  <c r="A371" i="11" s="1"/>
  <c r="A374" i="11" s="1"/>
  <c r="A375" i="11" s="1"/>
  <c r="A376" i="11" s="1"/>
  <c r="A379" i="11" s="1"/>
  <c r="A380" i="11" s="1"/>
  <c r="A381" i="11" s="1"/>
  <c r="A384" i="11" s="1"/>
  <c r="A385" i="11" s="1"/>
  <c r="A386" i="11" s="1"/>
  <c r="A389" i="11" s="1"/>
  <c r="A390" i="11" s="1"/>
  <c r="A391" i="11" s="1"/>
  <c r="A32" i="2"/>
  <c r="A88" i="71"/>
  <c r="A94" i="71" s="1"/>
  <c r="B192" i="71"/>
  <c r="A65" i="1"/>
  <c r="I64" i="1" s="1"/>
  <c r="A68" i="8" l="1"/>
  <c r="A69" i="8" s="1"/>
  <c r="G69" i="8"/>
  <c r="G88" i="44"/>
  <c r="A87" i="44"/>
  <c r="A88" i="44" s="1"/>
  <c r="A89" i="44" s="1"/>
  <c r="A90" i="44" s="1"/>
  <c r="A91" i="44" s="1"/>
  <c r="A92" i="44" s="1"/>
  <c r="A93" i="44" s="1"/>
  <c r="I155" i="1" s="1"/>
  <c r="A33" i="2"/>
  <c r="A34" i="2" s="1"/>
  <c r="A35" i="2" s="1"/>
  <c r="A95" i="71"/>
  <c r="A96" i="71" s="1"/>
  <c r="A97" i="71" s="1"/>
  <c r="A98" i="71" s="1"/>
  <c r="A99" i="71" s="1"/>
  <c r="A100" i="71" s="1"/>
  <c r="A101" i="71" s="1"/>
  <c r="A102" i="71" s="1"/>
  <c r="A103" i="71" s="1"/>
  <c r="A104" i="71" s="1"/>
  <c r="A105" i="71" s="1"/>
  <c r="A111" i="71" s="1"/>
  <c r="A68" i="1"/>
  <c r="I83" i="1"/>
  <c r="A70" i="8" l="1"/>
  <c r="A71" i="8" s="1"/>
  <c r="B101" i="44"/>
  <c r="G93" i="44"/>
  <c r="G91" i="44"/>
  <c r="E35" i="2"/>
  <c r="E34" i="2"/>
  <c r="A36" i="2"/>
  <c r="A37" i="2" s="1"/>
  <c r="A38" i="2" s="1"/>
  <c r="I105" i="71"/>
  <c r="A112" i="71"/>
  <c r="A113" i="71" s="1"/>
  <c r="F114" i="71" s="1"/>
  <c r="A69" i="1"/>
  <c r="A70" i="1" s="1"/>
  <c r="A72" i="8" l="1"/>
  <c r="H14" i="65" s="1"/>
  <c r="G72" i="8"/>
  <c r="A39" i="2"/>
  <c r="A40" i="2" s="1"/>
  <c r="A41" i="2" s="1"/>
  <c r="F113" i="71"/>
  <c r="A114" i="71"/>
  <c r="A115" i="71" s="1"/>
  <c r="A120" i="71" s="1"/>
  <c r="F138" i="71"/>
  <c r="A73" i="1"/>
  <c r="I75" i="1" s="1"/>
  <c r="I84" i="1"/>
  <c r="E40" i="2" l="1"/>
  <c r="E41" i="2"/>
  <c r="A42" i="2"/>
  <c r="F115" i="71"/>
  <c r="A121" i="71"/>
  <c r="A122" i="71" s="1"/>
  <c r="A123" i="71" s="1"/>
  <c r="A124" i="71" s="1"/>
  <c r="A125" i="71" s="1"/>
  <c r="A126" i="71" s="1"/>
  <c r="A127" i="71" s="1"/>
  <c r="A128" i="71" s="1"/>
  <c r="A129" i="71" s="1"/>
  <c r="A130" i="71" s="1"/>
  <c r="A131" i="71" s="1"/>
  <c r="A137" i="71" s="1"/>
  <c r="A75" i="1"/>
  <c r="I80" i="1" s="1"/>
  <c r="A44" i="2" l="1"/>
  <c r="A45" i="2" s="1"/>
  <c r="A46" i="2" s="1"/>
  <c r="A47" i="2" s="1"/>
  <c r="A48" i="2" s="1"/>
  <c r="A43" i="2"/>
  <c r="A138" i="71"/>
  <c r="A139" i="71" s="1"/>
  <c r="F131" i="71"/>
  <c r="B193" i="71"/>
  <c r="A78" i="1"/>
  <c r="I78" i="1"/>
  <c r="I79" i="1"/>
  <c r="A49" i="2" l="1"/>
  <c r="A50" i="2" s="1"/>
  <c r="A51" i="2" s="1"/>
  <c r="A52" i="2" s="1"/>
  <c r="A53" i="2" s="1"/>
  <c r="F139" i="7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6" i="8" s="1"/>
  <c r="I89" i="1"/>
  <c r="G93" i="12" l="1"/>
  <c r="I15" i="12"/>
  <c r="A83" i="1"/>
  <c r="A84" i="1" s="1"/>
  <c r="A85" i="1" s="1"/>
  <c r="I81" i="1"/>
  <c r="G100" i="12" l="1"/>
  <c r="I90" i="1"/>
  <c r="A88" i="1"/>
  <c r="A89" i="1" s="1"/>
  <c r="F95" i="8" s="1"/>
  <c r="E21" i="7" l="1"/>
  <c r="F94" i="8"/>
  <c r="A90" i="1"/>
  <c r="I93" i="1" s="1"/>
  <c r="I91" i="1" l="1"/>
  <c r="A91" i="1"/>
  <c r="F25" i="71" l="1"/>
  <c r="A93" i="1"/>
  <c r="I95" i="1"/>
  <c r="F32" i="71" l="1"/>
  <c r="E22" i="7"/>
  <c r="I116" i="1"/>
  <c r="A95" i="1"/>
  <c r="A100" i="1" l="1"/>
  <c r="I131" i="1"/>
  <c r="A101" i="1" l="1"/>
  <c r="A102" i="1" s="1"/>
  <c r="J16" i="28" s="1"/>
  <c r="F33" i="71" l="1"/>
  <c r="I16" i="12"/>
  <c r="H43" i="8"/>
  <c r="E23" i="7"/>
  <c r="G56" i="44"/>
  <c r="I117" i="1"/>
  <c r="E47" i="2"/>
  <c r="E46" i="2"/>
  <c r="I102" i="1"/>
  <c r="A105" i="1"/>
  <c r="A106" i="1" l="1"/>
  <c r="A107" i="1" s="1"/>
  <c r="A108" i="1" s="1"/>
  <c r="A110" i="1" s="1"/>
  <c r="A112" i="1" s="1"/>
  <c r="H45" i="8" s="1"/>
  <c r="H44" i="8"/>
  <c r="I118" i="1"/>
  <c r="I108" i="1" l="1"/>
  <c r="I132" i="1"/>
  <c r="A124" i="1"/>
  <c r="I110" i="1"/>
  <c r="A125" i="1" l="1"/>
  <c r="H49" i="8" s="1"/>
  <c r="H48" i="8"/>
  <c r="A126" i="1" l="1"/>
  <c r="H50" i="8" s="1"/>
  <c r="E72" i="7"/>
  <c r="I17" i="1"/>
  <c r="A127" i="1"/>
  <c r="H51" i="8" s="1"/>
  <c r="A128" i="1" l="1"/>
  <c r="H52" i="8" s="1"/>
  <c r="A129" i="1" l="1"/>
  <c r="H53" i="8" s="1"/>
  <c r="A130" i="1" l="1"/>
  <c r="H54" i="8" s="1"/>
  <c r="A131" i="1" l="1"/>
  <c r="A132" i="1" l="1"/>
  <c r="A133" i="1" s="1"/>
  <c r="A134" i="1" s="1"/>
  <c r="A135" i="1" s="1"/>
  <c r="A136" i="1" s="1"/>
  <c r="I136" i="1"/>
  <c r="H58" i="8"/>
  <c r="H57" i="8" l="1"/>
  <c r="A138" i="1"/>
  <c r="A139" i="1" s="1"/>
  <c r="G89" i="44" s="1"/>
  <c r="E53" i="2"/>
  <c r="E52" i="2"/>
  <c r="I141" i="1" l="1"/>
  <c r="A141" i="1"/>
  <c r="I146" i="1" s="1"/>
  <c r="I139" i="1"/>
  <c r="I138" i="1"/>
  <c r="E70" i="7"/>
  <c r="A146" i="1"/>
  <c r="A147" i="1" s="1"/>
  <c r="A148" i="1" s="1"/>
  <c r="A149" i="1" l="1"/>
  <c r="A151" i="1" s="1"/>
  <c r="A154" i="1" l="1"/>
  <c r="A155" i="1" s="1"/>
  <c r="A156" i="1" s="1"/>
  <c r="G4" i="31" s="1"/>
  <c r="I154" i="1"/>
  <c r="I151" i="1"/>
  <c r="I156" i="1" l="1"/>
  <c r="K53" i="1" l="1"/>
  <c r="K54" i="1" s="1"/>
  <c r="I92" i="46"/>
  <c r="I91" i="46"/>
  <c r="I74" i="46"/>
  <c r="I106" i="46" l="1"/>
  <c r="H74" i="46"/>
  <c r="G74" i="46" s="1"/>
  <c r="H91" i="46"/>
  <c r="G91" i="46" s="1"/>
  <c r="H92" i="46"/>
  <c r="G92" i="46" s="1"/>
  <c r="C150" i="46" l="1"/>
  <c r="H105" i="46" l="1"/>
  <c r="G105" i="46" l="1"/>
  <c r="G106" i="46" s="1"/>
  <c r="H106" i="46"/>
  <c r="I118" i="46"/>
  <c r="I117" i="46"/>
  <c r="I116" i="46"/>
  <c r="I115" i="46"/>
  <c r="I121" i="46" l="1"/>
  <c r="I124" i="46" s="1"/>
  <c r="H118" i="46"/>
  <c r="G118" i="46" s="1"/>
  <c r="H115" i="46"/>
  <c r="H116" i="46"/>
  <c r="H117" i="46"/>
  <c r="G117" i="46" s="1"/>
  <c r="G121" i="46" l="1"/>
  <c r="G124" i="46" s="1"/>
  <c r="H121" i="46"/>
  <c r="H124" i="46" s="1"/>
  <c r="K124" i="1" l="1"/>
  <c r="G6" i="2"/>
  <c r="G14" i="2" s="1"/>
  <c r="F24" i="22" l="1"/>
  <c r="G26" i="79"/>
  <c r="G27" i="79" s="1"/>
  <c r="F54" i="22"/>
  <c r="D28" i="54"/>
  <c r="F50" i="22"/>
  <c r="F52" i="21"/>
  <c r="F59" i="21"/>
  <c r="F62" i="4"/>
  <c r="F57" i="4"/>
  <c r="H85" i="64"/>
  <c r="H73" i="44"/>
  <c r="H74" i="44" s="1"/>
  <c r="G31" i="79"/>
  <c r="G32" i="79" s="1"/>
  <c r="I26" i="79"/>
  <c r="I27" i="79" s="1"/>
  <c r="G38" i="79"/>
  <c r="G39" i="79" s="1"/>
  <c r="I38" i="79"/>
  <c r="I39" i="79" s="1"/>
  <c r="I31" i="79"/>
  <c r="I32" i="79" s="1"/>
  <c r="H126" i="15"/>
  <c r="H127" i="15" s="1"/>
  <c r="H67" i="15"/>
  <c r="H68" i="15" s="1"/>
  <c r="H87" i="15"/>
  <c r="H88" i="15" s="1"/>
  <c r="G24" i="2"/>
  <c r="F26" i="26"/>
  <c r="F27" i="26" s="1"/>
  <c r="F55" i="22"/>
  <c r="K16" i="1" s="1"/>
  <c r="K55" i="1"/>
  <c r="K56" i="1" s="1"/>
  <c r="E28" i="54"/>
  <c r="G22" i="2"/>
  <c r="J48" i="8"/>
  <c r="G27" i="2" l="1"/>
  <c r="K27" i="79"/>
  <c r="K39" i="79"/>
  <c r="F51" i="22"/>
  <c r="J13" i="8" s="1"/>
  <c r="F58" i="4"/>
  <c r="J7" i="8" s="1"/>
  <c r="F53" i="21"/>
  <c r="J20" i="8" s="1"/>
  <c r="K32" i="79"/>
  <c r="F63" i="4"/>
  <c r="K10" i="1" s="1"/>
  <c r="H86" i="64"/>
  <c r="F93" i="64" s="1"/>
  <c r="E29" i="54"/>
  <c r="E38" i="54" s="1"/>
  <c r="K11" i="1" s="1"/>
  <c r="D29" i="54"/>
  <c r="D38" i="54" s="1"/>
  <c r="F60" i="21"/>
  <c r="K23" i="1" s="1"/>
  <c r="K24" i="1" s="1"/>
  <c r="I18" i="79"/>
  <c r="G19" i="79"/>
  <c r="G17" i="79"/>
  <c r="G18" i="79"/>
  <c r="H81" i="44"/>
  <c r="H83" i="44" s="1"/>
  <c r="F27" i="22"/>
  <c r="J12" i="8" s="1"/>
  <c r="F26" i="22"/>
  <c r="K15" i="1" s="1"/>
  <c r="G67" i="15" l="1"/>
  <c r="G68" i="15" s="1"/>
  <c r="D68" i="15" s="1"/>
  <c r="D10" i="15" s="1"/>
  <c r="G87" i="15"/>
  <c r="G88" i="15" s="1"/>
  <c r="D88" i="15" s="1"/>
  <c r="D41" i="54"/>
  <c r="J8" i="8" s="1"/>
  <c r="G20" i="79"/>
  <c r="H88" i="44"/>
  <c r="I19" i="79"/>
  <c r="K19" i="79" s="1"/>
  <c r="K18" i="79"/>
  <c r="I17" i="79"/>
  <c r="G126" i="15"/>
  <c r="G127" i="15" s="1"/>
  <c r="D127" i="15" s="1"/>
  <c r="K40" i="1"/>
  <c r="K41" i="1" s="1"/>
  <c r="K58" i="1" s="1"/>
  <c r="F28" i="26"/>
  <c r="F29" i="26" s="1"/>
  <c r="H92" i="44" l="1"/>
  <c r="F30" i="26"/>
  <c r="K125" i="1" s="1"/>
  <c r="I20" i="79"/>
  <c r="K9" i="79" s="1"/>
  <c r="K31" i="1" s="1"/>
  <c r="D11" i="15"/>
  <c r="K17" i="79"/>
  <c r="D12" i="15"/>
  <c r="K17" i="1" l="1"/>
  <c r="K18" i="1" s="1"/>
  <c r="D72" i="7"/>
  <c r="J49" i="8"/>
  <c r="K20" i="79"/>
  <c r="K10" i="79" s="1"/>
  <c r="J26" i="8" s="1"/>
  <c r="J14" i="8" l="1"/>
  <c r="J15" i="8" s="1"/>
  <c r="K129" i="1"/>
  <c r="D14" i="15"/>
  <c r="E152" i="15" s="1"/>
  <c r="J53" i="8" l="1"/>
  <c r="C13" i="64"/>
  <c r="C49" i="64" l="1"/>
  <c r="D71" i="21" s="1"/>
  <c r="D151" i="15"/>
  <c r="I151" i="15" s="1"/>
  <c r="D143" i="15"/>
  <c r="I143" i="15" s="1"/>
  <c r="K26" i="1"/>
  <c r="D142" i="15"/>
  <c r="I142" i="15" s="1"/>
  <c r="D140" i="15"/>
  <c r="D141" i="15"/>
  <c r="I141" i="15" s="1"/>
  <c r="D146" i="15"/>
  <c r="I146" i="15" s="1"/>
  <c r="D148" i="15"/>
  <c r="I148" i="15" s="1"/>
  <c r="D145" i="15"/>
  <c r="I145" i="15" s="1"/>
  <c r="D147" i="15"/>
  <c r="I147" i="15" s="1"/>
  <c r="D149" i="15"/>
  <c r="I149" i="15" s="1"/>
  <c r="D150" i="15"/>
  <c r="I150" i="15" s="1"/>
  <c r="D144" i="15"/>
  <c r="I144" i="15" s="1"/>
  <c r="C14" i="64"/>
  <c r="I140" i="15" l="1"/>
  <c r="J140" i="15" s="1"/>
  <c r="J141" i="15" s="1"/>
  <c r="J142" i="15" s="1"/>
  <c r="J143" i="15" s="1"/>
  <c r="J144" i="15" s="1"/>
  <c r="J145" i="15" s="1"/>
  <c r="J146" i="15" s="1"/>
  <c r="J147" i="15" s="1"/>
  <c r="J148" i="15" s="1"/>
  <c r="J149" i="15" s="1"/>
  <c r="J150" i="15" s="1"/>
  <c r="J151" i="15" s="1"/>
  <c r="D24" i="15" s="1"/>
  <c r="C50" i="64"/>
  <c r="D72" i="21" s="1"/>
  <c r="E140" i="15"/>
  <c r="E141" i="15" s="1"/>
  <c r="E142" i="15" s="1"/>
  <c r="E143" i="15" s="1"/>
  <c r="E144" i="15" s="1"/>
  <c r="E145" i="15" s="1"/>
  <c r="E146" i="15" s="1"/>
  <c r="E147" i="15" s="1"/>
  <c r="E148" i="15" s="1"/>
  <c r="E149" i="15" s="1"/>
  <c r="E150" i="15" s="1"/>
  <c r="E151" i="15" s="1"/>
  <c r="C15" i="64"/>
  <c r="C51" i="64" l="1"/>
  <c r="D73" i="21" s="1"/>
  <c r="J23" i="8"/>
  <c r="C16" i="64"/>
  <c r="C52" i="64" l="1"/>
  <c r="D74" i="21" s="1"/>
  <c r="C17" i="64"/>
  <c r="C53" i="64" l="1"/>
  <c r="D75" i="21" s="1"/>
  <c r="C18" i="64"/>
  <c r="C54" i="64" l="1"/>
  <c r="D76" i="21" s="1"/>
  <c r="C19" i="64"/>
  <c r="C55" i="64" l="1"/>
  <c r="D77" i="21" s="1"/>
  <c r="C20" i="64"/>
  <c r="C56" i="64" l="1"/>
  <c r="D78" i="21" s="1"/>
  <c r="C21" i="64"/>
  <c r="C57" i="64" l="1"/>
  <c r="D79" i="21" s="1"/>
  <c r="C22" i="64"/>
  <c r="C58" i="64" l="1"/>
  <c r="D80" i="21" s="1"/>
  <c r="C23" i="64"/>
  <c r="C24" i="4"/>
  <c r="C59" i="64" l="1"/>
  <c r="D81" i="21" s="1"/>
  <c r="D82" i="21" s="1"/>
  <c r="C60" i="64"/>
  <c r="D109" i="21" l="1"/>
  <c r="D13" i="64"/>
  <c r="D49" i="64" l="1"/>
  <c r="E71" i="21" s="1"/>
  <c r="D112" i="21"/>
  <c r="D14" i="64"/>
  <c r="D50" i="64" l="1"/>
  <c r="E72" i="21" s="1"/>
  <c r="D129" i="21"/>
  <c r="D121" i="21"/>
  <c r="D123" i="21"/>
  <c r="D122" i="21"/>
  <c r="D124" i="21"/>
  <c r="D127" i="21"/>
  <c r="D119" i="21"/>
  <c r="D126" i="21"/>
  <c r="D128" i="21"/>
  <c r="D130" i="21"/>
  <c r="D125" i="21"/>
  <c r="D120" i="21"/>
  <c r="D15" i="64"/>
  <c r="D51" i="64" l="1"/>
  <c r="E73" i="21" s="1"/>
  <c r="D131" i="21"/>
  <c r="D13" i="21"/>
  <c r="D16" i="64"/>
  <c r="D52" i="64" l="1"/>
  <c r="E74" i="21" s="1"/>
  <c r="D14" i="21"/>
  <c r="D17" i="64"/>
  <c r="D53" i="64" l="1"/>
  <c r="E75" i="21" s="1"/>
  <c r="D15" i="21"/>
  <c r="D18" i="64"/>
  <c r="D54" i="64" l="1"/>
  <c r="E76" i="21" s="1"/>
  <c r="D16" i="21"/>
  <c r="D19" i="64"/>
  <c r="D55" i="64" l="1"/>
  <c r="E77" i="21" s="1"/>
  <c r="D17" i="21"/>
  <c r="D20" i="64"/>
  <c r="D56" i="64" l="1"/>
  <c r="E78" i="21" s="1"/>
  <c r="D18" i="21"/>
  <c r="D21" i="64"/>
  <c r="D57" i="64" l="1"/>
  <c r="E79" i="21" s="1"/>
  <c r="D19" i="21"/>
  <c r="D22" i="64"/>
  <c r="D58" i="64" l="1"/>
  <c r="E80" i="21" s="1"/>
  <c r="D20" i="21"/>
  <c r="D23" i="64"/>
  <c r="D24" i="4"/>
  <c r="D59" i="64" l="1"/>
  <c r="E81" i="21" s="1"/>
  <c r="E82" i="21" s="1"/>
  <c r="D21" i="21"/>
  <c r="D60" i="64" l="1"/>
  <c r="D22" i="21"/>
  <c r="E109" i="21"/>
  <c r="I24" i="64"/>
  <c r="C125" i="48" s="1"/>
  <c r="E125" i="48" s="1"/>
  <c r="F24" i="64"/>
  <c r="C122" i="48" s="1"/>
  <c r="E122" i="48" s="1"/>
  <c r="G24" i="64"/>
  <c r="C123" i="48" s="1"/>
  <c r="L182" i="4"/>
  <c r="L190" i="4" s="1"/>
  <c r="L24" i="64"/>
  <c r="C128" i="48" s="1"/>
  <c r="E128" i="48" s="1"/>
  <c r="F182" i="4"/>
  <c r="F190" i="4" s="1"/>
  <c r="G182" i="4"/>
  <c r="G190" i="4" s="1"/>
  <c r="G197" i="4" s="1"/>
  <c r="K182" i="4"/>
  <c r="K190" i="4" s="1"/>
  <c r="K202" i="4" s="1"/>
  <c r="K24" i="64"/>
  <c r="C127" i="48" s="1"/>
  <c r="E127" i="48" s="1"/>
  <c r="J24" i="64"/>
  <c r="C126" i="48" s="1"/>
  <c r="E126" i="48" s="1"/>
  <c r="J182" i="4"/>
  <c r="J190" i="4" s="1"/>
  <c r="J208" i="4" s="1"/>
  <c r="M23" i="4"/>
  <c r="H182" i="4"/>
  <c r="H190" i="4" s="1"/>
  <c r="H24" i="64"/>
  <c r="C124" i="48" s="1"/>
  <c r="E124" i="48" s="1"/>
  <c r="E182" i="4"/>
  <c r="E190" i="4" s="1"/>
  <c r="E24" i="64"/>
  <c r="C121" i="48" s="1"/>
  <c r="I182" i="4"/>
  <c r="I190" i="4" s="1"/>
  <c r="E121" i="48" l="1"/>
  <c r="E130" i="48" s="1"/>
  <c r="E131" i="48"/>
  <c r="G12" i="4"/>
  <c r="M24" i="64"/>
  <c r="M182" i="4"/>
  <c r="M190" i="4" s="1"/>
  <c r="K208" i="4"/>
  <c r="E200" i="4"/>
  <c r="E206" i="4"/>
  <c r="E199" i="4"/>
  <c r="D36" i="7"/>
  <c r="D40" i="7" s="1"/>
  <c r="D23" i="21"/>
  <c r="E112" i="21"/>
  <c r="J205" i="4"/>
  <c r="J203" i="4"/>
  <c r="J201" i="4"/>
  <c r="J206" i="4"/>
  <c r="J198" i="4"/>
  <c r="J200" i="4"/>
  <c r="J199" i="4"/>
  <c r="J204" i="4"/>
  <c r="J197" i="4"/>
  <c r="J207" i="4"/>
  <c r="J202" i="4"/>
  <c r="G199" i="4"/>
  <c r="G201" i="4"/>
  <c r="G206" i="4"/>
  <c r="G203" i="4"/>
  <c r="G198" i="4"/>
  <c r="G204" i="4"/>
  <c r="G207" i="4"/>
  <c r="G202" i="4"/>
  <c r="G205" i="4"/>
  <c r="G208" i="4"/>
  <c r="G200" i="4"/>
  <c r="L200" i="4"/>
  <c r="L198" i="4"/>
  <c r="L207" i="4"/>
  <c r="L204" i="4"/>
  <c r="L202" i="4"/>
  <c r="L199" i="4"/>
  <c r="L201" i="4"/>
  <c r="L206" i="4"/>
  <c r="L208" i="4"/>
  <c r="L203" i="4"/>
  <c r="L197" i="4"/>
  <c r="L205" i="4"/>
  <c r="I200" i="4"/>
  <c r="I204" i="4"/>
  <c r="I203" i="4"/>
  <c r="I205" i="4"/>
  <c r="I198" i="4"/>
  <c r="I201" i="4"/>
  <c r="I197" i="4"/>
  <c r="I199" i="4"/>
  <c r="I208" i="4"/>
  <c r="I206" i="4"/>
  <c r="I207" i="4"/>
  <c r="I202" i="4"/>
  <c r="H201" i="4"/>
  <c r="H206" i="4"/>
  <c r="H198" i="4"/>
  <c r="H204" i="4"/>
  <c r="H199" i="4"/>
  <c r="H205" i="4"/>
  <c r="H208" i="4"/>
  <c r="H197" i="4"/>
  <c r="H207" i="4"/>
  <c r="H203" i="4"/>
  <c r="H202" i="4"/>
  <c r="H200" i="4"/>
  <c r="F206" i="4"/>
  <c r="F202" i="4"/>
  <c r="F203" i="4"/>
  <c r="F205" i="4"/>
  <c r="F198" i="4"/>
  <c r="F200" i="4"/>
  <c r="F207" i="4"/>
  <c r="F204" i="4"/>
  <c r="F199" i="4"/>
  <c r="F201" i="4"/>
  <c r="F197" i="4"/>
  <c r="F208" i="4"/>
  <c r="K203" i="4"/>
  <c r="K205" i="4"/>
  <c r="K199" i="4"/>
  <c r="K207" i="4"/>
  <c r="K204" i="4"/>
  <c r="K198" i="4"/>
  <c r="K206" i="4"/>
  <c r="K201" i="4"/>
  <c r="K200" i="4"/>
  <c r="K197" i="4"/>
  <c r="E208" i="4"/>
  <c r="D43" i="4"/>
  <c r="K9" i="1" s="1"/>
  <c r="K34" i="1" s="1"/>
  <c r="E203" i="4"/>
  <c r="E204" i="4"/>
  <c r="E205" i="4"/>
  <c r="E201" i="4"/>
  <c r="E197" i="4"/>
  <c r="E202" i="4"/>
  <c r="E198" i="4"/>
  <c r="E207" i="4"/>
  <c r="M202" i="4" l="1"/>
  <c r="G209" i="4"/>
  <c r="E133" i="48"/>
  <c r="L80" i="48" s="1"/>
  <c r="M205" i="4"/>
  <c r="M208" i="4"/>
  <c r="F12" i="4"/>
  <c r="F13" i="4" s="1"/>
  <c r="F14" i="4" s="1"/>
  <c r="F15" i="4" s="1"/>
  <c r="F16" i="4" s="1"/>
  <c r="F17" i="4" s="1"/>
  <c r="F18" i="4" s="1"/>
  <c r="F19" i="4" s="1"/>
  <c r="F20" i="4" s="1"/>
  <c r="F21" i="4" s="1"/>
  <c r="F22" i="4" s="1"/>
  <c r="F209" i="4"/>
  <c r="I12" i="4"/>
  <c r="I13" i="4" s="1"/>
  <c r="I14" i="4" s="1"/>
  <c r="I15" i="4" s="1"/>
  <c r="I16" i="4" s="1"/>
  <c r="I17" i="4" s="1"/>
  <c r="I18" i="4" s="1"/>
  <c r="I19" i="4" s="1"/>
  <c r="I20" i="4" s="1"/>
  <c r="I21" i="4" s="1"/>
  <c r="I22" i="4" s="1"/>
  <c r="I209" i="4"/>
  <c r="L12" i="4"/>
  <c r="L209" i="4"/>
  <c r="J12" i="4"/>
  <c r="J13" i="4" s="1"/>
  <c r="J14" i="4" s="1"/>
  <c r="J15" i="4" s="1"/>
  <c r="J16" i="4" s="1"/>
  <c r="J17" i="4" s="1"/>
  <c r="J18" i="4" s="1"/>
  <c r="J19" i="4" s="1"/>
  <c r="J20" i="4" s="1"/>
  <c r="J21" i="4" s="1"/>
  <c r="J22" i="4" s="1"/>
  <c r="J209" i="4"/>
  <c r="M199" i="4"/>
  <c r="E12" i="4"/>
  <c r="E13" i="4" s="1"/>
  <c r="E14" i="4" s="1"/>
  <c r="E15" i="4" s="1"/>
  <c r="E16" i="4" s="1"/>
  <c r="E17" i="4" s="1"/>
  <c r="E18" i="4" s="1"/>
  <c r="E19" i="4" s="1"/>
  <c r="E209" i="4"/>
  <c r="M197" i="4"/>
  <c r="M204" i="4"/>
  <c r="K12" i="4"/>
  <c r="K13" i="4" s="1"/>
  <c r="K14" i="4" s="1"/>
  <c r="K15" i="4" s="1"/>
  <c r="K16" i="4" s="1"/>
  <c r="K17" i="4" s="1"/>
  <c r="K18" i="4" s="1"/>
  <c r="K19" i="4" s="1"/>
  <c r="K20" i="4" s="1"/>
  <c r="K21" i="4" s="1"/>
  <c r="K22" i="4" s="1"/>
  <c r="K209" i="4"/>
  <c r="M206" i="4"/>
  <c r="M207" i="4"/>
  <c r="M203" i="4"/>
  <c r="M200" i="4"/>
  <c r="M198" i="4"/>
  <c r="M201" i="4"/>
  <c r="H12" i="4"/>
  <c r="H13" i="4" s="1"/>
  <c r="H14" i="4" s="1"/>
  <c r="H15" i="4" s="1"/>
  <c r="H16" i="4" s="1"/>
  <c r="H17" i="4" s="1"/>
  <c r="H18" i="4" s="1"/>
  <c r="H19" i="4" s="1"/>
  <c r="H20" i="4" s="1"/>
  <c r="H21" i="4" s="1"/>
  <c r="H22" i="4" s="1"/>
  <c r="H209" i="4"/>
  <c r="D25" i="21"/>
  <c r="L13" i="4"/>
  <c r="L14" i="4" s="1"/>
  <c r="L15" i="4" s="1"/>
  <c r="L16" i="4" s="1"/>
  <c r="L17" i="4" s="1"/>
  <c r="L18" i="4" s="1"/>
  <c r="L19" i="4" s="1"/>
  <c r="L20" i="4" s="1"/>
  <c r="L21" i="4" s="1"/>
  <c r="L22" i="4" s="1"/>
  <c r="G13" i="4"/>
  <c r="G14" i="4" s="1"/>
  <c r="G15" i="4" s="1"/>
  <c r="G16" i="4" s="1"/>
  <c r="G17" i="4" s="1"/>
  <c r="G18" i="4" s="1"/>
  <c r="G19" i="4" s="1"/>
  <c r="G20" i="4" s="1"/>
  <c r="G21" i="4" s="1"/>
  <c r="G22" i="4" s="1"/>
  <c r="E119" i="21"/>
  <c r="E129" i="21"/>
  <c r="E120" i="21"/>
  <c r="E127" i="21"/>
  <c r="E121" i="21"/>
  <c r="E130" i="21"/>
  <c r="E124" i="21"/>
  <c r="E125" i="21"/>
  <c r="E126" i="21"/>
  <c r="E123" i="21"/>
  <c r="E122" i="21"/>
  <c r="E128" i="21"/>
  <c r="G13" i="64"/>
  <c r="K110" i="1"/>
  <c r="K95" i="1"/>
  <c r="E20" i="4" l="1"/>
  <c r="E21" i="4" s="1"/>
  <c r="E22" i="4" s="1"/>
  <c r="E20" i="64"/>
  <c r="E56" i="64" s="1"/>
  <c r="M209" i="4"/>
  <c r="G49" i="64"/>
  <c r="H71" i="21" s="1"/>
  <c r="L96" i="48"/>
  <c r="L98" i="48"/>
  <c r="L61" i="48"/>
  <c r="L99" i="48"/>
  <c r="L81" i="48"/>
  <c r="L87" i="48"/>
  <c r="L50" i="48"/>
  <c r="L68" i="48"/>
  <c r="L91" i="48"/>
  <c r="L85" i="48"/>
  <c r="L93" i="48"/>
  <c r="L88" i="48"/>
  <c r="L47" i="48"/>
  <c r="L64" i="48"/>
  <c r="L52" i="48"/>
  <c r="L53" i="48"/>
  <c r="L65" i="48"/>
  <c r="L33" i="48" s="1"/>
  <c r="L95" i="48"/>
  <c r="L63" i="48"/>
  <c r="L58" i="48"/>
  <c r="L51" i="48"/>
  <c r="L90" i="48"/>
  <c r="L60" i="48"/>
  <c r="L94" i="48"/>
  <c r="L49" i="48"/>
  <c r="L17" i="48" s="1"/>
  <c r="L57" i="48"/>
  <c r="L55" i="48"/>
  <c r="L82" i="48"/>
  <c r="L59" i="48"/>
  <c r="L97" i="48"/>
  <c r="L46" i="48"/>
  <c r="M46" i="48" s="1"/>
  <c r="L62" i="48"/>
  <c r="L86" i="48"/>
  <c r="L84" i="48"/>
  <c r="L79" i="48"/>
  <c r="L77" i="48"/>
  <c r="N77" i="48" s="1"/>
  <c r="L67" i="48"/>
  <c r="L48" i="48"/>
  <c r="L89" i="48"/>
  <c r="L66" i="48"/>
  <c r="L78" i="48"/>
  <c r="L56" i="48"/>
  <c r="L24" i="48" s="1"/>
  <c r="L54" i="48"/>
  <c r="L92" i="48"/>
  <c r="L83" i="48"/>
  <c r="G16" i="64"/>
  <c r="G17" i="64"/>
  <c r="H14" i="64"/>
  <c r="G15" i="64"/>
  <c r="L14" i="64"/>
  <c r="G14" i="64"/>
  <c r="K131" i="1"/>
  <c r="K132" i="1"/>
  <c r="E131" i="21"/>
  <c r="E13" i="21"/>
  <c r="J14" i="64"/>
  <c r="E14" i="64"/>
  <c r="I14" i="64"/>
  <c r="F13" i="64"/>
  <c r="K13" i="64"/>
  <c r="L13" i="64"/>
  <c r="M13" i="4"/>
  <c r="M14" i="64" s="1"/>
  <c r="I13" i="64"/>
  <c r="J13" i="64"/>
  <c r="M12" i="4"/>
  <c r="E13" i="64"/>
  <c r="H13" i="64"/>
  <c r="H49" i="64" l="1"/>
  <c r="I49" i="64"/>
  <c r="J71" i="21" s="1"/>
  <c r="F49" i="64"/>
  <c r="G71" i="21" s="1"/>
  <c r="G50" i="64"/>
  <c r="H72" i="21" s="1"/>
  <c r="G53" i="64"/>
  <c r="H75" i="21" s="1"/>
  <c r="E49" i="64"/>
  <c r="I50" i="64"/>
  <c r="J72" i="21" s="1"/>
  <c r="L50" i="64"/>
  <c r="M72" i="21" s="1"/>
  <c r="G52" i="64"/>
  <c r="H74" i="21" s="1"/>
  <c r="L49" i="64"/>
  <c r="E50" i="64"/>
  <c r="F72" i="21" s="1"/>
  <c r="G51" i="64"/>
  <c r="H73" i="21" s="1"/>
  <c r="J49" i="64"/>
  <c r="K71" i="21" s="1"/>
  <c r="K49" i="64"/>
  <c r="L71" i="21" s="1"/>
  <c r="J50" i="64"/>
  <c r="K72" i="21" s="1"/>
  <c r="H50" i="64"/>
  <c r="I72" i="21" s="1"/>
  <c r="M47" i="48"/>
  <c r="M48" i="48" s="1"/>
  <c r="M49" i="48" s="1"/>
  <c r="M50" i="48" s="1"/>
  <c r="M51" i="48" s="1"/>
  <c r="M52" i="48" s="1"/>
  <c r="M53" i="48" s="1"/>
  <c r="M54" i="48" s="1"/>
  <c r="M55" i="48" s="1"/>
  <c r="M56" i="48" s="1"/>
  <c r="M57" i="48" s="1"/>
  <c r="M58" i="48" s="1"/>
  <c r="M59" i="48" s="1"/>
  <c r="M60" i="48" s="1"/>
  <c r="M61" i="48" s="1"/>
  <c r="M62" i="48" s="1"/>
  <c r="M63" i="48" s="1"/>
  <c r="M64" i="48" s="1"/>
  <c r="M65" i="48" s="1"/>
  <c r="M66" i="48" s="1"/>
  <c r="M67" i="48" s="1"/>
  <c r="L29" i="48"/>
  <c r="L25" i="48"/>
  <c r="L35" i="48"/>
  <c r="L36" i="48"/>
  <c r="L31" i="48"/>
  <c r="L22" i="48"/>
  <c r="L28" i="48"/>
  <c r="L20" i="48"/>
  <c r="L18" i="48"/>
  <c r="L27" i="48"/>
  <c r="L26" i="48"/>
  <c r="L21" i="48"/>
  <c r="L30" i="48"/>
  <c r="L19" i="48"/>
  <c r="L15" i="48"/>
  <c r="L32" i="48"/>
  <c r="L34" i="48"/>
  <c r="L16" i="48"/>
  <c r="M14" i="48"/>
  <c r="L23" i="48"/>
  <c r="M78" i="48"/>
  <c r="M79" i="48" s="1"/>
  <c r="M80" i="48" s="1"/>
  <c r="M81" i="48" s="1"/>
  <c r="M82" i="48" s="1"/>
  <c r="M83" i="48" s="1"/>
  <c r="M84" i="48" s="1"/>
  <c r="M85" i="48" s="1"/>
  <c r="M86" i="48" s="1"/>
  <c r="M87" i="48" s="1"/>
  <c r="M88" i="48" s="1"/>
  <c r="M89" i="48" s="1"/>
  <c r="M90" i="48" s="1"/>
  <c r="M91" i="48" s="1"/>
  <c r="M92" i="48" s="1"/>
  <c r="M93" i="48" s="1"/>
  <c r="M94" i="48" s="1"/>
  <c r="M95" i="48" s="1"/>
  <c r="M96" i="48" s="1"/>
  <c r="M97" i="48" s="1"/>
  <c r="M98" i="48" s="1"/>
  <c r="L14" i="48"/>
  <c r="E14" i="21"/>
  <c r="L15" i="64"/>
  <c r="H15" i="64"/>
  <c r="G18" i="64"/>
  <c r="K14" i="64"/>
  <c r="I15" i="64"/>
  <c r="J15" i="64"/>
  <c r="F14" i="64"/>
  <c r="N46" i="48"/>
  <c r="N14" i="48" s="1"/>
  <c r="M13" i="64"/>
  <c r="E15" i="64"/>
  <c r="M14" i="4"/>
  <c r="M15" i="64" s="1"/>
  <c r="M49" i="64" l="1"/>
  <c r="E51" i="64"/>
  <c r="F73" i="21" s="1"/>
  <c r="J51" i="64"/>
  <c r="K73" i="21" s="1"/>
  <c r="G54" i="64"/>
  <c r="H76" i="21" s="1"/>
  <c r="I51" i="64"/>
  <c r="J73" i="21" s="1"/>
  <c r="H51" i="64"/>
  <c r="I73" i="21" s="1"/>
  <c r="M71" i="21"/>
  <c r="F71" i="21"/>
  <c r="L51" i="64"/>
  <c r="M73" i="21" s="1"/>
  <c r="F50" i="64"/>
  <c r="G72" i="21" s="1"/>
  <c r="K50" i="64"/>
  <c r="L72" i="21" s="1"/>
  <c r="I71" i="21"/>
  <c r="N78" i="48"/>
  <c r="E15" i="21"/>
  <c r="H16" i="64"/>
  <c r="N79" i="48"/>
  <c r="K15" i="64"/>
  <c r="G19" i="64"/>
  <c r="L16" i="64"/>
  <c r="E16" i="64"/>
  <c r="M15" i="4"/>
  <c r="M16" i="64" s="1"/>
  <c r="M15" i="48"/>
  <c r="N47" i="48"/>
  <c r="F15" i="64"/>
  <c r="J16" i="64"/>
  <c r="I16" i="64"/>
  <c r="N72" i="21" l="1"/>
  <c r="J52" i="64"/>
  <c r="K74" i="21" s="1"/>
  <c r="K51" i="64"/>
  <c r="L73" i="21" s="1"/>
  <c r="F51" i="64"/>
  <c r="E52" i="64"/>
  <c r="F74" i="21" s="1"/>
  <c r="M50" i="64"/>
  <c r="L52" i="64"/>
  <c r="M74" i="21" s="1"/>
  <c r="I52" i="64"/>
  <c r="J74" i="21" s="1"/>
  <c r="G55" i="64"/>
  <c r="H77" i="21" s="1"/>
  <c r="H52" i="64"/>
  <c r="N71" i="21"/>
  <c r="N15" i="48"/>
  <c r="E16" i="21"/>
  <c r="F16" i="64"/>
  <c r="G20" i="64"/>
  <c r="L17" i="64"/>
  <c r="K16" i="64"/>
  <c r="I17" i="64"/>
  <c r="J17" i="64"/>
  <c r="M16" i="48"/>
  <c r="N48" i="48"/>
  <c r="N16" i="48" s="1"/>
  <c r="M16" i="4"/>
  <c r="M17" i="64" s="1"/>
  <c r="E17" i="64"/>
  <c r="N80" i="48"/>
  <c r="H17" i="64"/>
  <c r="M51" i="64" l="1"/>
  <c r="H53" i="64"/>
  <c r="I75" i="21" s="1"/>
  <c r="K52" i="64"/>
  <c r="F52" i="64"/>
  <c r="G74" i="21" s="1"/>
  <c r="L53" i="64"/>
  <c r="M75" i="21" s="1"/>
  <c r="E53" i="64"/>
  <c r="F75" i="21" s="1"/>
  <c r="J53" i="64"/>
  <c r="K75" i="21" s="1"/>
  <c r="G56" i="64"/>
  <c r="H78" i="21" s="1"/>
  <c r="I74" i="21"/>
  <c r="G73" i="21"/>
  <c r="N73" i="21" s="1"/>
  <c r="I53" i="64"/>
  <c r="J75" i="21" s="1"/>
  <c r="E17" i="21"/>
  <c r="E18" i="64"/>
  <c r="N49" i="48"/>
  <c r="N17" i="48" s="1"/>
  <c r="M17" i="48"/>
  <c r="G21" i="64"/>
  <c r="N81" i="48"/>
  <c r="I18" i="64"/>
  <c r="L18" i="64"/>
  <c r="F17" i="64"/>
  <c r="M17" i="4"/>
  <c r="J18" i="64"/>
  <c r="K17" i="64"/>
  <c r="H18" i="64"/>
  <c r="M52" i="64" l="1"/>
  <c r="K53" i="64"/>
  <c r="L75" i="21" s="1"/>
  <c r="L54" i="64"/>
  <c r="M76" i="21" s="1"/>
  <c r="J54" i="64"/>
  <c r="K76" i="21" s="1"/>
  <c r="I54" i="64"/>
  <c r="J76" i="21" s="1"/>
  <c r="L74" i="21"/>
  <c r="N74" i="21" s="1"/>
  <c r="E54" i="64"/>
  <c r="F76" i="21" s="1"/>
  <c r="H54" i="64"/>
  <c r="I76" i="21" s="1"/>
  <c r="F53" i="64"/>
  <c r="G57" i="64"/>
  <c r="H79" i="21" s="1"/>
  <c r="E18" i="21"/>
  <c r="M18" i="64"/>
  <c r="H19" i="64"/>
  <c r="N50" i="48"/>
  <c r="N18" i="48" s="1"/>
  <c r="M18" i="48"/>
  <c r="I19" i="64"/>
  <c r="K18" i="64"/>
  <c r="J19" i="64"/>
  <c r="L19" i="64"/>
  <c r="F18" i="64"/>
  <c r="F54" i="64" s="1"/>
  <c r="N82" i="48"/>
  <c r="G22" i="64"/>
  <c r="M18" i="4"/>
  <c r="M19" i="64" s="1"/>
  <c r="E19" i="64"/>
  <c r="M53" i="64" l="1"/>
  <c r="G58" i="64"/>
  <c r="H80" i="21" s="1"/>
  <c r="J55" i="64"/>
  <c r="K77" i="21" s="1"/>
  <c r="K54" i="64"/>
  <c r="L76" i="21" s="1"/>
  <c r="H55" i="64"/>
  <c r="I77" i="21" s="1"/>
  <c r="G75" i="21"/>
  <c r="N75" i="21" s="1"/>
  <c r="E55" i="64"/>
  <c r="F77" i="21" s="1"/>
  <c r="I55" i="64"/>
  <c r="J77" i="21" s="1"/>
  <c r="L55" i="64"/>
  <c r="M77" i="21" s="1"/>
  <c r="G76" i="21"/>
  <c r="E19" i="21"/>
  <c r="L20" i="64"/>
  <c r="G23" i="64"/>
  <c r="G24" i="4"/>
  <c r="F19" i="64"/>
  <c r="M19" i="4"/>
  <c r="M20" i="64" s="1"/>
  <c r="M19" i="48"/>
  <c r="N51" i="48"/>
  <c r="N19" i="48" s="1"/>
  <c r="F78" i="21"/>
  <c r="J20" i="64"/>
  <c r="H20" i="64"/>
  <c r="K19" i="64"/>
  <c r="I20" i="64"/>
  <c r="N83" i="48"/>
  <c r="J56" i="64" l="1"/>
  <c r="K78" i="21" s="1"/>
  <c r="L56" i="64"/>
  <c r="M78" i="21" s="1"/>
  <c r="I56" i="64"/>
  <c r="J78" i="21" s="1"/>
  <c r="F55" i="64"/>
  <c r="G77" i="21" s="1"/>
  <c r="K55" i="64"/>
  <c r="H56" i="64"/>
  <c r="I78" i="21" s="1"/>
  <c r="G59" i="64"/>
  <c r="H81" i="21" s="1"/>
  <c r="H82" i="21" s="1"/>
  <c r="H109" i="21" s="1"/>
  <c r="H112" i="21" s="1"/>
  <c r="M54" i="64"/>
  <c r="N76" i="21"/>
  <c r="E20" i="21"/>
  <c r="N84" i="48"/>
  <c r="I21" i="64"/>
  <c r="K20" i="64"/>
  <c r="H21" i="64"/>
  <c r="M20" i="48"/>
  <c r="N52" i="48"/>
  <c r="N20" i="48" s="1"/>
  <c r="F20" i="64"/>
  <c r="J21" i="64"/>
  <c r="M20" i="4"/>
  <c r="M21" i="64" s="1"/>
  <c r="E21" i="64"/>
  <c r="L21" i="64"/>
  <c r="M55" i="64" l="1"/>
  <c r="G60" i="64"/>
  <c r="E57" i="64"/>
  <c r="F79" i="21" s="1"/>
  <c r="I57" i="64"/>
  <c r="J79" i="21" s="1"/>
  <c r="J57" i="64"/>
  <c r="K79" i="21" s="1"/>
  <c r="H57" i="64"/>
  <c r="I79" i="21" s="1"/>
  <c r="L77" i="21"/>
  <c r="N77" i="21" s="1"/>
  <c r="L57" i="64"/>
  <c r="M79" i="21" s="1"/>
  <c r="F56" i="64"/>
  <c r="G78" i="21" s="1"/>
  <c r="K56" i="64"/>
  <c r="L78" i="21" s="1"/>
  <c r="H119" i="21"/>
  <c r="H120" i="21"/>
  <c r="H122" i="21"/>
  <c r="H129" i="21"/>
  <c r="H130" i="21"/>
  <c r="H127" i="21"/>
  <c r="H125" i="21"/>
  <c r="H128" i="21"/>
  <c r="H123" i="21"/>
  <c r="H121" i="21"/>
  <c r="H124" i="21"/>
  <c r="H126" i="21"/>
  <c r="H13" i="21"/>
  <c r="E21" i="21"/>
  <c r="E22" i="64"/>
  <c r="E24" i="4"/>
  <c r="N53" i="48"/>
  <c r="N21" i="48" s="1"/>
  <c r="M21" i="48"/>
  <c r="K21" i="64"/>
  <c r="N85" i="48"/>
  <c r="H22" i="64"/>
  <c r="L22" i="64"/>
  <c r="J22" i="64"/>
  <c r="F21" i="64"/>
  <c r="I22" i="64"/>
  <c r="M56" i="64" l="1"/>
  <c r="N78" i="21"/>
  <c r="J58" i="64"/>
  <c r="K80" i="21" s="1"/>
  <c r="L58" i="64"/>
  <c r="M80" i="21" s="1"/>
  <c r="K57" i="64"/>
  <c r="L79" i="21" s="1"/>
  <c r="E58" i="64"/>
  <c r="F80" i="21" s="1"/>
  <c r="I58" i="64"/>
  <c r="J80" i="21" s="1"/>
  <c r="H58" i="64"/>
  <c r="I80" i="21" s="1"/>
  <c r="H131" i="21"/>
  <c r="F57" i="64"/>
  <c r="G79" i="21" s="1"/>
  <c r="E22" i="21"/>
  <c r="H14" i="21"/>
  <c r="H15" i="21" s="1"/>
  <c r="H16" i="21" s="1"/>
  <c r="H17" i="21" s="1"/>
  <c r="H18" i="21" s="1"/>
  <c r="H19" i="21" s="1"/>
  <c r="H20" i="21" s="1"/>
  <c r="H21" i="21" s="1"/>
  <c r="H22" i="21" s="1"/>
  <c r="H23" i="21" s="1"/>
  <c r="N86" i="48"/>
  <c r="M22" i="48"/>
  <c r="N54" i="48"/>
  <c r="N22" i="48" s="1"/>
  <c r="F22" i="64"/>
  <c r="H23" i="64"/>
  <c r="H24" i="4"/>
  <c r="E23" i="64"/>
  <c r="K22" i="64"/>
  <c r="M22" i="4"/>
  <c r="I23" i="64"/>
  <c r="I24" i="4"/>
  <c r="J23" i="64"/>
  <c r="J24" i="4"/>
  <c r="L23" i="64"/>
  <c r="L24" i="4"/>
  <c r="M21" i="4"/>
  <c r="M22" i="64" s="1"/>
  <c r="N79" i="21" l="1"/>
  <c r="H59" i="64"/>
  <c r="H60" i="64" s="1"/>
  <c r="M57" i="64"/>
  <c r="J59" i="64"/>
  <c r="K81" i="21" s="1"/>
  <c r="K82" i="21" s="1"/>
  <c r="K109" i="21" s="1"/>
  <c r="K112" i="21" s="1"/>
  <c r="K58" i="64"/>
  <c r="L80" i="21" s="1"/>
  <c r="F58" i="64"/>
  <c r="G80" i="21" s="1"/>
  <c r="E59" i="64"/>
  <c r="F81" i="21" s="1"/>
  <c r="F82" i="21" s="1"/>
  <c r="L59" i="64"/>
  <c r="L60" i="64" s="1"/>
  <c r="I59" i="64"/>
  <c r="I60" i="64" s="1"/>
  <c r="H25" i="21"/>
  <c r="E23" i="21"/>
  <c r="M23" i="64"/>
  <c r="M24" i="4"/>
  <c r="D42" i="4" s="1"/>
  <c r="J6" i="8" s="1"/>
  <c r="F23" i="64"/>
  <c r="F24" i="4"/>
  <c r="N87" i="48"/>
  <c r="K23" i="64"/>
  <c r="K24" i="4"/>
  <c r="M23" i="48"/>
  <c r="N55" i="48"/>
  <c r="N23" i="48" s="1"/>
  <c r="M81" i="21" l="1"/>
  <c r="M82" i="21" s="1"/>
  <c r="M109" i="21" s="1"/>
  <c r="M112" i="21" s="1"/>
  <c r="M129" i="21" s="1"/>
  <c r="J60" i="64"/>
  <c r="N80" i="21"/>
  <c r="K59" i="64"/>
  <c r="L81" i="21" s="1"/>
  <c r="L82" i="21" s="1"/>
  <c r="L109" i="21" s="1"/>
  <c r="L112" i="21" s="1"/>
  <c r="M58" i="64"/>
  <c r="E60" i="64"/>
  <c r="F59" i="64"/>
  <c r="G81" i="21" s="1"/>
  <c r="J81" i="21"/>
  <c r="J82" i="21" s="1"/>
  <c r="J109" i="21" s="1"/>
  <c r="J112" i="21" s="1"/>
  <c r="J123" i="21" s="1"/>
  <c r="I81" i="21"/>
  <c r="I82" i="21" s="1"/>
  <c r="I109" i="21" s="1"/>
  <c r="I112" i="21" s="1"/>
  <c r="I123" i="21" s="1"/>
  <c r="M126" i="21"/>
  <c r="M122" i="21"/>
  <c r="M120" i="21"/>
  <c r="K126" i="21"/>
  <c r="K128" i="21"/>
  <c r="K120" i="21"/>
  <c r="K121" i="21"/>
  <c r="K127" i="21"/>
  <c r="K130" i="21"/>
  <c r="K122" i="21"/>
  <c r="K119" i="21"/>
  <c r="K13" i="21" s="1"/>
  <c r="K124" i="21"/>
  <c r="K123" i="21"/>
  <c r="K129" i="21"/>
  <c r="K125" i="21"/>
  <c r="E25" i="21"/>
  <c r="F109" i="21"/>
  <c r="N88" i="48"/>
  <c r="N56" i="48"/>
  <c r="N24" i="48" s="1"/>
  <c r="M24" i="48"/>
  <c r="M125" i="21" l="1"/>
  <c r="M119" i="21"/>
  <c r="M13" i="21" s="1"/>
  <c r="M123" i="21"/>
  <c r="M121" i="21"/>
  <c r="M124" i="21"/>
  <c r="M130" i="21"/>
  <c r="M127" i="21"/>
  <c r="M128" i="21"/>
  <c r="F60" i="64"/>
  <c r="I121" i="21"/>
  <c r="J122" i="21"/>
  <c r="K60" i="64"/>
  <c r="J121" i="21"/>
  <c r="I129" i="21"/>
  <c r="J127" i="21"/>
  <c r="J120" i="21"/>
  <c r="K131" i="21"/>
  <c r="M59" i="64"/>
  <c r="M61" i="64" s="1"/>
  <c r="F91" i="64" s="1"/>
  <c r="F94" i="64" s="1"/>
  <c r="K127" i="1" s="1"/>
  <c r="I124" i="21"/>
  <c r="J126" i="21"/>
  <c r="J129" i="21"/>
  <c r="N81" i="21"/>
  <c r="G82" i="21"/>
  <c r="I128" i="21"/>
  <c r="I127" i="21"/>
  <c r="I125" i="21"/>
  <c r="I122" i="21"/>
  <c r="I130" i="21"/>
  <c r="I126" i="21"/>
  <c r="J119" i="21"/>
  <c r="J13" i="21" s="1"/>
  <c r="J128" i="21"/>
  <c r="J124" i="21"/>
  <c r="I120" i="21"/>
  <c r="I119" i="21"/>
  <c r="I13" i="21" s="1"/>
  <c r="J125" i="21"/>
  <c r="J130" i="21"/>
  <c r="L125" i="21"/>
  <c r="L124" i="21"/>
  <c r="L119" i="21"/>
  <c r="L13" i="21" s="1"/>
  <c r="L130" i="21"/>
  <c r="L126" i="21"/>
  <c r="L121" i="21"/>
  <c r="L120" i="21"/>
  <c r="L129" i="21"/>
  <c r="L122" i="21"/>
  <c r="L127" i="21"/>
  <c r="L128" i="21"/>
  <c r="L123" i="21"/>
  <c r="M14" i="21"/>
  <c r="F112" i="21"/>
  <c r="K14" i="21"/>
  <c r="K15" i="21" s="1"/>
  <c r="K16" i="21" s="1"/>
  <c r="K17" i="21" s="1"/>
  <c r="K18" i="21" s="1"/>
  <c r="K19" i="21" s="1"/>
  <c r="K20" i="21" s="1"/>
  <c r="K21" i="21" s="1"/>
  <c r="K22" i="21" s="1"/>
  <c r="K23" i="21" s="1"/>
  <c r="M25" i="48"/>
  <c r="N57" i="48"/>
  <c r="N25" i="48" s="1"/>
  <c r="N89" i="48"/>
  <c r="M131" i="21" l="1"/>
  <c r="M15" i="21"/>
  <c r="M16" i="21" s="1"/>
  <c r="M17" i="21" s="1"/>
  <c r="M18" i="21" s="1"/>
  <c r="M19" i="21" s="1"/>
  <c r="M20" i="21" s="1"/>
  <c r="M21" i="21" s="1"/>
  <c r="M22" i="21" s="1"/>
  <c r="M23" i="21" s="1"/>
  <c r="I14" i="21"/>
  <c r="I15" i="21" s="1"/>
  <c r="I16" i="21" s="1"/>
  <c r="I17" i="21" s="1"/>
  <c r="I18" i="21" s="1"/>
  <c r="I19" i="21" s="1"/>
  <c r="I20" i="21" s="1"/>
  <c r="I21" i="21" s="1"/>
  <c r="I22" i="21" s="1"/>
  <c r="I23" i="21" s="1"/>
  <c r="J14" i="21"/>
  <c r="J15" i="21" s="1"/>
  <c r="J16" i="21" s="1"/>
  <c r="J17" i="21" s="1"/>
  <c r="J18" i="21" s="1"/>
  <c r="J19" i="21" s="1"/>
  <c r="J20" i="21" s="1"/>
  <c r="J21" i="21" s="1"/>
  <c r="J22" i="21" s="1"/>
  <c r="J23" i="21" s="1"/>
  <c r="J131" i="21"/>
  <c r="I131" i="21"/>
  <c r="N82" i="21"/>
  <c r="G109" i="21"/>
  <c r="L131" i="21"/>
  <c r="M25" i="21"/>
  <c r="K25" i="21"/>
  <c r="J51" i="8"/>
  <c r="K136" i="1"/>
  <c r="K138" i="1" s="1"/>
  <c r="L14" i="21"/>
  <c r="L15" i="21" s="1"/>
  <c r="L16" i="21" s="1"/>
  <c r="L17" i="21" s="1"/>
  <c r="L18" i="21" s="1"/>
  <c r="L19" i="21" s="1"/>
  <c r="L20" i="21" s="1"/>
  <c r="L21" i="21" s="1"/>
  <c r="L22" i="21" s="1"/>
  <c r="L23" i="21" s="1"/>
  <c r="F126" i="21"/>
  <c r="F121" i="21"/>
  <c r="F120" i="21"/>
  <c r="F119" i="21"/>
  <c r="F129" i="21"/>
  <c r="F124" i="21"/>
  <c r="F122" i="21"/>
  <c r="F128" i="21"/>
  <c r="F127" i="21"/>
  <c r="F130" i="21"/>
  <c r="F125" i="21"/>
  <c r="F123" i="21"/>
  <c r="N90" i="48"/>
  <c r="M26" i="48"/>
  <c r="N58" i="48"/>
  <c r="N26" i="48" s="1"/>
  <c r="I25" i="21" l="1"/>
  <c r="J25" i="21"/>
  <c r="G112" i="21"/>
  <c r="N109" i="21"/>
  <c r="L25" i="21"/>
  <c r="D70" i="7"/>
  <c r="D71" i="7" s="1"/>
  <c r="D73" i="7" s="1"/>
  <c r="D79" i="7" s="1"/>
  <c r="K139" i="1"/>
  <c r="H89" i="44" s="1"/>
  <c r="F131" i="21"/>
  <c r="F13" i="21"/>
  <c r="M27" i="48"/>
  <c r="N59" i="48"/>
  <c r="N27" i="48" s="1"/>
  <c r="N91" i="48"/>
  <c r="G122" i="21" l="1"/>
  <c r="N122" i="21" s="1"/>
  <c r="G120" i="21"/>
  <c r="N120" i="21" s="1"/>
  <c r="G125" i="21"/>
  <c r="N125" i="21" s="1"/>
  <c r="G128" i="21"/>
  <c r="N128" i="21" s="1"/>
  <c r="G126" i="21"/>
  <c r="N126" i="21" s="1"/>
  <c r="G129" i="21"/>
  <c r="N129" i="21" s="1"/>
  <c r="G130" i="21"/>
  <c r="N130" i="21" s="1"/>
  <c r="G127" i="21"/>
  <c r="N127" i="21" s="1"/>
  <c r="G121" i="21"/>
  <c r="N121" i="21" s="1"/>
  <c r="G123" i="21"/>
  <c r="N123" i="21" s="1"/>
  <c r="G119" i="21"/>
  <c r="G124" i="21"/>
  <c r="N124" i="21" s="1"/>
  <c r="N112" i="21"/>
  <c r="K141" i="1"/>
  <c r="C6" i="9" s="1"/>
  <c r="F14" i="21"/>
  <c r="N92" i="48"/>
  <c r="M28" i="48"/>
  <c r="N60" i="48"/>
  <c r="N28" i="48" s="1"/>
  <c r="G13" i="21" l="1"/>
  <c r="G131" i="21"/>
  <c r="N119" i="21"/>
  <c r="N131" i="21" s="1"/>
  <c r="K146" i="1"/>
  <c r="F15" i="21"/>
  <c r="N93" i="48"/>
  <c r="M29" i="48"/>
  <c r="N61" i="48"/>
  <c r="N29" i="48" s="1"/>
  <c r="G14" i="21" l="1"/>
  <c r="N13" i="21"/>
  <c r="F16" i="21"/>
  <c r="M30" i="48"/>
  <c r="N62" i="48"/>
  <c r="N30" i="48" s="1"/>
  <c r="N94" i="48"/>
  <c r="G15" i="21" l="1"/>
  <c r="N14" i="21"/>
  <c r="F17" i="21"/>
  <c r="N63" i="48"/>
  <c r="N31" i="48" s="1"/>
  <c r="M31" i="48"/>
  <c r="N95" i="48"/>
  <c r="G16" i="21" l="1"/>
  <c r="N15" i="21"/>
  <c r="F18" i="21"/>
  <c r="N96" i="48"/>
  <c r="N64" i="48"/>
  <c r="N32" i="48" s="1"/>
  <c r="M32" i="48"/>
  <c r="G17" i="21" l="1"/>
  <c r="N16" i="21"/>
  <c r="F19" i="21"/>
  <c r="N65" i="48"/>
  <c r="N33" i="48" s="1"/>
  <c r="M33" i="48"/>
  <c r="N97" i="48"/>
  <c r="G18" i="21" l="1"/>
  <c r="N17" i="21"/>
  <c r="F20" i="21"/>
  <c r="M34" i="48"/>
  <c r="N66" i="48"/>
  <c r="N34" i="48" s="1"/>
  <c r="N98" i="48"/>
  <c r="N99" i="48"/>
  <c r="G19" i="21" l="1"/>
  <c r="N18" i="21"/>
  <c r="F21" i="21"/>
  <c r="M35" i="48"/>
  <c r="N67" i="48"/>
  <c r="N35" i="48" s="1"/>
  <c r="G20" i="21" l="1"/>
  <c r="N19" i="21"/>
  <c r="F22" i="21"/>
  <c r="M36" i="48"/>
  <c r="N37" i="48"/>
  <c r="D78" i="7" s="1"/>
  <c r="D80" i="7" s="1"/>
  <c r="D86" i="7" s="1"/>
  <c r="G21" i="21" l="1"/>
  <c r="N20" i="21"/>
  <c r="F23" i="21"/>
  <c r="D88" i="7"/>
  <c r="D89" i="7"/>
  <c r="H90" i="44" s="1"/>
  <c r="G22" i="21" l="1"/>
  <c r="N21" i="21"/>
  <c r="H91" i="44"/>
  <c r="H93" i="44" s="1"/>
  <c r="K155" i="1" s="1"/>
  <c r="F25" i="21"/>
  <c r="D91" i="7"/>
  <c r="K147" i="1" s="1"/>
  <c r="G23" i="21" l="1"/>
  <c r="N22" i="21"/>
  <c r="C7" i="9"/>
  <c r="N23" i="21" l="1"/>
  <c r="G25" i="21"/>
  <c r="N25" i="21" s="1"/>
  <c r="J18" i="8" s="1"/>
  <c r="J21" i="8" s="1"/>
  <c r="J29" i="8" s="1"/>
  <c r="J41" i="8" s="1"/>
  <c r="J34" i="8" l="1"/>
  <c r="J55" i="8" s="1"/>
  <c r="J38" i="8"/>
  <c r="J56" i="8" s="1"/>
  <c r="F90" i="12"/>
  <c r="F92" i="12" s="1"/>
  <c r="F94" i="12" s="1"/>
  <c r="F98" i="12" s="1"/>
  <c r="F101" i="12" s="1"/>
  <c r="J59" i="8" l="1"/>
  <c r="J63" i="8" s="1"/>
  <c r="E67" i="8" l="1"/>
  <c r="E69" i="8" l="1"/>
  <c r="E71" i="8"/>
  <c r="E72" i="8" l="1"/>
  <c r="E14" i="65" s="1"/>
  <c r="E26" i="65" l="1"/>
  <c r="H26" i="65" s="1"/>
  <c r="E25" i="65"/>
  <c r="H25" i="65" s="1"/>
  <c r="J25" i="65" s="1"/>
  <c r="K25" i="65" s="1"/>
  <c r="L25" i="65" s="1"/>
  <c r="E27" i="65"/>
  <c r="H27" i="65" s="1"/>
  <c r="E28" i="65"/>
  <c r="H28" i="65" s="1"/>
  <c r="E30" i="65"/>
  <c r="H30" i="65" s="1"/>
  <c r="E36" i="65"/>
  <c r="H36" i="65" s="1"/>
  <c r="E29" i="65"/>
  <c r="H29" i="65" s="1"/>
  <c r="E31" i="65"/>
  <c r="H31" i="65" s="1"/>
  <c r="E33" i="65"/>
  <c r="H33" i="65" s="1"/>
  <c r="E34" i="65"/>
  <c r="H34" i="65" s="1"/>
  <c r="E35" i="65"/>
  <c r="H35" i="65" s="1"/>
  <c r="E32" i="65"/>
  <c r="H32"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l="1"/>
  <c r="K36" i="65" s="1"/>
  <c r="L36" i="65" l="1"/>
  <c r="E40" i="65" s="1"/>
  <c r="E42" i="65" s="1"/>
  <c r="E43" i="65" s="1"/>
  <c r="E44" i="65" s="1"/>
  <c r="K148" i="1" s="1"/>
  <c r="K151" i="1" l="1"/>
  <c r="C8" i="9"/>
  <c r="C10" i="9" s="1"/>
  <c r="D4" i="53" l="1"/>
  <c r="D12" i="53" s="1"/>
  <c r="K12" i="53" s="1"/>
  <c r="K154" i="1"/>
  <c r="K156" i="1" s="1"/>
  <c r="B4" i="31" s="1"/>
  <c r="D18" i="31" s="1"/>
  <c r="D20" i="31" s="1"/>
  <c r="F18" i="31" l="1"/>
  <c r="F20" i="31" s="1"/>
  <c r="E18" i="31"/>
  <c r="E20" i="31" s="1"/>
  <c r="D13" i="53"/>
  <c r="K13" i="53" s="1"/>
  <c r="M14" i="53" s="1"/>
  <c r="N14" i="53" s="1"/>
  <c r="L14" i="53" s="1"/>
  <c r="D24" i="53"/>
  <c r="L24" i="53" s="1"/>
  <c r="D22" i="53"/>
  <c r="D23" i="53"/>
  <c r="D25" i="53"/>
  <c r="L25" i="53" s="1"/>
  <c r="D21" i="53"/>
  <c r="D16" i="53"/>
  <c r="L16" i="53" s="1"/>
  <c r="D20" i="53"/>
  <c r="D26" i="53"/>
  <c r="D18" i="53"/>
  <c r="L18" i="53" s="1"/>
  <c r="D15" i="53"/>
  <c r="D17" i="53"/>
  <c r="L17" i="53" s="1"/>
  <c r="D19" i="53"/>
  <c r="C37" i="53" l="1"/>
  <c r="E37" i="53" s="1"/>
  <c r="I55" i="53" s="1"/>
  <c r="E55" i="53" s="1"/>
  <c r="L22" i="53"/>
  <c r="L20" i="53"/>
  <c r="H38" i="53"/>
  <c r="J38" i="53" s="1"/>
  <c r="C38" i="53"/>
  <c r="E38" i="53" s="1"/>
  <c r="I56" i="53" s="1"/>
  <c r="E56" i="53" s="1"/>
  <c r="L23" i="53"/>
  <c r="D48" i="53"/>
  <c r="K15" i="53"/>
  <c r="H37" i="53"/>
  <c r="J37" i="53" s="1"/>
  <c r="L19" i="53"/>
  <c r="H36" i="53"/>
  <c r="J36" i="53" s="1"/>
  <c r="C36" i="53"/>
  <c r="E36" i="53" s="1"/>
  <c r="I54" i="53" s="1"/>
  <c r="L21" i="53"/>
  <c r="D46" i="53"/>
  <c r="D28" i="53"/>
  <c r="D59" i="53"/>
  <c r="K26" i="53"/>
  <c r="G46" i="53" l="1"/>
  <c r="C46" i="53"/>
  <c r="D54" i="53"/>
  <c r="D51" i="53"/>
  <c r="H54" i="53"/>
  <c r="D53" i="53"/>
  <c r="M53" i="53" s="1"/>
  <c r="H56" i="53"/>
  <c r="D56" i="53"/>
  <c r="C56" i="53" s="1"/>
  <c r="C48" i="53"/>
  <c r="G48" i="53"/>
  <c r="G59" i="53"/>
  <c r="C59" i="53"/>
  <c r="I50" i="53"/>
  <c r="E50" i="53" s="1"/>
  <c r="D50" i="53" s="1"/>
  <c r="E54" i="53"/>
  <c r="I58" i="53"/>
  <c r="E58" i="53" s="1"/>
  <c r="D58" i="53" s="1"/>
  <c r="I57" i="53"/>
  <c r="I49" i="53"/>
  <c r="E49" i="53" s="1"/>
  <c r="D49" i="53" s="1"/>
  <c r="I47" i="53"/>
  <c r="E47" i="53" s="1"/>
  <c r="H55" i="53"/>
  <c r="D55" i="53"/>
  <c r="C55" i="53" s="1"/>
  <c r="D52" i="53"/>
  <c r="M52" i="53" s="1"/>
  <c r="K57" i="53" l="1"/>
  <c r="E57" i="53"/>
  <c r="D57" i="53" s="1"/>
  <c r="M51" i="53"/>
  <c r="H51" i="53"/>
  <c r="C51" i="53"/>
  <c r="H58" i="53"/>
  <c r="C58" i="53"/>
  <c r="C54" i="53"/>
  <c r="H47" i="53"/>
  <c r="D47" i="53"/>
  <c r="D61" i="53" s="1"/>
  <c r="H53" i="53"/>
  <c r="C53" i="53"/>
  <c r="H52" i="53"/>
  <c r="C52" i="53"/>
  <c r="C49" i="53"/>
  <c r="H49" i="53"/>
  <c r="M49" i="53"/>
  <c r="M50" i="53" s="1"/>
  <c r="C50" i="53"/>
  <c r="H50" i="53"/>
  <c r="E61" i="53" l="1"/>
  <c r="B8" i="31" s="1"/>
  <c r="E24" i="31" s="1"/>
  <c r="E27" i="31" s="1"/>
  <c r="M47" i="53"/>
  <c r="C47" i="53"/>
  <c r="G47" i="53"/>
  <c r="C57" i="53"/>
  <c r="H57" i="53"/>
  <c r="J57" i="53" s="1"/>
  <c r="D24" i="31"/>
  <c r="D27" i="31" s="1"/>
  <c r="G127" i="61"/>
  <c r="G135" i="61" s="1"/>
  <c r="F24" i="31" l="1"/>
  <c r="F27" i="31" s="1"/>
  <c r="E12" i="32" s="1"/>
  <c r="E14" i="32" s="1"/>
  <c r="C61" i="53"/>
  <c r="E26" i="32"/>
  <c r="E28" i="32" s="1"/>
  <c r="E20" i="32"/>
  <c r="E22" i="32" s="1"/>
  <c r="G52" i="61"/>
  <c r="I211" i="61"/>
  <c r="G71" i="61" l="1"/>
  <c r="G211" i="61" s="1"/>
</calcChain>
</file>

<file path=xl/sharedStrings.xml><?xml version="1.0" encoding="utf-8"?>
<sst xmlns="http://schemas.openxmlformats.org/spreadsheetml/2006/main" count="6577" uniqueCount="2897">
  <si>
    <t xml:space="preserve"> Attachment 2 to Appendix IX</t>
  </si>
  <si>
    <t>Formula Rate Spreadsheet</t>
  </si>
  <si>
    <t>Table of Contents</t>
  </si>
  <si>
    <t>Worksheet Name</t>
  </si>
  <si>
    <t>Schedule</t>
  </si>
  <si>
    <t>Purpose</t>
  </si>
  <si>
    <t>Overview</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</si>
  <si>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</si>
  <si>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</si>
  <si>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</si>
  <si>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</si>
  <si>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</si>
  <si>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</si>
  <si>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</si>
  <si>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</si>
  <si>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</si>
  <si>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</si>
  <si>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</si>
  <si>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</si>
  <si>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</si>
  <si>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</si>
  <si>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</si>
  <si>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</si>
  <si>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</si>
  <si>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</si>
  <si>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</si>
  <si>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</si>
  <si>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</si>
  <si>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</si>
  <si>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</si>
  <si>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</si>
  <si>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</si>
  <si>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</si>
  <si>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</si>
  <si>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</si>
  <si>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</si>
  <si>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</si>
  <si>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</si>
  <si>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</si>
  <si>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</si>
  <si>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</si>
  <si>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</si>
  <si>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</si>
  <si>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</si>
  <si>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</si>
  <si>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</si>
  <si>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</si>
  <si>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</si>
  <si>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</si>
  <si>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</si>
  <si>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</si>
  <si>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</si>
  <si>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</si>
  <si>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</si>
  <si>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</si>
  <si>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</si>
  <si>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</si>
  <si>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</si>
  <si>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</si>
  <si>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</si>
  <si>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</si>
  <si>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</si>
  <si>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</si>
  <si>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</si>
  <si>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</si>
  <si>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</si>
  <si>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</si>
  <si>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</si>
  <si>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</si>
  <si>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</si>
  <si>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</si>
  <si>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</si>
  <si>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</si>
  <si>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</si>
  <si>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</si>
  <si>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</si>
  <si>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Overview of SCE Retail Base TRR</t>
  </si>
  <si>
    <t>SCE's retail Base Transmission Revenue Requirement is the sum of the following components:</t>
  </si>
  <si>
    <t>TRR Component</t>
  </si>
  <si>
    <t>Amount</t>
  </si>
  <si>
    <t>Prior Year TRR</t>
  </si>
  <si>
    <t>Incremental Forecast Period TRR</t>
  </si>
  <si>
    <t>True-Up Adjustment</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</si>
  <si>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</si>
  <si>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</si>
  <si>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</si>
  <si>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</si>
  <si>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</si>
  <si>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</si>
  <si>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</si>
  <si>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</si>
  <si>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</si>
  <si>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 xml:space="preserve">4) The Cost Adjustment component may be included as provided in the Tariff protocols. </t>
  </si>
  <si>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</si>
  <si>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</si>
  <si>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</si>
  <si>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</si>
  <si>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</si>
  <si>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</si>
  <si>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</si>
  <si>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</si>
  <si>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</si>
  <si>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</si>
  <si>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</si>
  <si>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</si>
  <si>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</si>
  <si>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</si>
  <si>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</si>
  <si>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</si>
  <si>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</si>
  <si>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</si>
  <si>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</si>
  <si>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</si>
  <si>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</si>
  <si>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</si>
  <si>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</si>
  <si>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</si>
  <si>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Accumulated Deferred Income Taxes</t>
  </si>
  <si>
    <t>CWIP Plant</t>
  </si>
  <si>
    <t>Other Regulatory Assets/Liabilities</t>
  </si>
  <si>
    <t>Network Upgrade Credits</t>
  </si>
  <si>
    <t>Rate Base</t>
  </si>
  <si>
    <t>OTHER TAXES</t>
  </si>
  <si>
    <t>Sub-Total Local Taxes</t>
  </si>
  <si>
    <t>FF1 263.1, Row 13, Column i</t>
  </si>
  <si>
    <t>FF1 263 or 263.x (see note to left)</t>
  </si>
  <si>
    <t>Transmission Plant Allocation Factor</t>
  </si>
  <si>
    <t>Property Taxes</t>
  </si>
  <si>
    <t xml:space="preserve"> </t>
  </si>
  <si>
    <t>Payroll Taxes Expense</t>
  </si>
  <si>
    <t>FICA</t>
  </si>
  <si>
    <t>Fed Ins Cont Amt -- Current</t>
  </si>
  <si>
    <t>FF1 263, Row 6, Column i</t>
  </si>
  <si>
    <t>FICA/OASDI Emp Incntv.</t>
  </si>
  <si>
    <t>FF1 263, Row 7, Column i</t>
  </si>
  <si>
    <t>FICA/HIT Emp Incntv.</t>
  </si>
  <si>
    <t>FF1 263, Row 8, Column i</t>
  </si>
  <si>
    <t>CA SUI Current</t>
  </si>
  <si>
    <t>FF1 263, Row 24, Column i</t>
  </si>
  <si>
    <t>Fed Unemp Tax Act- Current</t>
  </si>
  <si>
    <t>FF1 263, Row 9, Column i</t>
  </si>
  <si>
    <t>CADI Vol Plan Assess</t>
  </si>
  <si>
    <t>FF1 263, Row 29, Column i</t>
  </si>
  <si>
    <t>SF Pyrl Exp Tx - SCE</t>
  </si>
  <si>
    <t>FF1 263, Row 28, Column i</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</si>
  <si>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</si>
  <si>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</si>
  <si>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</si>
  <si>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</si>
  <si>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</si>
  <si>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</si>
  <si>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</si>
  <si>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</si>
  <si>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</si>
  <si>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</si>
  <si>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</si>
  <si>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</si>
  <si>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</si>
  <si>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</si>
  <si>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Line 40 * Line 42</t>
  </si>
  <si>
    <t>Preferred Stock Cost Percentage</t>
  </si>
  <si>
    <t>Equity</t>
  </si>
  <si>
    <t>Common Stock Equity Amount</t>
  </si>
  <si>
    <t>Total Capital</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</si>
  <si>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</si>
  <si>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</si>
  <si>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</si>
  <si>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</si>
  <si>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</si>
  <si>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</si>
  <si>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</si>
  <si>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</si>
  <si>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</si>
  <si>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</si>
  <si>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</si>
  <si>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</si>
  <si>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</si>
  <si>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</si>
  <si>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</si>
  <si>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</si>
  <si>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</si>
  <si>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</si>
  <si>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</si>
  <si>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</si>
  <si>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</si>
  <si>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</si>
  <si>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Excess Deferred Tax Liability</t>
  </si>
  <si>
    <t>Note 3</t>
  </si>
  <si>
    <t>Investment Tax Credit Flowed Through</t>
  </si>
  <si>
    <t>South Georgia Income Tax Adjustment</t>
  </si>
  <si>
    <t>Credits and Other</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</si>
  <si>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</si>
  <si>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</si>
  <si>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</si>
  <si>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</si>
  <si>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</si>
  <si>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</si>
  <si>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</si>
  <si>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</si>
  <si>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SCE Records</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</si>
  <si>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</si>
  <si>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</si>
  <si>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</si>
  <si>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</si>
  <si>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</si>
  <si>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</si>
  <si>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</si>
  <si>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</si>
  <si>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</si>
  <si>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</si>
  <si>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</si>
  <si>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</si>
  <si>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</si>
  <si>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</si>
  <si>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Total without FF&amp;U</t>
  </si>
  <si>
    <t>Franchise Fees Expense</t>
  </si>
  <si>
    <t>Uncollectibles Expense</t>
  </si>
  <si>
    <t>TOTAL BASE TRANSMISSION REVENUE REQUIREMENT</t>
  </si>
  <si>
    <t>Calculation of Base Transmission Revenue Requirement</t>
  </si>
  <si>
    <t>True Up Adjustment</t>
  </si>
  <si>
    <t>Note 4</t>
  </si>
  <si>
    <t>Base Transmission Revenue Requirement (Retail)</t>
  </si>
  <si>
    <t>For Retail Purposes</t>
  </si>
  <si>
    <t>Wholesale Base Transmission Revenue Requirement</t>
  </si>
  <si>
    <t xml:space="preserve">Base TRR (Retail) </t>
  </si>
  <si>
    <t>Wholesale Difference to the Base TRR</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</si>
  <si>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</si>
  <si>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</si>
  <si>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</si>
  <si>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</si>
  <si>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t>
  </si>
  <si>
    <t>In the event that the Return on Common Equity is revised from the initial value, enter cite to Commission Order approving the revised ROE on following line.</t>
  </si>
  <si>
    <t>Order approving revised ROE:</t>
  </si>
  <si>
    <t>SCE Proposed Formula Revision in Docket ER19-1553</t>
  </si>
  <si>
    <r>
      <t>3) No change in the South Georgia Income Tax Adjustment "Credits and Other" term</t>
    </r>
    <r>
      <rPr>
        <sz val="10"/>
        <rFont val="Arial"/>
        <family val="2"/>
      </rPr>
      <t xml:space="preserve"> will be made absent </t>
    </r>
  </si>
  <si>
    <t xml:space="preserve">a filing at the Commission.  Investment Tax Credit Flowed Through amount shall be negative $520,000 through the Prior Year of 2018, </t>
  </si>
  <si>
    <t>negative $183,000 for the Prior Year of 2019, and $0 thereafter.</t>
  </si>
  <si>
    <t>4) Cost Adjustment may be included as provided in the Tariff protocols.</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</si>
  <si>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</si>
  <si>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</si>
  <si>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</si>
  <si>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</si>
  <si>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</si>
  <si>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</si>
  <si>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</si>
  <si>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</si>
  <si>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</si>
  <si>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</si>
  <si>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</si>
  <si>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</si>
  <si>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</si>
  <si>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Reference</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</si>
  <si>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</si>
  <si>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</si>
  <si>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</si>
  <si>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</si>
  <si>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</si>
  <si>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</si>
  <si>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</si>
  <si>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</si>
  <si>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</si>
  <si>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</si>
  <si>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</si>
  <si>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</si>
  <si>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</si>
  <si>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</si>
  <si>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</si>
  <si>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</si>
  <si>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</si>
  <si>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</si>
  <si>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</si>
  <si>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</si>
  <si>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</si>
  <si>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</si>
  <si>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</si>
  <si>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</si>
  <si>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</si>
  <si>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</si>
  <si>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</si>
  <si>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</si>
  <si>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</si>
  <si>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</si>
  <si>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</si>
  <si>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</si>
  <si>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</si>
  <si>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</si>
  <si>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</si>
  <si>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</si>
  <si>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</si>
  <si>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</si>
  <si>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</si>
  <si>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</si>
  <si>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</si>
  <si>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</si>
  <si>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</si>
  <si>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</si>
  <si>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</si>
  <si>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</si>
  <si>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</si>
  <si>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</si>
  <si>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</si>
  <si>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</si>
  <si>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</si>
  <si>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</si>
  <si>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</si>
  <si>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</si>
  <si>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</si>
  <si>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</si>
  <si>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</si>
  <si>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</si>
  <si>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</si>
  <si>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</si>
  <si>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</si>
  <si>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</si>
  <si>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</si>
  <si>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</si>
  <si>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</si>
  <si>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</si>
  <si>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</si>
  <si>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</si>
  <si>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</si>
  <si>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</si>
  <si>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</si>
  <si>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</si>
  <si>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</si>
  <si>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</si>
  <si>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</si>
  <si>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</si>
  <si>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</si>
  <si>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</si>
  <si>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</si>
  <si>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</si>
  <si>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</si>
  <si>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</si>
  <si>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</si>
  <si>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</si>
  <si>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</si>
  <si>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</si>
  <si>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</si>
  <si>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</si>
  <si>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</si>
  <si>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</si>
  <si>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</si>
  <si>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</si>
  <si>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</si>
  <si>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</si>
  <si>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</si>
  <si>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</si>
  <si>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</si>
  <si>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</si>
  <si>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</si>
  <si>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</si>
  <si>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</si>
  <si>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</si>
  <si>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</si>
  <si>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</si>
  <si>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</si>
  <si>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</si>
  <si>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</si>
  <si>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</si>
  <si>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</si>
  <si>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</si>
  <si>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</si>
  <si>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4) True Up Adjustment</t>
  </si>
  <si>
    <t>Shortfall or Excess Revenue in Prior Year:</t>
  </si>
  <si>
    <t>Previous Annual Update TU Adjustment:</t>
  </si>
  <si>
    <t>Previous Annual Update:</t>
  </si>
  <si>
    <t xml:space="preserve">Docket No. </t>
  </si>
  <si>
    <t>ER18-169</t>
  </si>
  <si>
    <t>TU Adjustment without Projected Interest</t>
  </si>
  <si>
    <t>Projected Interest to Rate Year Mid-Point:</t>
  </si>
  <si>
    <t>True Up Adjustment:</t>
  </si>
  <si>
    <t>Negative amount is to be returned to customers by SCE (included in Base TRR as a negative amount).</t>
  </si>
  <si>
    <t>5)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</si>
  <si>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</si>
  <si>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</si>
  <si>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</si>
  <si>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</si>
  <si>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</si>
  <si>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</si>
  <si>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</si>
  <si>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</si>
  <si>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</si>
  <si>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</si>
  <si>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</si>
  <si>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</si>
  <si>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</si>
  <si>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</si>
  <si>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Total</t>
  </si>
  <si>
    <t>Other</t>
  </si>
  <si>
    <t>Public</t>
  </si>
  <si>
    <t>Retail</t>
  </si>
  <si>
    <t>Distribution</t>
  </si>
  <si>
    <t>Generation</t>
  </si>
  <si>
    <t>Revenue</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</si>
  <si>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</si>
  <si>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</si>
  <si>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</si>
  <si>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</si>
  <si>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</si>
  <si>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</si>
  <si>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</si>
  <si>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</si>
  <si>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</si>
  <si>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</si>
  <si>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</si>
  <si>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</si>
  <si>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</si>
  <si>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</si>
  <si>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</si>
  <si>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</si>
  <si>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</si>
  <si>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</si>
  <si>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</si>
  <si>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</si>
  <si>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</si>
  <si>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</si>
  <si>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</si>
  <si>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</si>
  <si>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</si>
  <si>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</si>
  <si>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</si>
  <si>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</si>
  <si>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</si>
  <si>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</si>
  <si>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</si>
  <si>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</si>
  <si>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</si>
  <si>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</si>
  <si>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</si>
  <si>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</si>
  <si>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</si>
  <si>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</si>
  <si>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</si>
  <si>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</si>
  <si>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</si>
  <si>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</si>
  <si>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</si>
  <si>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</si>
  <si>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</si>
  <si>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</si>
  <si>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</si>
  <si>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</si>
  <si>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</si>
  <si>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</si>
  <si>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</si>
  <si>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</si>
  <si>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</si>
  <si>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</si>
  <si>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</si>
  <si>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</si>
  <si>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</si>
  <si>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</si>
  <si>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Prorata Avg.</t>
  </si>
  <si>
    <t>B) Return on Capital</t>
  </si>
  <si>
    <t>See Instruction 1</t>
  </si>
  <si>
    <t>C) Income Taxes</t>
  </si>
  <si>
    <t>ER = Equity ROR inc. Com. and Pref. Stock</t>
  </si>
  <si>
    <t>Instruction 1</t>
  </si>
  <si>
    <t>D) True Up TRR Calculation</t>
  </si>
  <si>
    <t>Gains and Losses on Transmission Plant Held for Future Use -- Land</t>
  </si>
  <si>
    <t>Total without True Up Incentive Adder</t>
  </si>
  <si>
    <t>True Up Incentive Adder</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</si>
  <si>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</si>
  <si>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</si>
  <si>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</si>
  <si>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</si>
  <si>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</si>
  <si>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</si>
  <si>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</si>
  <si>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</si>
  <si>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</si>
  <si>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</si>
  <si>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</si>
  <si>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</si>
  <si>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</si>
  <si>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</si>
  <si>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</si>
  <si>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</si>
  <si>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</si>
  <si>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</si>
  <si>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</si>
  <si>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</si>
  <si>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</si>
  <si>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</si>
  <si>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</si>
  <si>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</si>
  <si>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</si>
  <si>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</si>
  <si>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</si>
  <si>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</si>
  <si>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</si>
  <si>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</si>
  <si>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</si>
  <si>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</si>
  <si>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Second Formula Rate Filing accepted by FERC in ER18-169</t>
  </si>
  <si>
    <t>f</t>
  </si>
  <si>
    <t>Beginning of Prior Year</t>
  </si>
  <si>
    <t>g</t>
  </si>
  <si>
    <t>Wtd. Cost of Long Term Debt</t>
  </si>
  <si>
    <t>h</t>
  </si>
  <si>
    <t>Wtd.Cost of Preferred Stock</t>
  </si>
  <si>
    <t>i</t>
  </si>
  <si>
    <t>Wtd.Cost of Common Stock</t>
  </si>
  <si>
    <t>j</t>
  </si>
  <si>
    <t>Calculation of Equity Rate of Return Including Common and Preferred Stock:</t>
  </si>
  <si>
    <t>k</t>
  </si>
  <si>
    <t>Calculation of Components of Cost of Capital Rate</t>
  </si>
  <si>
    <t>Calculation of Long Term Debt Amount</t>
  </si>
  <si>
    <t>Bonds -- Account 221</t>
  </si>
  <si>
    <t>13-month avg.</t>
  </si>
  <si>
    <t>Less Reacquired Bonds -- Account 222</t>
  </si>
  <si>
    <t>Long Term Debt Advances from Associated Companies -- Account 223</t>
  </si>
  <si>
    <t>Other Long Term Debt -- Account 224</t>
  </si>
  <si>
    <t>Unamortized Premium on Long Term Debt - Account 225</t>
  </si>
  <si>
    <t>Less Unamortized Discount on Long Term Debt -- Account 226</t>
  </si>
  <si>
    <t>13-month avg.; enter negative</t>
  </si>
  <si>
    <t>Unamortized Debt Expenses -- Account 181</t>
  </si>
  <si>
    <t>Unamortized Loss on Reacquired Debt -- Account 189</t>
  </si>
  <si>
    <t xml:space="preserve">After tax amount of Unamortized Loss on Reacquired Debt </t>
  </si>
  <si>
    <t>Removal of Long Term Debt Related to Fuel Inventories</t>
  </si>
  <si>
    <t>Adjustments related to "LT Debt Related to Fuel Inventories"</t>
  </si>
  <si>
    <t>Calculation of Preferred Stock Amount</t>
  </si>
  <si>
    <t>Preferred Stock Amount -- Account 204</t>
  </si>
  <si>
    <t>Unamortized Issuance Costs</t>
  </si>
  <si>
    <t>Net Gain (Loss) From Purchase and Tender Offers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</si>
  <si>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</si>
  <si>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</si>
  <si>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</si>
  <si>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</si>
  <si>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</si>
  <si>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</si>
  <si>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Calculation of 13-Month Average Capitalization Balances</t>
  </si>
  <si>
    <t xml:space="preserve">Year </t>
  </si>
  <si>
    <t>Col 10</t>
  </si>
  <si>
    <t>Col 11</t>
  </si>
  <si>
    <t>Col 12</t>
  </si>
  <si>
    <t>Col 13</t>
  </si>
  <si>
    <t>Col 14</t>
  </si>
  <si>
    <t>Item</t>
  </si>
  <si>
    <t>June</t>
  </si>
  <si>
    <t>= Sum (Cols. 2-14)/13</t>
  </si>
  <si>
    <t>Bonds -- Account 221 (Note 1):</t>
  </si>
  <si>
    <t>Reacquired Bonds -- Account 222 (Note 2): enter - of FF1</t>
  </si>
  <si>
    <t xml:space="preserve"> Long Term Debt Advances from Associated Companies (Note 3):</t>
  </si>
  <si>
    <t>Other Long Term Debt -- Account 224 (Note 4):</t>
  </si>
  <si>
    <t>Unamortized Premium on Long Term Debt -- Account 225 (Note 5)</t>
  </si>
  <si>
    <t>Less Unamortized Discount on Long Term Debt -- Account 226 (Note 6): enter - of FF1</t>
  </si>
  <si>
    <t>Unamortized Debt Expenses -- Account 181 (Note 7): enter - of FF1</t>
  </si>
  <si>
    <t>Unamortized Loss on Reacquired Debt -- Account 189 (Note 8): enter - of FF1</t>
  </si>
  <si>
    <t>Removal of Long Term Debt Not Financing Rate Base (Note 9)</t>
  </si>
  <si>
    <t>Adjustments related to "LT Debt Not Financing Rate Base" (Note 10)</t>
  </si>
  <si>
    <t>Preferred Stock Amount -- Account 204 (Note 11):</t>
  </si>
  <si>
    <t>Unamortized Issuance Costs (Note 12)</t>
  </si>
  <si>
    <t>Net Gain (Loss) From Purchase and Tender Offers (Note 13):</t>
  </si>
  <si>
    <t>Total Proprietary Capital (Note 14):</t>
  </si>
  <si>
    <t xml:space="preserve">Proprietary Capital Adjustment for Wildfire Related Capital </t>
  </si>
  <si>
    <t>14a</t>
  </si>
  <si>
    <t>Unappropriated Undist. Sub. Earnings -- Acct. 216.1 (Note 15): enter - of FF1</t>
  </si>
  <si>
    <t>Accumulated Other Comprehensive Loss -- Account 219 (Note 16): enter - of FF1</t>
  </si>
  <si>
    <t xml:space="preserve">1) Enter 13 months of balances for capital structure for Prior Year and December previous to Prior Year in Columns 2-14.  </t>
  </si>
  <si>
    <t>Beginning and End of year amounts in Columns 2 and 14 are from FERC Form 1, as referenced in below notes.</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</si>
  <si>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</si>
  <si>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</si>
  <si>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3) Amount in Column 2 from FF1 112.20d, amount in Column 14 from FF1 112.20c, amounts in columns 3-13 from SCE internal records. </t>
  </si>
  <si>
    <t xml:space="preserve">4) Amount in Column 2 from FF1 112.21d, amount in Column 14 from FF1 112.21c, amounts in columns 3-13 from SCE internal records. </t>
  </si>
  <si>
    <t xml:space="preserve">5) Amount in Column 2 from FF1 112.22d, amount in Column 14 from FF1 112.22c, amounts in columns 3-13 from SCE internal records. </t>
  </si>
  <si>
    <t xml:space="preserve">6) Amount in Column 2 from FF1 112.23d, amount in Column 14 from FF1 112.23c, amounts in columns 3-13 from SCE internal records. </t>
  </si>
  <si>
    <t xml:space="preserve">7) Amount in Column 2 from FF1 111.69d, amount in Column 14 from FF1 111.69c, amounts in columns 3-13 from SCE internal records. </t>
  </si>
  <si>
    <t xml:space="preserve">8) Amount in Column 2 from FF1 111.81d, amount in Column 14 from FF1 111.81c, amounts in columns 3-13 from SCE internal records. </t>
  </si>
  <si>
    <t>9) Amounts in Columns 2-14 are from SCE internal records.</t>
  </si>
  <si>
    <t>10) Amounts in Columns 2-14 are from SCE internal records.</t>
  </si>
  <si>
    <t xml:space="preserve">11) Amount in Column 2 from FF1 112.3d, amount in Column 14 from FF1 112.3c, amounts in columns 3-13 from SCE internal records. </t>
  </si>
  <si>
    <t>12) Amounts in Columns 2-14 are from SCE internal records.</t>
  </si>
  <si>
    <t>13) Amounts in Columns 2-14 are from SCE internal records.</t>
  </si>
  <si>
    <t xml:space="preserve">14) Amount in Column 2 from FF1 112.16d, amount in Column 14 from FF1 112.16c, amounts in columns 3-13 from SCE internal records. </t>
  </si>
  <si>
    <t>14a) Represents Capital disclosed by SCE related to Wildfire Related Capital, not yet paid on a cash basis.  Amounts in Columns 2-14 are from SCE internal records</t>
  </si>
  <si>
    <t xml:space="preserve">15) Amount in Column 2 from FF1 112.12d, amount in Column 14 from FF1 112.12c, amounts in columns 3-13 from SCE internal records. </t>
  </si>
  <si>
    <t>16) Amount in Column 2 from FF1 112.15d, amount in Column 14 from FF1 112.15c, amounts in columns 3-13 from SCE internal records.</t>
  </si>
  <si>
    <t>Prior Year:</t>
  </si>
  <si>
    <t xml:space="preserve">1) Calculation of "Long Term Debt Cost Percentage" </t>
  </si>
  <si>
    <t>Total Annual Cost of Outstanding Series Debt:</t>
  </si>
  <si>
    <t>Total Annual Amortized Loss on Reacquired Debt:</t>
  </si>
  <si>
    <t>FF1 117.64c</t>
  </si>
  <si>
    <t>Total Annual Cost of Debt:</t>
  </si>
  <si>
    <t>= L1 + L2</t>
  </si>
  <si>
    <t>Total "Principal Amount Outstanding" Debt:</t>
  </si>
  <si>
    <t xml:space="preserve">Total Reacquired Debt: </t>
  </si>
  <si>
    <t>Total Unamortized Loss on Reacquired Debt:</t>
  </si>
  <si>
    <t>1-BaseTRR, Line 59</t>
  </si>
  <si>
    <t>After-Tax Total Unamortized Loss on Reacquired Debt:</t>
  </si>
  <si>
    <t>= L7 * (1 - L8)</t>
  </si>
  <si>
    <t>Total Debt Balance:</t>
  </si>
  <si>
    <t>= L5 + L6 + L9</t>
  </si>
  <si>
    <t>Long Term Debt Cost Percentage:</t>
  </si>
  <si>
    <t>= L3 / L10</t>
  </si>
  <si>
    <t>2) Long Term Debt Information for each Outstanding Series</t>
  </si>
  <si>
    <t>FF1 256, Col a</t>
  </si>
  <si>
    <t>FF1 256, Col d</t>
  </si>
  <si>
    <t>FF1 256, Col e</t>
  </si>
  <si>
    <t>FF1 257, Col h</t>
  </si>
  <si>
    <t>FF1 256, Col c</t>
  </si>
  <si>
    <t>= Col 5 - Col 7</t>
  </si>
  <si>
    <t>= Col 5 * Col 9</t>
  </si>
  <si>
    <t>Series</t>
  </si>
  <si>
    <t>Date of Offering</t>
  </si>
  <si>
    <t>Maturity Date</t>
  </si>
  <si>
    <t>Coupon Rate</t>
  </si>
  <si>
    <t>Principal Amount Oustanding ($000s)</t>
  </si>
  <si>
    <t>Amort-ization Period (Years)</t>
  </si>
  <si>
    <t>Net Discount &amp; Issuance Cost ($000s)</t>
  </si>
  <si>
    <t>Net Proceeds ($000s)</t>
  </si>
  <si>
    <t>Cost of 
Money</t>
  </si>
  <si>
    <t>Annual Cost  ($000s)</t>
  </si>
  <si>
    <t>Comments:  See below</t>
  </si>
  <si>
    <t>Series 2004B</t>
  </si>
  <si>
    <t>Series 2004G</t>
  </si>
  <si>
    <t>Series 2005B</t>
  </si>
  <si>
    <t>Series 2005E</t>
  </si>
  <si>
    <t>Series 2006A</t>
  </si>
  <si>
    <t>Series 2006E</t>
  </si>
  <si>
    <t>Series 2008A</t>
  </si>
  <si>
    <t>Series 2008B</t>
  </si>
  <si>
    <t>n/a</t>
  </si>
  <si>
    <t>Series 2009A</t>
  </si>
  <si>
    <t>Series 2010A</t>
  </si>
  <si>
    <t>Series 2010B</t>
  </si>
  <si>
    <t>Series 2011A</t>
  </si>
  <si>
    <t>Series 2011E</t>
  </si>
  <si>
    <t>Series 2012A</t>
  </si>
  <si>
    <t>Series 2013A</t>
  </si>
  <si>
    <t>Series 2013C</t>
  </si>
  <si>
    <t>Series 2013D</t>
  </si>
  <si>
    <t>Series 2015A</t>
  </si>
  <si>
    <t>Series 2015B</t>
  </si>
  <si>
    <t>Series 2015C</t>
  </si>
  <si>
    <t>Series 2017A</t>
  </si>
  <si>
    <t>Series 2018A</t>
  </si>
  <si>
    <t>Series 2018B</t>
  </si>
  <si>
    <t>Series 2018C</t>
  </si>
  <si>
    <t>Series 2018D</t>
  </si>
  <si>
    <t>Series 2018E</t>
  </si>
  <si>
    <t>SONGS_2006A</t>
  </si>
  <si>
    <t>SONGS_2006B</t>
  </si>
  <si>
    <t>SONGS 2006C&amp;D</t>
  </si>
  <si>
    <t>CLARK COUNTY 2010</t>
  </si>
  <si>
    <t>4CRNRS 2011</t>
  </si>
  <si>
    <t>Series PV2000AB</t>
  </si>
  <si>
    <t>Series 4CRNRS 05AB</t>
  </si>
  <si>
    <t>SONGS 2010A</t>
  </si>
  <si>
    <t>CPCFA SONGS 2011</t>
  </si>
  <si>
    <t>6.65% Notes</t>
  </si>
  <si>
    <t>Ft. Irwin Loan</t>
  </si>
  <si>
    <t>Comments for Section 2 "Long Term Debt Information for each Outstanding Series":</t>
  </si>
  <si>
    <t>Comment #:</t>
  </si>
  <si>
    <t>Comment</t>
  </si>
  <si>
    <t>Series 2018B matured in March 2018</t>
  </si>
  <si>
    <t>Excludes fuel portion of $100 million</t>
  </si>
  <si>
    <t>SONGS 2006A matured in April 2018</t>
  </si>
  <si>
    <t>CPCFA SONGS 2011 matured in April 2018</t>
  </si>
  <si>
    <t>Principal amount reduces over time. FF1 amount reflects principal balance on the date of offering</t>
  </si>
  <si>
    <t>…</t>
  </si>
  <si>
    <t>Total Principal Amount Outstanding (sum of above * 1,000):</t>
  </si>
  <si>
    <t>Total Annual Cost (sum of above * 1,000):</t>
  </si>
  <si>
    <t>3) Long Term Debt Information for each Reacquired Series</t>
  </si>
  <si>
    <t>Principal Amount ($000s)</t>
  </si>
  <si>
    <t>Comment #</t>
  </si>
  <si>
    <t>Total Principal Amount (sum of above * 1,000):</t>
  </si>
  <si>
    <t>Comments for Section 3 "Long Term Debt Information for each Reacquired Series":</t>
  </si>
  <si>
    <t>1) Equal to maturity date less the date of offering year</t>
  </si>
  <si>
    <t>2) Sum of all amounts for each issuance</t>
  </si>
  <si>
    <t>3) 18 CFR 35.13 (22) Statement AV - Rate of Return (ii)(B)(6) Cost of money</t>
  </si>
  <si>
    <t>4) Excludes debt, or portions thereof, that does not finance Rate Base</t>
  </si>
  <si>
    <t>1) Calculation of "Preferred Stock Cost Percentage"</t>
  </si>
  <si>
    <t>Total Annual Cost of Preferred Stock:</t>
  </si>
  <si>
    <t>Total Reacquired Preferred Stock Cost:</t>
  </si>
  <si>
    <t>Total Annual Cost of Preferred:</t>
  </si>
  <si>
    <t>Total Preferred Stock Amount Outstanding:</t>
  </si>
  <si>
    <t>FF1 112.3c</t>
  </si>
  <si>
    <t>Net Gain (Loss) from Purchase and Tender Offers:</t>
  </si>
  <si>
    <t>Total Preferred Balance:</t>
  </si>
  <si>
    <t>= L5 - L6</t>
  </si>
  <si>
    <t>Preferred Stock Cost Percentage:</t>
  </si>
  <si>
    <t>= L3 / L7</t>
  </si>
  <si>
    <t>2) Preferred Stock Information for each Outstanding Series</t>
  </si>
  <si>
    <t>FF1 250, Col a</t>
  </si>
  <si>
    <t>FF1 251, Col f</t>
  </si>
  <si>
    <t>Sec 3, Col 2</t>
  </si>
  <si>
    <t>= Col 4 - Col 5</t>
  </si>
  <si>
    <t>= Col 6 / Col 4</t>
  </si>
  <si>
    <t>= Col 3 / Col 7</t>
  </si>
  <si>
    <t>= Col 4 * Col 8</t>
  </si>
  <si>
    <t>Issue Date</t>
  </si>
  <si>
    <t>Dividend Rate</t>
  </si>
  <si>
    <t>Face Value / Amount Outstanding ($000s)</t>
  </si>
  <si>
    <t>Total Issuance Cost ($000s)</t>
  </si>
  <si>
    <t>Net Proceeds at Issuance ($000s)</t>
  </si>
  <si>
    <t>% of Face Value</t>
  </si>
  <si>
    <t>Cost of Money / Effective Rate</t>
  </si>
  <si>
    <t>Annualized Cost ($000s)</t>
  </si>
  <si>
    <t>$25 Par Value 4.32% Series</t>
  </si>
  <si>
    <t>$25 Par Value 4.08% Series</t>
  </si>
  <si>
    <t>$25 Par Value 4.24% Series</t>
  </si>
  <si>
    <t>$25 Par Value 4.78% Series</t>
  </si>
  <si>
    <t>Series E</t>
  </si>
  <si>
    <t>Series G</t>
  </si>
  <si>
    <t>Series H</t>
  </si>
  <si>
    <t>Series J</t>
  </si>
  <si>
    <t>Series K</t>
  </si>
  <si>
    <t>Series L</t>
  </si>
  <si>
    <t>3)  Preferred Stock Issuance Cost Details for each Outstanding Series</t>
  </si>
  <si>
    <t>Same list as in Section 2</t>
  </si>
  <si>
    <t>Full Amortization Period</t>
  </si>
  <si>
    <t>Fully amortized</t>
  </si>
  <si>
    <t>Redeemed Series B and C</t>
  </si>
  <si>
    <t>Redeemed Series D</t>
  </si>
  <si>
    <t>4)  Reacquired Preferred Stock Information</t>
  </si>
  <si>
    <t>Col 3 / Col 5</t>
  </si>
  <si>
    <t>Call Date</t>
  </si>
  <si>
    <t>Net Gain (Loss) from Purchase and Tender Offers  ($000s)</t>
  </si>
  <si>
    <t>Amortization Period</t>
  </si>
  <si>
    <t>Issuance Amortization Cost ($000s)</t>
  </si>
  <si>
    <t>8.540% Preferred, premium</t>
  </si>
  <si>
    <t>Net gain from open-market purchase of 67,400 shares in November 1985</t>
  </si>
  <si>
    <t>12.000% Preferred, redemption</t>
  </si>
  <si>
    <t>Redemption premium paid to holders (so loss to company)</t>
  </si>
  <si>
    <t>Initial issue discount</t>
  </si>
  <si>
    <t>Series A</t>
  </si>
  <si>
    <t>Series B</t>
  </si>
  <si>
    <t>Redeemed by Series G</t>
  </si>
  <si>
    <t>Series C</t>
  </si>
  <si>
    <t>Series D</t>
  </si>
  <si>
    <t>Series D was redeemed by Series K</t>
  </si>
  <si>
    <t>Series F</t>
  </si>
  <si>
    <t>Redeemed by Series L</t>
  </si>
  <si>
    <t xml:space="preserve">1) If issuance costs not fully amortized then the “Cost of Money Effective Rate” is the 18 CFR 35.13 (22) Statement AV - Rate of Return (ii)(B)(6) Cost of money.  </t>
  </si>
  <si>
    <t>If the issuance costs are fully amortized then the “Cost of Money Effective Rate” is equal to Column 3 / Column 7.</t>
  </si>
  <si>
    <t>Plant In Service</t>
  </si>
  <si>
    <t>Inputs are shaded yellow</t>
  </si>
  <si>
    <t>1) Transmission Plant - ISO</t>
  </si>
  <si>
    <t>Balances for Transmission Plant - ISO during the Prior Year, including December of previous year (See Note 1):</t>
  </si>
  <si>
    <t>Sum C2 - C11</t>
  </si>
  <si>
    <t>Mo/YR</t>
  </si>
  <si>
    <t>Dec 2017</t>
  </si>
  <si>
    <t>Jan 2018</t>
  </si>
  <si>
    <t>Feb 2018</t>
  </si>
  <si>
    <t>Mar 2018</t>
  </si>
  <si>
    <t>Apr 2018</t>
  </si>
  <si>
    <t>May 2018</t>
  </si>
  <si>
    <t>Jun 2018</t>
  </si>
  <si>
    <t>Jul 2018</t>
  </si>
  <si>
    <t>Aug 2018</t>
  </si>
  <si>
    <t>Sep 2018</t>
  </si>
  <si>
    <t>Oct 2018</t>
  </si>
  <si>
    <t>Nov 2018</t>
  </si>
  <si>
    <t>Dec 2018</t>
  </si>
  <si>
    <t>13-Mo. Avg:</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</si>
  <si>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</si>
  <si>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</si>
  <si>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</si>
  <si>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</si>
  <si>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</si>
  <si>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</si>
  <si>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</si>
  <si>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</si>
  <si>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</si>
  <si>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t>4) General Plant + Electric Miscellaneous Intangible Plant ("G&amp;I Plant")</t>
  </si>
  <si>
    <t>General and Intangible Plant is an allocated portion of Total G&amp;I Plant based on the Trans. W&amp;S Allocation Factor</t>
  </si>
  <si>
    <t>General</t>
  </si>
  <si>
    <t>Intangible</t>
  </si>
  <si>
    <t>Data</t>
  </si>
  <si>
    <t>Plant</t>
  </si>
  <si>
    <t>G&amp;I Plant</t>
  </si>
  <si>
    <t>Balances</t>
  </si>
  <si>
    <t>FF1 206.99.b and 204.5b</t>
  </si>
  <si>
    <t>BOY amount from previous PY</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</si>
  <si>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</si>
  <si>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</si>
  <si>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</si>
  <si>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</si>
  <si>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</si>
  <si>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</si>
  <si>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</si>
  <si>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</si>
  <si>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</si>
  <si>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</si>
  <si>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</si>
  <si>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</si>
  <si>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</si>
  <si>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</si>
  <si>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4) Calculation of change in Non-Incentive ISO Plant:</t>
  </si>
  <si>
    <t>A) Change in ISO Plant Balance December to December (See Note 9)</t>
  </si>
  <si>
    <t>B) Change in Incentive ISO Plant (See Note 10)</t>
  </si>
  <si>
    <t>C) Change in Non-Incentive ISO Plant (See Note 11)</t>
  </si>
  <si>
    <t>5) Other ISO Transmission Activity without Incentive Plant Activity (See Note 12):</t>
  </si>
  <si>
    <t xml:space="preserve">1) Amounts on Line 13 from corresponding account Schedule 7, column 2.  </t>
  </si>
  <si>
    <t>Amounts on Line 1 must match corresponding account Schedule 7, Column 2 for previous year.</t>
  </si>
  <si>
    <t xml:space="preserve">The amounts for each month on the remaining lines are calculated by summing the following values: </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</si>
  <si>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</si>
  <si>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</si>
  <si>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</si>
  <si>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</si>
  <si>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</si>
  <si>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</si>
  <si>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</si>
  <si>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t>
  </si>
  <si>
    <t>4) Includes recorded Transmission Plant-In-Service additions, retirements, transfers and adjustments.  From SCE internal acounting records.</t>
  </si>
  <si>
    <t>5) Includes balances for SCE Incentive Projects.</t>
  </si>
  <si>
    <t>6) Monthly differences from previous matrix.  Other columns from SCE internal accounting records.</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</si>
  <si>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</si>
  <si>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</si>
  <si>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</si>
  <si>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</si>
  <si>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</si>
  <si>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</si>
  <si>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</si>
  <si>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</si>
  <si>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</si>
  <si>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</si>
  <si>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</si>
  <si>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</si>
  <si>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</si>
  <si>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</si>
  <si>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</si>
  <si>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</si>
  <si>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</si>
  <si>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</si>
  <si>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</si>
  <si>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</si>
  <si>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</si>
  <si>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</si>
  <si>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</si>
  <si>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</si>
  <si>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</si>
  <si>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</si>
  <si>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</si>
  <si>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</si>
  <si>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</si>
  <si>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</si>
  <si>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</si>
  <si>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</si>
  <si>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</si>
  <si>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</si>
  <si>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</si>
  <si>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</si>
  <si>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</si>
  <si>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</si>
  <si>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</si>
  <si>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</si>
  <si>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</si>
  <si>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</si>
  <si>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</si>
  <si>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</si>
  <si>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=Sum C2 to C11</t>
  </si>
  <si>
    <t>FERC</t>
  </si>
  <si>
    <t>Account:</t>
  </si>
  <si>
    <t>2) Distribution Depreciation Reserve - ISO (See Note 2)</t>
  </si>
  <si>
    <t>=Sum C2 to C4</t>
  </si>
  <si>
    <t>Beginning of Year ("BOY") amount</t>
  </si>
  <si>
    <t>End of Year ("EOY") amount</t>
  </si>
  <si>
    <t>BOY/EOY Average:</t>
  </si>
  <si>
    <t>3) General and Intangible Depreciation Reserve</t>
  </si>
  <si>
    <t>=C4+C5</t>
  </si>
  <si>
    <t>Gen. and Int.</t>
  </si>
  <si>
    <t xml:space="preserve">Depreciation </t>
  </si>
  <si>
    <t>Reserve</t>
  </si>
  <si>
    <t>BOY:</t>
  </si>
  <si>
    <t>FF1 219.28c and 200.21c for previous year</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</si>
  <si>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</si>
  <si>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</si>
  <si>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</si>
  <si>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</si>
  <si>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</si>
  <si>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</si>
  <si>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</si>
  <si>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</si>
  <si>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</si>
  <si>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</si>
  <si>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</si>
  <si>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</si>
  <si>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</si>
  <si>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</si>
  <si>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</si>
  <si>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</si>
  <si>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1) Amounts on Line 13 based on current year Plant Study.  Amounts on Line 1 shall be based on previous year Plant Study, and </t>
  </si>
  <si>
    <t>shall match amounts on Line 13 in previous year Annual Update.</t>
  </si>
  <si>
    <t>The amounts for each month on the remaining lines are calculated by summing the following values:</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</si>
  <si>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</si>
  <si>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</si>
  <si>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</si>
  <si>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</si>
  <si>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</si>
  <si>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</si>
  <si>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</si>
  <si>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4) From 6-PlantInService, Lines 93 to 104.</t>
  </si>
  <si>
    <t>8) Multiply the montly "Total Transmission Allocation Factors" ratios found in Lines 40-51 by the</t>
  </si>
  <si>
    <t>"Other Activity" on Line 54.</t>
  </si>
  <si>
    <t>Accumulated Deferred Income Taxes and Net Excess Deferred Tax Liabilities</t>
  </si>
  <si>
    <t>1) Summary of Accumulated Deferred Income Taxes and Net Excess Deferred Tax Liabilities</t>
  </si>
  <si>
    <t>a) End of Year Accumulated Deferred Income Taxes and Net Excess Deferred Tax Liabilities</t>
  </si>
  <si>
    <t>Balance</t>
  </si>
  <si>
    <t>Account 190</t>
  </si>
  <si>
    <t>Account 282</t>
  </si>
  <si>
    <t>Account 283</t>
  </si>
  <si>
    <t>Net Excess/Deficient Deferred Tax Liability/Asset - 2017 TCAJA</t>
  </si>
  <si>
    <t>FF1 278, see Notes 4 and 5</t>
  </si>
  <si>
    <t>Total Accumulated Deferred Income Taxes</t>
  </si>
  <si>
    <t>and Net Excess Deferred Tax Liabilities</t>
  </si>
  <si>
    <t>b) Beginning of Year Accumulated Deferred Income Taxes and Net Excess Deferred Tax Liabilities</t>
  </si>
  <si>
    <t>BOY</t>
  </si>
  <si>
    <t>c) Prorata Average of Beginning and End of Year Accumulated Deferred Income Taxes and Net Excess Deferred Tax Liabilities</t>
  </si>
  <si>
    <t>Average</t>
  </si>
  <si>
    <t>Prorata Average Balance:</t>
  </si>
  <si>
    <t>Line 817, Coumn 8</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</si>
  <si>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</si>
  <si>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</si>
  <si>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</si>
  <si>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</si>
  <si>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</si>
  <si>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</si>
  <si>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</si>
  <si>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</si>
  <si>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</si>
  <si>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</si>
  <si>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</si>
  <si>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</si>
  <si>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</si>
  <si>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</si>
  <si>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</si>
  <si>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C: Relates primarily to Regulated Electric Property</t>
  </si>
  <si>
    <t>Executive Incentive Comp</t>
  </si>
  <si>
    <t>C: Relates to employees in all functions</t>
  </si>
  <si>
    <t>Bond Discount Amort</t>
  </si>
  <si>
    <t>Executive Incentive Plan</t>
  </si>
  <si>
    <t>Ins - Inj/Damages Prov</t>
  </si>
  <si>
    <t>Accrued Vacation</t>
  </si>
  <si>
    <t>Amortization of Debt Expense</t>
  </si>
  <si>
    <t>Wildfire Reserve</t>
  </si>
  <si>
    <t>Decommissioning</t>
  </si>
  <si>
    <t>Relates to Nuclear Decommissioning Costs</t>
  </si>
  <si>
    <t>Balancing Accounts</t>
  </si>
  <si>
    <t>Relates Entirely to CPUC Balancing Account Recovery</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</si>
  <si>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</si>
  <si>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</si>
  <si>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</si>
  <si>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</si>
  <si>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</si>
  <si>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</si>
  <si>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</si>
  <si>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</si>
  <si>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</si>
  <si>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Continuation of Account 190 Detail</t>
  </si>
  <si>
    <t>Labor Related</t>
  </si>
  <si>
    <t>Total Electric 190</t>
  </si>
  <si>
    <t>Account 190 Gas and Other Income:</t>
  </si>
  <si>
    <t>Temp - Other/Non-ISO - Gas</t>
  </si>
  <si>
    <t>Gas Related Costs</t>
  </si>
  <si>
    <t>Temp - Other/Non-ISO - Other</t>
  </si>
  <si>
    <t>Other Non-ISO Related Costs</t>
  </si>
  <si>
    <t>EMS</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</si>
  <si>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</si>
  <si>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</si>
  <si>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</si>
  <si>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</si>
  <si>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</si>
  <si>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</si>
  <si>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</si>
  <si>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</si>
  <si>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</si>
  <si>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</si>
  <si>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</si>
  <si>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</si>
  <si>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</si>
  <si>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</si>
  <si>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</si>
  <si>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</si>
  <si>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Property/Non-ISO - Gas</t>
  </si>
  <si>
    <t>Property/Non-ISO - Other</t>
  </si>
  <si>
    <t>Total Account 282</t>
  </si>
  <si>
    <t>Total Account 282 ADIT</t>
  </si>
  <si>
    <t>FERC Form 1 Account 282</t>
  </si>
  <si>
    <t>FF1 275.5k</t>
  </si>
  <si>
    <t>4) Account 283 Detail</t>
  </si>
  <si>
    <t>ACCT 283</t>
  </si>
  <si>
    <t>Ad Valorem Lien Date Adj-Electric</t>
  </si>
  <si>
    <t>Relates Entirely to CPUC Regulated Property</t>
  </si>
  <si>
    <t>Relates Entirely to FERC Regulated Electric Property</t>
  </si>
  <si>
    <t>Refunding &amp; Retirement of Debt</t>
  </si>
  <si>
    <t>Health Care - IBNR</t>
  </si>
  <si>
    <t>Non-Rate Base FAS 109 Tax Flow-Thru</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</si>
  <si>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</si>
  <si>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</si>
  <si>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</si>
  <si>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</si>
  <si>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</si>
  <si>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</si>
  <si>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</si>
  <si>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</si>
  <si>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</si>
  <si>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5) Tax Normalization Calculation Pursuant to Treas. Reg §1.167(l)-1(h)(6)</t>
  </si>
  <si>
    <t>See Note 1</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</si>
  <si>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</si>
  <si>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</si>
  <si>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</si>
  <si>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</si>
  <si>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</si>
  <si>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</si>
  <si>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</si>
  <si>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</si>
  <si>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</si>
  <si>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</si>
  <si>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</si>
  <si>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</si>
  <si>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</si>
  <si>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</si>
  <si>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</si>
  <si>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</si>
  <si>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Beginning Deferred Tax Balance (Line 10, Col. 2)</t>
  </si>
  <si>
    <t>Ending Balance (Line 5, Col. 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</si>
  <si>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</si>
  <si>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</si>
  <si>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</si>
  <si>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</si>
  <si>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</si>
  <si>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</si>
  <si>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</si>
  <si>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</si>
  <si>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</si>
  <si>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</si>
  <si>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</si>
  <si>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</si>
  <si>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</si>
  <si>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</si>
  <si>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</si>
  <si>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</si>
  <si>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</si>
  <si>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</si>
  <si>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</si>
  <si>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</si>
  <si>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</si>
  <si>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</si>
  <si>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</si>
  <si>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</si>
  <si>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</si>
  <si>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</si>
  <si>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</si>
  <si>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</si>
  <si>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 xml:space="preserve">1) The monthly deferred tax amounts are equal to the ending Accumulated Deferred Income Taxes and Net Excess Deferred Tax Liabilities </t>
  </si>
  <si>
    <t>balance minus the beginning Accumulated Deferred Income Taxes and Net Excess Deferred Tax Liabilities balance, divided by 12 months.</t>
  </si>
  <si>
    <t>2) For January through December = previous month balance plus amount in Column 2.</t>
  </si>
  <si>
    <t>3) The average Accumulated Deferred Income Taxes and Net Excess Deferred Tax Liabilities Balance is equal to the amount on Line 817, Column 8.</t>
  </si>
  <si>
    <t>Line 805 is equal to Line 10, Column 2.  Lines 806 through 817 equal previous amount in Column 8, plus amount in Column 7.</t>
  </si>
  <si>
    <t>4) The net excess/deficiency is derived from the deficiency arising in Account 190 offset by excesses in Accounts 282 and 283.</t>
  </si>
  <si>
    <t xml:space="preserve">5) SCE must submit a Federal Power Act Section 205 filing to obtain Commission approval prior to reflecting in rates any regulatory assets </t>
  </si>
  <si>
    <t>and liabilities arising from future tax changes.</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</si>
  <si>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</si>
  <si>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</si>
  <si>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</si>
  <si>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</si>
  <si>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</si>
  <si>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</si>
  <si>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</si>
  <si>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</si>
  <si>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</si>
  <si>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</si>
  <si>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</si>
  <si>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</si>
  <si>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</si>
  <si>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</si>
  <si>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</si>
  <si>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</si>
  <si>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</si>
  <si>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 xml:space="preserve">Colorado </t>
  </si>
  <si>
    <t>Whirlwind</t>
  </si>
  <si>
    <t>River</t>
  </si>
  <si>
    <t>ELM</t>
  </si>
  <si>
    <t>Expansion</t>
  </si>
  <si>
    <t>Mesa</t>
  </si>
  <si>
    <t>Alberhill</t>
  </si>
  <si>
    <t>Series Caps</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</si>
  <si>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</si>
  <si>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</si>
  <si>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</si>
  <si>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</si>
  <si>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</si>
  <si>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</si>
  <si>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</si>
  <si>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</si>
  <si>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</si>
  <si>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</si>
  <si>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</si>
  <si>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</si>
  <si>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</si>
  <si>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</si>
  <si>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</si>
  <si>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</si>
  <si>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</si>
  <si>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</si>
  <si>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</si>
  <si>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</si>
  <si>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</si>
  <si>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</si>
  <si>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</si>
  <si>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</si>
  <si>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</si>
  <si>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</si>
  <si>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</si>
  <si>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</si>
  <si>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</si>
  <si>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</si>
  <si>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</si>
  <si>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</si>
  <si>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</si>
  <si>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Unload</t>
  </si>
  <si>
    <t>3g) Project:</t>
  </si>
  <si>
    <t>Colorado River Substation Expansion</t>
  </si>
  <si>
    <t>3h) Project:</t>
  </si>
  <si>
    <t>3i) Project:</t>
  </si>
  <si>
    <t>3j) Project:</t>
  </si>
  <si>
    <t>ELM Series Capacitors</t>
  </si>
  <si>
    <t>3k) Project:</t>
  </si>
  <si>
    <t xml:space="preserve">1) Forecast Period is the calendar year two years after the Prior Year (i.e., PY+2).   </t>
  </si>
  <si>
    <t>2) Sum of project specific values from lines 55-79, 81-105, 107-131, 133-157, 159-183, 185-209, 211-235, 237-261, 263-287, 289-313,…</t>
  </si>
  <si>
    <t>1) Enter recorded amounts of CWIP during Prior Year on Lines 1-13, 15-27 (including December of year previous to Prior Year).</t>
  </si>
  <si>
    <t>2) Enter forecast project specific values on lines 55-79, 81-105, 107-131, 133-157, 159-183, 185-209, 211-235, 237-261, 263-287, 289-313,...</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</si>
  <si>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</si>
  <si>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</si>
  <si>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</si>
  <si>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</si>
  <si>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</si>
  <si>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</si>
  <si>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</si>
  <si>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</si>
  <si>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</si>
  <si>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</si>
  <si>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</si>
  <si>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</si>
  <si>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2a</t>
  </si>
  <si>
    <t xml:space="preserve">Alberhill </t>
  </si>
  <si>
    <t>Sub</t>
  </si>
  <si>
    <t xml:space="preserve"> SCE records</t>
  </si>
  <si>
    <t>2b</t>
  </si>
  <si>
    <t>2c</t>
  </si>
  <si>
    <t>2d</t>
  </si>
  <si>
    <t>2e</t>
  </si>
  <si>
    <t>2f</t>
  </si>
  <si>
    <t>2g</t>
  </si>
  <si>
    <t>2h</t>
  </si>
  <si>
    <t>Sum of above lines</t>
  </si>
  <si>
    <t>General Plant Held for Future Use</t>
  </si>
  <si>
    <t>FF1 page 214</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</si>
  <si>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</si>
  <si>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</si>
  <si>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</si>
  <si>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</si>
  <si>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</si>
  <si>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</si>
  <si>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</si>
  <si>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</si>
  <si>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</si>
  <si>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</si>
  <si>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</si>
  <si>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</si>
  <si>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</si>
  <si>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</si>
  <si>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</si>
  <si>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</si>
  <si>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</si>
  <si>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</si>
  <si>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</si>
  <si>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</si>
  <si>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</si>
  <si>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</si>
  <si>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</si>
  <si>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</si>
  <si>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</si>
  <si>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</si>
  <si>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</si>
  <si>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</si>
  <si>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</si>
  <si>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</si>
  <si>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</si>
  <si>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</si>
  <si>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</si>
  <si>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</si>
  <si>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</si>
  <si>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</si>
  <si>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</si>
  <si>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</si>
  <si>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</si>
  <si>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</si>
  <si>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</si>
  <si>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</si>
  <si>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</si>
  <si>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</si>
  <si>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</si>
  <si>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</si>
  <si>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</si>
  <si>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</si>
  <si>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</si>
  <si>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</si>
  <si>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</si>
  <si>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</si>
  <si>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</si>
  <si>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</si>
  <si>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</si>
  <si>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</si>
  <si>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</si>
  <si>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</si>
  <si>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</si>
  <si>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</si>
  <si>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</si>
  <si>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</si>
  <si>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</si>
  <si>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</si>
  <si>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</si>
  <si>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</si>
  <si>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</si>
  <si>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</si>
  <si>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</si>
  <si>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</si>
  <si>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</si>
  <si>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</si>
  <si>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</si>
  <si>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</si>
  <si>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</si>
  <si>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</si>
  <si>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</si>
  <si>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</si>
  <si>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</si>
  <si>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</si>
  <si>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</si>
  <si>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</si>
  <si>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</si>
  <si>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</si>
  <si>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</si>
  <si>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</si>
  <si>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</si>
  <si>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</si>
  <si>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</si>
  <si>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</si>
  <si>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</si>
  <si>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</si>
  <si>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</si>
  <si>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</si>
  <si>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</si>
  <si>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</si>
  <si>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</si>
  <si>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</si>
  <si>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</si>
  <si>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</si>
  <si>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</si>
  <si>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</si>
  <si>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</si>
  <si>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</si>
  <si>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</si>
  <si>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</si>
  <si>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</si>
  <si>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</si>
  <si>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</si>
  <si>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</si>
  <si>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</si>
  <si>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</si>
  <si>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</si>
  <si>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</si>
  <si>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</si>
  <si>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</si>
  <si>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</si>
  <si>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</si>
  <si>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</si>
  <si>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</si>
  <si>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</si>
  <si>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</si>
  <si>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</si>
  <si>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</si>
  <si>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</si>
  <si>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</si>
  <si>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</si>
  <si>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</si>
  <si>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</si>
  <si>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</si>
  <si>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</si>
  <si>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</si>
  <si>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</si>
  <si>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</si>
  <si>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</si>
  <si>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</si>
  <si>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</si>
  <si>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</si>
  <si>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</si>
  <si>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</si>
  <si>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</si>
  <si>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</si>
  <si>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</si>
  <si>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</si>
  <si>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</si>
  <si>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</si>
  <si>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</si>
  <si>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</si>
  <si>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</si>
  <si>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</si>
  <si>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</si>
  <si>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</si>
  <si>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</si>
  <si>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</si>
  <si>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</si>
  <si>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</si>
  <si>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</si>
  <si>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</si>
  <si>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</si>
  <si>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</si>
  <si>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</si>
  <si>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 xml:space="preserve">i) Mesa </t>
  </si>
  <si>
    <t>j) Alberhill</t>
  </si>
  <si>
    <t>k) ELM Series Caps</t>
  </si>
  <si>
    <t>6) Summary of Incentive Projects and incentives granted</t>
  </si>
  <si>
    <t>A) Rancho Vista Incentives Received:</t>
  </si>
  <si>
    <t>Cite:</t>
  </si>
  <si>
    <t>CWIP:</t>
  </si>
  <si>
    <t>Yes</t>
  </si>
  <si>
    <t>121 FERC ¶ 61,168 at P 57</t>
  </si>
  <si>
    <t>ROE adder:</t>
  </si>
  <si>
    <t>121 FERC ¶ 61,168 at P 129</t>
  </si>
  <si>
    <t>100% Abandoned Plant:</t>
  </si>
  <si>
    <t>No</t>
  </si>
  <si>
    <t>-------</t>
  </si>
  <si>
    <t>B) Tehachapi Incentives Received:</t>
  </si>
  <si>
    <t>121 FERC ¶ 61,168 at P 71</t>
  </si>
  <si>
    <t>C) Devers to  Colorado River Incentives Received:</t>
  </si>
  <si>
    <t>121 FERC ¶ 61,168 at 129; modified by ER10-160 Settlement, see</t>
  </si>
  <si>
    <t>P2 and P3</t>
  </si>
  <si>
    <t>D) Devers to  Palo Verde 2 Incentives Received:</t>
  </si>
  <si>
    <t>121 FERC ¶ 61,168 at P 57; modified by ER10-160 Settlement, see</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</si>
  <si>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</si>
  <si>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</si>
  <si>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</si>
  <si>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</si>
  <si>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</si>
  <si>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</si>
  <si>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</si>
  <si>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</si>
  <si>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</si>
  <si>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</si>
  <si>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</si>
  <si>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</si>
  <si>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</si>
  <si>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</si>
  <si>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</si>
  <si>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</si>
  <si>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Future Incentive Projects</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</si>
  <si>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</si>
  <si>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</si>
  <si>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</si>
  <si>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</si>
  <si>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</si>
  <si>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</si>
  <si>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</si>
  <si>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</si>
  <si>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</si>
  <si>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</si>
  <si>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</si>
  <si>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</si>
  <si>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</si>
  <si>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</si>
  <si>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</si>
  <si>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</si>
  <si>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</si>
  <si>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</si>
  <si>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</si>
  <si>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</si>
  <si>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</si>
  <si>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</si>
  <si>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</si>
  <si>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</si>
  <si>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</si>
  <si>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</si>
  <si>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</si>
  <si>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</si>
  <si>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</si>
  <si>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</si>
  <si>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</si>
  <si>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</si>
  <si>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</si>
  <si>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</si>
  <si>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</si>
  <si>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</si>
  <si>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</si>
  <si>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</si>
  <si>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</si>
  <si>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</si>
  <si>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</si>
  <si>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</si>
  <si>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</si>
  <si>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</si>
  <si>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</si>
  <si>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</si>
  <si>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</si>
  <si>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</si>
  <si>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</si>
  <si>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</si>
  <si>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</si>
  <si>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</si>
  <si>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</si>
  <si>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</si>
  <si>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</si>
  <si>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</si>
  <si>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</si>
  <si>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</si>
  <si>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</si>
  <si>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</si>
  <si>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Period</t>
  </si>
  <si>
    <t xml:space="preserve">Cost of </t>
  </si>
  <si>
    <t>Eligible Plant</t>
  </si>
  <si>
    <t>Low Voltage</t>
  </si>
  <si>
    <t>Removal</t>
  </si>
  <si>
    <t>Additions</t>
  </si>
  <si>
    <t>Gross Plant</t>
  </si>
  <si>
    <t>Accrual</t>
  </si>
  <si>
    <t>2) Incentive Plant Forecast (See Note 1)</t>
  </si>
  <si>
    <t>C4 10-CWIP
L30-53</t>
  </si>
  <si>
    <t>C5 10-CWIP
L30-53</t>
  </si>
  <si>
    <t>C6 10-CWIP
L30-53</t>
  </si>
  <si>
    <t>N/A</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</si>
  <si>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</si>
  <si>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</si>
  <si>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</si>
  <si>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</si>
  <si>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</si>
  <si>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</si>
  <si>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</si>
  <si>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</si>
  <si>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</si>
  <si>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</si>
  <si>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</si>
  <si>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</si>
  <si>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</si>
  <si>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</si>
  <si>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</si>
  <si>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</si>
  <si>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Annual</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</si>
  <si>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</si>
  <si>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</si>
  <si>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</si>
  <si>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</si>
  <si>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</si>
  <si>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</si>
  <si>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</si>
  <si>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</si>
  <si>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</si>
  <si>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</si>
  <si>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</si>
  <si>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</si>
  <si>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</si>
  <si>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</si>
  <si>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</si>
  <si>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</si>
  <si>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</si>
  <si>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</si>
  <si>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r>
      <rPr>
        <b/>
        <sz val="10"/>
        <rFont val="Arial"/>
        <family val="2"/>
      </rPr>
      <t xml:space="preserve">Source: </t>
    </r>
    <r>
      <rPr>
        <sz val="10"/>
        <rFont val="Arial"/>
        <family val="2"/>
      </rPr>
      <t>6-PlantInService, Lines 1-13.</t>
    </r>
  </si>
  <si>
    <t>Depreciation Rates (Percent per year)  See Instruction 1.</t>
  </si>
  <si>
    <t>17a</t>
  </si>
  <si>
    <t>17b</t>
  </si>
  <si>
    <t>17c</t>
  </si>
  <si>
    <t>17d</t>
  </si>
  <si>
    <t>17e</t>
  </si>
  <si>
    <t>17f</t>
  </si>
  <si>
    <t>17g</t>
  </si>
  <si>
    <t>17h</t>
  </si>
  <si>
    <t>17i</t>
  </si>
  <si>
    <t>17j</t>
  </si>
  <si>
    <t>17k</t>
  </si>
  <si>
    <t>17l</t>
  </si>
  <si>
    <t>17m</t>
  </si>
  <si>
    <t>Monthly Depreciation Expense for Transmission Plant - ISO by FERC Account:</t>
  </si>
  <si>
    <t>See Note 1 and Instruction 1</t>
  </si>
  <si>
    <t>Total Annual Depreciation Expense for Transmission Plant - ISO:</t>
  </si>
  <si>
    <t>(equals sum of monthly amounts)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</si>
  <si>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</si>
  <si>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</si>
  <si>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</si>
  <si>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</si>
  <si>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</si>
  <si>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</si>
  <si>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</si>
  <si>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</si>
  <si>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</si>
  <si>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</si>
  <si>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</si>
  <si>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</si>
  <si>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</si>
  <si>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</si>
  <si>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</si>
  <si>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</si>
  <si>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</si>
  <si>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</si>
  <si>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</si>
  <si>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</si>
  <si>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</si>
  <si>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</si>
  <si>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</si>
  <si>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</si>
  <si>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</si>
  <si>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1) Depreciation rates on lines 17a-17m are input based on the stated values of ISO Transmission Plant depreciation rates from Schedule 18 of</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</si>
  <si>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</si>
  <si>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</si>
  <si>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</si>
  <si>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</si>
  <si>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</si>
  <si>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</si>
  <si>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</si>
  <si>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</si>
  <si>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</si>
  <si>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</si>
  <si>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</si>
  <si>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</si>
  <si>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</si>
  <si>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</si>
  <si>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</si>
  <si>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</si>
  <si>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</si>
  <si>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</si>
  <si>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</si>
  <si>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</si>
  <si>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</si>
  <si>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</si>
  <si>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</si>
  <si>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</si>
  <si>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</si>
  <si>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</si>
  <si>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</si>
  <si>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</si>
  <si>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</si>
  <si>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</si>
  <si>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</si>
  <si>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</si>
  <si>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</si>
  <si>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</si>
  <si>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</si>
  <si>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</si>
  <si>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</si>
  <si>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</si>
  <si>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</si>
  <si>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</si>
  <si>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</si>
  <si>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</si>
  <si>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</si>
  <si>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</si>
  <si>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</si>
  <si>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</si>
  <si>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</si>
  <si>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</si>
  <si>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</si>
  <si>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</si>
  <si>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</si>
  <si>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</si>
  <si>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</si>
  <si>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</si>
  <si>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</si>
  <si>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</si>
  <si>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</si>
  <si>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</si>
  <si>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</si>
  <si>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</si>
  <si>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</si>
  <si>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</si>
  <si>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</si>
  <si>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</si>
  <si>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</si>
  <si>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Non-Labor</t>
  </si>
  <si>
    <t>Reason</t>
  </si>
  <si>
    <t>Transmission Accounts</t>
  </si>
  <si>
    <t>560 - Operations Supervision and Engineering - Allocated</t>
  </si>
  <si>
    <t>G</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</si>
  <si>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</si>
  <si>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</si>
  <si>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</si>
  <si>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</si>
  <si>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</si>
  <si>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</si>
  <si>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</si>
  <si>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</si>
  <si>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</si>
  <si>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</si>
  <si>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</si>
  <si>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</si>
  <si>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</si>
  <si>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</si>
  <si>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</si>
  <si>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</si>
  <si>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</si>
  <si>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</si>
  <si>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</si>
  <si>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</si>
  <si>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</si>
  <si>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</si>
  <si>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</si>
  <si>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</si>
  <si>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</si>
  <si>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</si>
  <si>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</si>
  <si>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</si>
  <si>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</si>
  <si>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</si>
  <si>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</si>
  <si>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</si>
  <si>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</si>
  <si>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</si>
  <si>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</si>
  <si>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</si>
  <si>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</si>
  <si>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</si>
  <si>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</si>
  <si>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</si>
  <si>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</si>
  <si>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</si>
  <si>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</si>
  <si>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</si>
  <si>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</si>
  <si>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</si>
  <si>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</si>
  <si>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</si>
  <si>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</si>
  <si>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</si>
  <si>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</si>
  <si>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</si>
  <si>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</si>
  <si>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</si>
  <si>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</si>
  <si>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Note 6</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</si>
  <si>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</si>
  <si>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</si>
  <si>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</si>
  <si>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</si>
  <si>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</si>
  <si>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</si>
  <si>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</si>
  <si>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</si>
  <si>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</si>
  <si>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</si>
  <si>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</si>
  <si>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</si>
  <si>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</si>
  <si>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</si>
  <si>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</si>
  <si>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</si>
  <si>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</si>
  <si>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</si>
  <si>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</si>
  <si>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</si>
  <si>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</si>
  <si>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</si>
  <si>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</si>
  <si>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</si>
  <si>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E: Exclude amount of costs transfered to account from A&amp;G Account 920 pursuant to Order 668.</t>
  </si>
  <si>
    <t>F: Excludes shareholder funded costs.</t>
  </si>
  <si>
    <t>G: Exclude EEI &amp; EPRI Dues Re-Mapped to FERC Account 930.2 Miscellaneous general expenses.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</si>
  <si>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</si>
  <si>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</si>
  <si>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</si>
  <si>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</si>
  <si>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</si>
  <si>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</si>
  <si>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</si>
  <si>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</si>
  <si>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</si>
  <si>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</si>
  <si>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</si>
  <si>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FERC Form 1</t>
  </si>
  <si>
    <t>Total Amount</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</si>
  <si>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</si>
  <si>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</si>
  <si>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</si>
  <si>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</si>
  <si>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</si>
  <si>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</si>
  <si>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</si>
  <si>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</si>
  <si>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</si>
  <si>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</si>
  <si>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</si>
  <si>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</si>
  <si>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</si>
  <si>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</si>
  <si>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</si>
  <si>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</si>
  <si>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</si>
  <si>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</si>
  <si>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</si>
  <si>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</si>
  <si>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</si>
  <si>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</si>
  <si>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</si>
  <si>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</si>
  <si>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</si>
  <si>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</si>
  <si>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</si>
  <si>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</si>
  <si>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</si>
  <si>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</si>
  <si>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</si>
  <si>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</si>
  <si>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</si>
  <si>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</si>
  <si>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</si>
  <si>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</si>
  <si>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</si>
  <si>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</si>
  <si>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</si>
  <si>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</si>
  <si>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</si>
  <si>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Shareholder</t>
  </si>
  <si>
    <t>Exclusions</t>
  </si>
  <si>
    <t>Total Amount Excluded</t>
  </si>
  <si>
    <t>or Other</t>
  </si>
  <si>
    <t>Franchise</t>
  </si>
  <si>
    <t>(Sum of Col 1 to Col 4)</t>
  </si>
  <si>
    <t>Requirements</t>
  </si>
  <si>
    <t>NOIC</t>
  </si>
  <si>
    <t>PBOPs</t>
  </si>
  <si>
    <t>See Instructions 2b, 3, and Note 2</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</si>
  <si>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</si>
  <si>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</si>
  <si>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</si>
  <si>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</si>
  <si>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</si>
  <si>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</si>
  <si>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</si>
  <si>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</si>
  <si>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</si>
  <si>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</si>
  <si>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</si>
  <si>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</si>
  <si>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</si>
  <si>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</si>
  <si>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</si>
  <si>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</si>
  <si>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</si>
  <si>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</si>
  <si>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</si>
  <si>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</si>
  <si>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</si>
  <si>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</si>
  <si>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</si>
  <si>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in Schedule 19 (OandM) related to Order 668 costs transferred.</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</si>
  <si>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</si>
  <si>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</si>
  <si>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</si>
  <si>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</si>
  <si>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</si>
  <si>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</si>
  <si>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</si>
  <si>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</si>
  <si>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</si>
  <si>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</si>
  <si>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</si>
  <si>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</si>
  <si>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</si>
  <si>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</si>
  <si>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</si>
  <si>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</si>
  <si>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</si>
  <si>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</si>
  <si>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</si>
  <si>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</si>
  <si>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ER19-1226</t>
  </si>
  <si>
    <t>5) SCE shall make no adjustments to recorded labor amounts related to non-labor labor and/or Indirect labor in Schedule 20.</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</si>
  <si>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</si>
  <si>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</si>
  <si>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</si>
  <si>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</si>
  <si>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</si>
  <si>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</si>
  <si>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</si>
  <si>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</si>
  <si>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</si>
  <si>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</si>
  <si>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</si>
  <si>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</si>
  <si>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</si>
  <si>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</si>
  <si>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</si>
  <si>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</si>
  <si>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</si>
  <si>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</si>
  <si>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</si>
  <si>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</si>
  <si>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Late Payment Charge- Comm. &amp; Ind.</t>
  </si>
  <si>
    <t>1b</t>
  </si>
  <si>
    <t>4191115</t>
  </si>
  <si>
    <t>Residential Late Payment</t>
  </si>
  <si>
    <t>450 Total</t>
  </si>
  <si>
    <t>FF-1 Total for Acct 450 - Forfeited Discounts, p300.16b (Must Equal Line 2)
(Must Equal Line X)</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</si>
  <si>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</si>
  <si>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</si>
  <si>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</si>
  <si>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</si>
  <si>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</si>
  <si>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</si>
  <si>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</si>
  <si>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</si>
  <si>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</si>
  <si>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</si>
  <si>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</si>
  <si>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</si>
  <si>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</si>
  <si>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</si>
  <si>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</si>
  <si>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</si>
  <si>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</si>
  <si>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</si>
  <si>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</si>
  <si>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</si>
  <si>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</si>
  <si>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</si>
  <si>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</si>
  <si>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</si>
  <si>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</si>
  <si>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</si>
  <si>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</si>
  <si>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</si>
  <si>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</si>
  <si>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</si>
  <si>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</si>
  <si>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</si>
  <si>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</si>
  <si>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</si>
  <si>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</si>
  <si>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</si>
  <si>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</si>
  <si>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</si>
  <si>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</si>
  <si>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</si>
  <si>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</si>
  <si>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</si>
  <si>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</si>
  <si>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</si>
  <si>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</si>
  <si>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NEM 2.0</t>
  </si>
  <si>
    <t>4s</t>
  </si>
  <si>
    <t>AR Service Guarantee</t>
  </si>
  <si>
    <t>451 Total</t>
  </si>
  <si>
    <t>FF-1 Total for Acct 451 - Misc. Service Revenues, p300.17b 
(Must Equal Line 5)</t>
  </si>
  <si>
    <t>453 Total</t>
  </si>
  <si>
    <t>FF-1 Total for Acct 453 - Sales of Water and Power, p300.18b
(Must Equal Line 8)</t>
  </si>
  <si>
    <t>10a</t>
  </si>
  <si>
    <t>4184110</t>
  </si>
  <si>
    <t>Joint Pole - Tariffed Conduit Rental</t>
  </si>
  <si>
    <t>10b</t>
  </si>
  <si>
    <t>4184112</t>
  </si>
  <si>
    <t>Joint Pole - Tariffed Pole Rental - Cable Cos.</t>
  </si>
  <si>
    <t>10c</t>
  </si>
  <si>
    <t>4184114</t>
  </si>
  <si>
    <t>Joint Pole - Tariffed Process &amp; Eng Fees - Cable</t>
  </si>
  <si>
    <t>10d</t>
  </si>
  <si>
    <t>Joint Pole - Aud - Unauth Penalty</t>
  </si>
  <si>
    <t>10e</t>
  </si>
  <si>
    <t>4184510</t>
  </si>
  <si>
    <t>Joint Pole - Non-Tariffed Pole Rental</t>
  </si>
  <si>
    <t>10f</t>
  </si>
  <si>
    <t>4184512</t>
  </si>
  <si>
    <t>Joint Pole - Non-Tariff Process &amp; Engineering Fees</t>
  </si>
  <si>
    <t>10g</t>
  </si>
  <si>
    <t>4184514</t>
  </si>
  <si>
    <t>Joint Pole - Non-Tariff Requests for Information</t>
  </si>
  <si>
    <t>10h</t>
  </si>
  <si>
    <t>4184516</t>
  </si>
  <si>
    <t>Oil And Gas Royalties</t>
  </si>
  <si>
    <t>10i</t>
  </si>
  <si>
    <t>4184518</t>
  </si>
  <si>
    <t>Def Operating Land &amp; Facilities Rent Rev</t>
  </si>
  <si>
    <t>10j</t>
  </si>
  <si>
    <t>4184810</t>
  </si>
  <si>
    <t>Facility Cost -EIX/Nonutility</t>
  </si>
  <si>
    <t>6, 12</t>
  </si>
  <si>
    <t>10k</t>
  </si>
  <si>
    <t>4184815</t>
  </si>
  <si>
    <t>Facility Cost- Utility</t>
  </si>
  <si>
    <t>10l</t>
  </si>
  <si>
    <t>4184820</t>
  </si>
  <si>
    <t>Rent Billed to Non-Utility Affiliates</t>
  </si>
  <si>
    <t>10m</t>
  </si>
  <si>
    <t>4184825</t>
  </si>
  <si>
    <t>Rent Billed to Utility Affiliates</t>
  </si>
  <si>
    <t>10n</t>
  </si>
  <si>
    <t>4194110</t>
  </si>
  <si>
    <t>Meter Leasing Revenue</t>
  </si>
  <si>
    <t>10o</t>
  </si>
  <si>
    <t>4194115</t>
  </si>
  <si>
    <t>Company Financed Added Facilities</t>
  </si>
  <si>
    <t>10p</t>
  </si>
  <si>
    <t>4194120</t>
  </si>
  <si>
    <t>Company Financed Interconnect Facilities</t>
  </si>
  <si>
    <t>10q</t>
  </si>
  <si>
    <t>4194130</t>
  </si>
  <si>
    <t>SCE Financed Added Faclty</t>
  </si>
  <si>
    <t>10r</t>
  </si>
  <si>
    <t>4194135</t>
  </si>
  <si>
    <t>Interconnect Facility Finance Charge</t>
  </si>
  <si>
    <t>10s</t>
  </si>
  <si>
    <t>4204515</t>
  </si>
  <si>
    <t>Operating Land &amp; Facilities Rent Revenue</t>
  </si>
  <si>
    <t>10t</t>
  </si>
  <si>
    <t>4867020</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</si>
  <si>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</si>
  <si>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</si>
  <si>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</si>
  <si>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</si>
  <si>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</si>
  <si>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</si>
  <si>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</si>
  <si>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</si>
  <si>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</si>
  <si>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</si>
  <si>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</si>
  <si>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</si>
  <si>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</si>
  <si>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</si>
  <si>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</si>
  <si>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</si>
  <si>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4184126</t>
  </si>
  <si>
    <t>Joint Pole - Tarriffed - PA Inspect</t>
  </si>
  <si>
    <t>10cc</t>
  </si>
  <si>
    <t>4184526</t>
  </si>
  <si>
    <t>Joint Pole - Non-Tarriff PA Inspect</t>
  </si>
  <si>
    <t>454 Total</t>
  </si>
  <si>
    <t>FF-1 Total for Acct 454 - Rent from Elec. Property, p300.19b
(Must Equal Line 11)</t>
  </si>
  <si>
    <t>12a</t>
  </si>
  <si>
    <t>4186114</t>
  </si>
  <si>
    <t>Energy Related Services</t>
  </si>
  <si>
    <t>12b</t>
  </si>
  <si>
    <t>4186118</t>
  </si>
  <si>
    <t>Distribution Miscellaneous Electric Revenues</t>
  </si>
  <si>
    <t>12c</t>
  </si>
  <si>
    <t>4186120</t>
  </si>
  <si>
    <t>Added Facilities - One Time Charge</t>
  </si>
  <si>
    <t>12d</t>
  </si>
  <si>
    <t>4186122</t>
  </si>
  <si>
    <t>Building Rental - Nev Power/Mohave Cr</t>
  </si>
  <si>
    <t>12e</t>
  </si>
  <si>
    <t>4186126</t>
  </si>
  <si>
    <t>Service Fee - Optimal Bill Prd</t>
  </si>
  <si>
    <t>12f</t>
  </si>
  <si>
    <t>4186128</t>
  </si>
  <si>
    <t>Miscellaneous Revenues</t>
  </si>
  <si>
    <t>12g</t>
  </si>
  <si>
    <t>4186130</t>
  </si>
  <si>
    <t>Tule Power Plant - Revenue</t>
  </si>
  <si>
    <t>12h</t>
  </si>
  <si>
    <t>Microwave Agreement</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</si>
  <si>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</si>
  <si>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</si>
  <si>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</si>
  <si>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</si>
  <si>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</si>
  <si>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</si>
  <si>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</si>
  <si>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</si>
  <si>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</si>
  <si>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</si>
  <si>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</si>
  <si>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</si>
  <si>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</si>
  <si>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</si>
  <si>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</si>
  <si>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</si>
  <si>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</si>
  <si>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</si>
  <si>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</si>
  <si>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</si>
  <si>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</si>
  <si>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</si>
  <si>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</si>
  <si>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</si>
  <si>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</si>
  <si>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</si>
  <si>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</si>
  <si>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</si>
  <si>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</si>
  <si>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</si>
  <si>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</si>
  <si>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</si>
  <si>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</si>
  <si>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</si>
  <si>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4186524</t>
  </si>
  <si>
    <t>Revenue From Scrap Paper - General Office</t>
  </si>
  <si>
    <t>12u</t>
  </si>
  <si>
    <t>4186528</t>
  </si>
  <si>
    <t>CTAC Revenues</t>
  </si>
  <si>
    <t>12v</t>
  </si>
  <si>
    <t>4186530</t>
  </si>
  <si>
    <t>AGTAC Revenues</t>
  </si>
  <si>
    <t>12w</t>
  </si>
  <si>
    <t>4186716</t>
  </si>
  <si>
    <t>ADT Vendor Service Revenue</t>
  </si>
  <si>
    <t>12xx</t>
  </si>
  <si>
    <t>4186718</t>
  </si>
  <si>
    <t>Read Water Meters - Irvine Ranch</t>
  </si>
  <si>
    <t>12yy</t>
  </si>
  <si>
    <t>4186720</t>
  </si>
  <si>
    <t>Read Water Meters - Rancho California</t>
  </si>
  <si>
    <t>12zz</t>
  </si>
  <si>
    <t>4186722</t>
  </si>
  <si>
    <t>Read Water Meters - Long Beach</t>
  </si>
  <si>
    <t>12aa</t>
  </si>
  <si>
    <t>4186730</t>
  </si>
  <si>
    <t>SSID Transformer Repair Services Revenue</t>
  </si>
  <si>
    <t>12bb</t>
  </si>
  <si>
    <t>4186815</t>
  </si>
  <si>
    <t>Employee Transfer/Affiliate Fee</t>
  </si>
  <si>
    <t>12cc</t>
  </si>
  <si>
    <t>4186910</t>
  </si>
  <si>
    <t>ITCC/CIAC Revenues</t>
  </si>
  <si>
    <t>12dd</t>
  </si>
  <si>
    <t>4186912</t>
  </si>
  <si>
    <t>Revenue From Decommission Trust Fund</t>
  </si>
  <si>
    <t>12ee</t>
  </si>
  <si>
    <t>4186914</t>
  </si>
  <si>
    <t>Revenue From Decommissioning Trust FAS115</t>
  </si>
  <si>
    <t>12ff</t>
  </si>
  <si>
    <t>4186916</t>
  </si>
  <si>
    <t>Offset to Revenue from NDT Earnings/Realized</t>
  </si>
  <si>
    <t>12gg</t>
  </si>
  <si>
    <t>4186918</t>
  </si>
  <si>
    <t>Offset to Revenue from FAS 115 FMV</t>
  </si>
  <si>
    <t>12hh</t>
  </si>
  <si>
    <t>4186920</t>
  </si>
  <si>
    <t>Revenue From Decommissioning Trust FAS115-1</t>
  </si>
  <si>
    <t>12ii</t>
  </si>
  <si>
    <t>4186922</t>
  </si>
  <si>
    <t>Offset to Revenue from FAS 115-1 Gains &amp; Loss</t>
  </si>
  <si>
    <t>12jj</t>
  </si>
  <si>
    <t>4188712</t>
  </si>
  <si>
    <t>Power Supply Installations - IMS</t>
  </si>
  <si>
    <t>12kk</t>
  </si>
  <si>
    <t>4188714</t>
  </si>
  <si>
    <t>Consulting Fees - IMS</t>
  </si>
  <si>
    <t>12ll</t>
  </si>
  <si>
    <t>4196105</t>
  </si>
  <si>
    <t>DA Revenue</t>
  </si>
  <si>
    <t>12mm</t>
  </si>
  <si>
    <t>4196158</t>
  </si>
  <si>
    <t>EDBL Customer Finance Added Facilities</t>
  </si>
  <si>
    <t>12nn</t>
  </si>
  <si>
    <t>4196162</t>
  </si>
  <si>
    <t>SCE Energy Manager Fee Based Services</t>
  </si>
  <si>
    <t>12oo</t>
  </si>
  <si>
    <t>4196166</t>
  </si>
  <si>
    <t>SCE Energy Manager Fee Based Services Adj</t>
  </si>
  <si>
    <t>12pp</t>
  </si>
  <si>
    <t>4196172</t>
  </si>
  <si>
    <t>Off Grid Photo Voltaic Revenues</t>
  </si>
  <si>
    <t>12qq</t>
  </si>
  <si>
    <t>4196174</t>
  </si>
  <si>
    <t>Scheduling/Dispatch Revenues</t>
  </si>
  <si>
    <t>12rr</t>
  </si>
  <si>
    <t>4196176</t>
  </si>
  <si>
    <t>Interconnect Facilities Charges-Customer Financed</t>
  </si>
  <si>
    <t>12ss</t>
  </si>
  <si>
    <t>4196178</t>
  </si>
  <si>
    <t>Interconnect Facilities Charges - SCE Financed</t>
  </si>
  <si>
    <t>12tt</t>
  </si>
  <si>
    <t>4196184</t>
  </si>
  <si>
    <t>DMS Service Fees</t>
  </si>
  <si>
    <t>12uu</t>
  </si>
  <si>
    <t>4196188</t>
  </si>
  <si>
    <t>CCA - Information Fees</t>
  </si>
  <si>
    <t>12vv</t>
  </si>
  <si>
    <t>12ww</t>
  </si>
  <si>
    <t>Grant Amortization</t>
  </si>
  <si>
    <t>GHG Allowance Revenue</t>
  </si>
  <si>
    <t>Intercon One Time</t>
  </si>
  <si>
    <t>EV Charging Revenue</t>
  </si>
  <si>
    <t>12aaa</t>
  </si>
  <si>
    <t>Energy Reltd Srv-TSP</t>
  </si>
  <si>
    <t>12bbb</t>
  </si>
  <si>
    <t>N/U Labor Mrkp-BRRBA</t>
  </si>
  <si>
    <t>12ccc</t>
  </si>
  <si>
    <t>4188720</t>
  </si>
  <si>
    <t>LCFS CR 411.8</t>
  </si>
  <si>
    <t>12ddd</t>
  </si>
  <si>
    <t>Miscellaneous Revenues - ISO</t>
  </si>
  <si>
    <t>12eee</t>
  </si>
  <si>
    <t>Power Quality C&amp;I Customer Program</t>
  </si>
  <si>
    <t>12fff</t>
  </si>
  <si>
    <t>4171023</t>
  </si>
  <si>
    <t>Gas Sales - ERRA</t>
  </si>
  <si>
    <t>12ggg</t>
  </si>
  <si>
    <t>4186182</t>
  </si>
  <si>
    <t>Miscellaneous Electric Revenue - ERRA</t>
  </si>
  <si>
    <t>456 Total</t>
  </si>
  <si>
    <t>FF-1 Total for Acct 456 - Other electric Revenues, p300.21b
(Must Equal Line 13)</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</si>
  <si>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</si>
  <si>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</si>
  <si>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</si>
  <si>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</si>
  <si>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</si>
  <si>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</si>
  <si>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</si>
  <si>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</si>
  <si>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</si>
  <si>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</si>
  <si>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</si>
  <si>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</si>
  <si>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</si>
  <si>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</si>
  <si>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</si>
  <si>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</si>
  <si>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</si>
  <si>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</si>
  <si>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</si>
  <si>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</si>
  <si>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</si>
  <si>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</si>
  <si>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</si>
  <si>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</si>
  <si>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</si>
  <si>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</si>
  <si>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</si>
  <si>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</si>
  <si>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4198116</t>
  </si>
  <si>
    <t>Radial Line Rev-Base Cost - Reliant Ormond Beach</t>
  </si>
  <si>
    <t>15k</t>
  </si>
  <si>
    <t>4198118</t>
  </si>
  <si>
    <t>Radial Line Rev-O&amp;M - AES Huntington Beach</t>
  </si>
  <si>
    <t>15l</t>
  </si>
  <si>
    <t>4198120</t>
  </si>
  <si>
    <t>Radial Line Rev-O&amp;M - Reliant Mandalay</t>
  </si>
  <si>
    <t>15m</t>
  </si>
  <si>
    <t>4198122</t>
  </si>
  <si>
    <t>Radial Line Rev-O&amp;M - Reliant Coolwater</t>
  </si>
  <si>
    <t>15n</t>
  </si>
  <si>
    <t>4198124</t>
  </si>
  <si>
    <t>Radial Line Rev-O&amp;M - Ormond Beach</t>
  </si>
  <si>
    <t>15o</t>
  </si>
  <si>
    <t>4198126</t>
  </si>
  <si>
    <t>High Desert Tie-Line Rental Rev</t>
  </si>
  <si>
    <t>15p</t>
  </si>
  <si>
    <t>4198130</t>
  </si>
  <si>
    <t>Inland Empire CRT Tie-Line EX</t>
  </si>
  <si>
    <t>15q</t>
  </si>
  <si>
    <t>4198910</t>
  </si>
  <si>
    <t>Reliability Service Revenue - Non-PTO's</t>
  </si>
  <si>
    <t>15r</t>
  </si>
  <si>
    <t>4198132</t>
  </si>
  <si>
    <t>Radial Line Agreement-Base-Mojave Solr</t>
  </si>
  <si>
    <t>15s</t>
  </si>
  <si>
    <t>4198134</t>
  </si>
  <si>
    <t>Radial Line Agreement-O&amp;M-Mojave Solr</t>
  </si>
  <si>
    <t>15t</t>
  </si>
  <si>
    <t>4188716</t>
  </si>
  <si>
    <t>ISO Non-Refundable Interconnection Deposit</t>
  </si>
  <si>
    <t>15u</t>
  </si>
  <si>
    <t>RSR - Non-PTO's - RSBA</t>
  </si>
  <si>
    <t>15v</t>
  </si>
  <si>
    <t>Transmission Sales - ERRA</t>
  </si>
  <si>
    <t>456.1 Total</t>
  </si>
  <si>
    <t>FF-1 Total for Account 456.1 - Revenues from Trans. Of Electricity of Others, p300.22b (Must Equal Line 16)</t>
  </si>
  <si>
    <t>18a</t>
  </si>
  <si>
    <t>457.1 Total</t>
  </si>
  <si>
    <t>FF-1 Total for Account 457.1 - Regional Control Service Revenues, p300.23b (Must Equal Line 19)</t>
  </si>
  <si>
    <t>21a</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</si>
  <si>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</si>
  <si>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</si>
  <si>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</si>
  <si>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</si>
  <si>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</si>
  <si>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</si>
  <si>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</si>
  <si>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</si>
  <si>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</si>
  <si>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</si>
  <si>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</si>
  <si>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</si>
  <si>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</si>
  <si>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</si>
  <si>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</si>
  <si>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</si>
  <si>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</si>
  <si>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</si>
  <si>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</si>
  <si>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</si>
  <si>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</si>
  <si>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</si>
  <si>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</si>
  <si>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</si>
  <si>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</si>
  <si>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</si>
  <si>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</si>
  <si>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</si>
  <si>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</si>
  <si>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</si>
  <si>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</si>
  <si>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</si>
  <si>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</si>
  <si>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</si>
  <si>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</si>
  <si>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</si>
  <si>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</si>
  <si>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417 ECS Total</t>
  </si>
  <si>
    <t>417 Other</t>
  </si>
  <si>
    <t>FF-1 Total for Account 417 - Revenues From Nonutility Operations  p117.33c (Must Equal Line 25 + 26)</t>
  </si>
  <si>
    <t>Subsidiaries</t>
  </si>
  <si>
    <t>28a</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</si>
  <si>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</si>
  <si>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</si>
  <si>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</si>
  <si>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</si>
  <si>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</si>
  <si>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</si>
  <si>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</si>
  <si>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</si>
  <si>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</si>
  <si>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</si>
  <si>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</si>
  <si>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</si>
  <si>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</si>
  <si>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</si>
  <si>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</si>
  <si>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</si>
  <si>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</si>
  <si>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</si>
  <si>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</si>
  <si>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</si>
  <si>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</si>
  <si>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</si>
  <si>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</si>
  <si>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</si>
  <si>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</si>
  <si>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</si>
  <si>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</si>
  <si>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</si>
  <si>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</si>
  <si>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</si>
  <si>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</si>
  <si>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</si>
  <si>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</si>
  <si>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</si>
  <si>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</si>
  <si>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</si>
  <si>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</si>
  <si>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</si>
  <si>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</si>
  <si>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</si>
  <si>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</si>
  <si>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</si>
  <si>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</si>
  <si>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</si>
  <si>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</si>
  <si>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</si>
  <si>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</si>
  <si>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</si>
  <si>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</si>
  <si>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CPUC D. 19-05-020</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</si>
  <si>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</si>
  <si>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</si>
  <si>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</si>
  <si>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</si>
  <si>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</si>
  <si>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</si>
  <si>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</si>
  <si>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</si>
  <si>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</si>
  <si>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</si>
  <si>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</si>
  <si>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</si>
  <si>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</si>
  <si>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</si>
  <si>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</si>
  <si>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</si>
  <si>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</si>
  <si>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</si>
  <si>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</si>
  <si>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</si>
  <si>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</si>
  <si>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</si>
  <si>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</si>
  <si>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NETWORK UPGRADE CREDIT AND INTEREST EXPENSE</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</si>
  <si>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</si>
  <si>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</si>
  <si>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</si>
  <si>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</si>
  <si>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</si>
  <si>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</si>
  <si>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</si>
  <si>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</si>
  <si>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</si>
  <si>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</si>
  <si>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</si>
  <si>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</si>
  <si>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</si>
  <si>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</si>
  <si>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</si>
  <si>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</si>
  <si>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</si>
  <si>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</si>
  <si>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</si>
  <si>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</si>
  <si>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</si>
  <si>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</si>
  <si>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</si>
  <si>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</si>
  <si>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</si>
  <si>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</si>
  <si>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</si>
  <si>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</si>
  <si>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</si>
  <si>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</si>
  <si>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</si>
  <si>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</si>
  <si>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</si>
  <si>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</si>
  <si>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</si>
  <si>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</si>
  <si>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</si>
  <si>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</si>
  <si>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</si>
  <si>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</si>
  <si>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</si>
  <si>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</si>
  <si>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</si>
  <si>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</si>
  <si>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</si>
  <si>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</si>
  <si>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</si>
  <si>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</si>
  <si>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</si>
  <si>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</si>
  <si>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</si>
  <si>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</si>
  <si>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</si>
  <si>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</si>
  <si>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</si>
  <si>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</si>
  <si>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</si>
  <si>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</si>
  <si>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</si>
  <si>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</si>
  <si>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</si>
  <si>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</si>
  <si>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</si>
  <si>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</si>
  <si>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</si>
  <si>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</si>
  <si>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</si>
  <si>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</si>
  <si>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</si>
  <si>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</si>
  <si>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</si>
  <si>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</si>
  <si>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</si>
  <si>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</si>
  <si>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</si>
  <si>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</si>
  <si>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</si>
  <si>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</si>
  <si>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</si>
  <si>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</si>
  <si>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</si>
  <si>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</si>
  <si>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</si>
  <si>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</si>
  <si>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</si>
  <si>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</si>
  <si>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</si>
  <si>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</si>
  <si>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</si>
  <si>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</si>
  <si>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</si>
  <si>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ELM Series Caps</t>
  </si>
  <si>
    <t>2) Contribution to the True Up TRR</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</si>
  <si>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</si>
  <si>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</si>
  <si>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</si>
  <si>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</si>
  <si>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</si>
  <si>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</si>
  <si>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</si>
  <si>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</si>
  <si>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</si>
  <si>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</si>
  <si>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</si>
  <si>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</si>
  <si>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</si>
  <si>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</si>
  <si>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</si>
  <si>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</si>
  <si>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</si>
  <si>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</si>
  <si>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Note 5</t>
  </si>
  <si>
    <t>c) Individual CWIP Project Contribution to the Wholesale Base TRR</t>
  </si>
  <si>
    <t>FF</t>
  </si>
  <si>
    <t>6) Same as Note 5 except no Uncollectibles Expense in Column 3.</t>
  </si>
  <si>
    <t>Calculation of Wholesale Difference to the Base TRR</t>
  </si>
  <si>
    <t xml:space="preserve">The Wholesale Difference to the Base TRR represents the amount by which the Wholesale Base TRR differs as </t>
  </si>
  <si>
    <t>compared to the Retail Base TRR.  This difference is attributable to differences in the following six items,</t>
  </si>
  <si>
    <r>
      <t xml:space="preserve">as approved by Commission Order 86 FERC </t>
    </r>
    <r>
      <rPr>
        <sz val="10"/>
        <color theme="1"/>
        <rFont val="Calibri"/>
        <family val="2"/>
      </rPr>
      <t>¶</t>
    </r>
    <r>
      <rPr>
        <sz val="10"/>
        <color theme="1"/>
        <rFont val="Arial"/>
        <family val="2"/>
      </rPr>
      <t xml:space="preserve"> 63,014 in Docket No. ER97-2355.</t>
    </r>
  </si>
  <si>
    <t>These six items may affect the Base TRR by affecting Rate Base, or affecting an annual expense (amortization).</t>
  </si>
  <si>
    <t>If the annual amortization affects Income Taxes, there is an additional annual Income Tax Effect.  The table</t>
  </si>
  <si>
    <t>summarizes these impacts for each item:</t>
  </si>
  <si>
    <t xml:space="preserve">Expense </t>
  </si>
  <si>
    <t>(Amortization)</t>
  </si>
  <si>
    <t>Difference</t>
  </si>
  <si>
    <t>Tax Impact</t>
  </si>
  <si>
    <t>a) Depreciation</t>
  </si>
  <si>
    <t>b) Taxes Deferred -Make Up Adjustment (South Georgia)</t>
  </si>
  <si>
    <t>c) Excess Deferred Taxes</t>
  </si>
  <si>
    <t>d) Taxes Deferred - Acct. 282 ACRS/MACRS</t>
  </si>
  <si>
    <t>e) Uncollectibles Expense</t>
  </si>
  <si>
    <t>f) EPRI and EEI Dues</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</si>
  <si>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</si>
  <si>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</si>
  <si>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t>
  </si>
  <si>
    <t>with the Initial Prior Year 2010 Rate Base differences and annual changes as follows:</t>
  </si>
  <si>
    <t>2010 Rate Base</t>
  </si>
  <si>
    <t>(Wholesale</t>
  </si>
  <si>
    <t>Change</t>
  </si>
  <si>
    <t>less Retail)</t>
  </si>
  <si>
    <t>1) Accumulated Depreciation</t>
  </si>
  <si>
    <t>Fixed values</t>
  </si>
  <si>
    <t>2) Taxes Deferred - Make Up Adjustment</t>
  </si>
  <si>
    <t>3) Excess Deferred Taxes</t>
  </si>
  <si>
    <t>4) Taxes Deferred - Acct. 282 ACRS/MACRS</t>
  </si>
  <si>
    <t>b) Quantification of the Wholesale Rate Base Adjustment</t>
  </si>
  <si>
    <t>The Wholesale Rate Base Adjustment represents the impact on the Wholesale Base TRR relative to the Retail Base TRR of</t>
  </si>
  <si>
    <t>the Wholesale Rate Base Difference for the Prior Year.</t>
  </si>
  <si>
    <t>Notes/Instructions</t>
  </si>
  <si>
    <t>Fixed Charge Rate</t>
  </si>
  <si>
    <t>Wholesale Rate Base Difference for Prior Year</t>
  </si>
  <si>
    <t>Wholesale Rate Base Adjustment</t>
  </si>
  <si>
    <t>2) Calculation of Wholesale Expense Difference</t>
  </si>
  <si>
    <t>It represents the effect on expenses (Wholesale less Retail) of amortizing the associated balances each year.</t>
  </si>
  <si>
    <t>If an annual amortization amount affects Income Taxes, the expense difference must be grossed up for income taxes.</t>
  </si>
  <si>
    <t>a) Calculation of the Wholesale South Georgia Income Tax Adjustment to the TRR</t>
  </si>
  <si>
    <t>South Georgia Amortization</t>
  </si>
  <si>
    <t>Composite Tax Rate ("CTR")</t>
  </si>
  <si>
    <t>Tax Gross Up Factor</t>
  </si>
  <si>
    <t>(1/(1-CTR))</t>
  </si>
  <si>
    <t>Wholesale South Georgia</t>
  </si>
  <si>
    <t>Income Tax Adjustment to the TRR:</t>
  </si>
  <si>
    <t>b) Calculation of "Excess Deferred Taxes" Grossed Up for Income Taxes</t>
  </si>
  <si>
    <t>Annual Amort. of "Excess Deferred Taxes":</t>
  </si>
  <si>
    <t>Excess Deferred Taxes Grossed Up for Income Taxes:</t>
  </si>
  <si>
    <t>c) Calculation of EPRI and EEI Dues Exclusion</t>
  </si>
  <si>
    <t>EPRI Dues</t>
  </si>
  <si>
    <t>EEI Dues</t>
  </si>
  <si>
    <t>Sum of EPRI and EEI Dues</t>
  </si>
  <si>
    <t>EPRI and EEI Dues Exclusion</t>
  </si>
  <si>
    <t>d) Total Expense Difference</t>
  </si>
  <si>
    <t>1) Wholesale Depreciation Difference</t>
  </si>
  <si>
    <t>5) EPRI and EEI Dues Exclusion</t>
  </si>
  <si>
    <t>6) Additional Expense Difference</t>
  </si>
  <si>
    <t>Total Expense Difference:</t>
  </si>
  <si>
    <t>3) Calculation of the Wholesale Difference to the Base TRR</t>
  </si>
  <si>
    <t>Expense Difference</t>
  </si>
  <si>
    <t>Uncollectibles Expense -- Prior Year TRR</t>
  </si>
  <si>
    <t>Uncollectibles Expense -- IFPTRR</t>
  </si>
  <si>
    <t>Subtotal:</t>
  </si>
  <si>
    <t>Franchise Fee Exclusion</t>
  </si>
  <si>
    <t>Wholesale Difference to the Base TRR:</t>
  </si>
  <si>
    <t>Notes/Instructions:</t>
  </si>
  <si>
    <t>1) Fixed Charge Rate of capital and income tax costs associated with $1 of Rate Base</t>
  </si>
  <si>
    <t>is defined elsewhere in this formula as "AFCRCWIP".</t>
  </si>
  <si>
    <t>5) Only exclude if not already excluded in Schedule 20.</t>
  </si>
  <si>
    <t>6) If appropriate, additional expenses may be excluded from the Wholesale Base TRR</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</si>
  <si>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</si>
  <si>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</si>
  <si>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</si>
  <si>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</si>
  <si>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</si>
  <si>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</si>
  <si>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</si>
  <si>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</si>
  <si>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</si>
  <si>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</si>
  <si>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</si>
  <si>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</si>
  <si>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Internal Revenue Code § 11.b</t>
  </si>
  <si>
    <t>2) California State Source Statue:</t>
  </si>
  <si>
    <t>California Rev. &amp; Tax. Cd. § 23151</t>
  </si>
  <si>
    <t>3) Capitalization Rate approved in:</t>
  </si>
  <si>
    <t>CPUC D. 15-11-021</t>
  </si>
  <si>
    <t>For the following Prior Years:</t>
  </si>
  <si>
    <t>2015-2018</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</si>
  <si>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</si>
  <si>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</si>
  <si>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</si>
  <si>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</si>
  <si>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</si>
  <si>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</si>
  <si>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</si>
  <si>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</si>
  <si>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</si>
  <si>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</si>
  <si>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</si>
  <si>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</si>
  <si>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</si>
  <si>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</si>
  <si>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</si>
  <si>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</si>
  <si>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</si>
  <si>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</si>
  <si>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</si>
  <si>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</si>
  <si>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</si>
  <si>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</si>
  <si>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Transmission Plant - ISO</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</si>
  <si>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</si>
  <si>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</si>
  <si>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</si>
  <si>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</si>
  <si>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</si>
  <si>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</si>
  <si>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</si>
  <si>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</si>
  <si>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</si>
  <si>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</si>
  <si>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</si>
  <si>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</si>
  <si>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</si>
  <si>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</si>
  <si>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</si>
  <si>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</si>
  <si>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</si>
  <si>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</si>
  <si>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</si>
  <si>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</si>
  <si>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</si>
  <si>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</si>
  <si>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</si>
  <si>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</si>
  <si>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</si>
  <si>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</si>
  <si>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</si>
  <si>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</si>
  <si>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</si>
  <si>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</si>
  <si>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</si>
  <si>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</si>
  <si>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</si>
  <si>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</si>
  <si>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</si>
  <si>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1) Approved Franchise Fee Factor(s)</t>
  </si>
  <si>
    <t xml:space="preserve">Days in </t>
  </si>
  <si>
    <t>FF Factor</t>
  </si>
  <si>
    <t>Present</t>
  </si>
  <si>
    <t>Schedule 28 - Workpaper Line 3</t>
  </si>
  <si>
    <t>2) Approved Uncollectibles Expense Factor(s)</t>
  </si>
  <si>
    <t>U Factor</t>
  </si>
  <si>
    <t>Schedule 28 - Workpaper Line 4</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</si>
  <si>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</si>
  <si>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</si>
  <si>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</si>
  <si>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</si>
  <si>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</si>
  <si>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</si>
  <si>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</si>
  <si>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</si>
  <si>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</si>
  <si>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</si>
  <si>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</si>
  <si>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</si>
  <si>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</si>
  <si>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</si>
  <si>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</si>
  <si>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</si>
  <si>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</si>
  <si>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</si>
  <si>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</si>
  <si>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</si>
  <si>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</si>
  <si>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</si>
  <si>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ER 19-220</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</si>
  <si>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</si>
  <si>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</si>
  <si>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</si>
  <si>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</si>
  <si>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</si>
  <si>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</si>
  <si>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</si>
  <si>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</si>
  <si>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</si>
  <si>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</si>
  <si>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</si>
  <si>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</si>
  <si>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</si>
  <si>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</si>
  <si>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</si>
  <si>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</si>
  <si>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</si>
  <si>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</si>
  <si>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</si>
  <si>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</si>
  <si>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</si>
  <si>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</si>
  <si>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Line 17, column 3</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</si>
  <si>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</si>
  <si>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</si>
  <si>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</si>
  <si>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</si>
  <si>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</si>
  <si>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</si>
  <si>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</si>
  <si>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</si>
  <si>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</si>
  <si>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</si>
  <si>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</si>
  <si>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</si>
  <si>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</si>
  <si>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</si>
  <si>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</si>
  <si>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</si>
  <si>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</si>
  <si>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</si>
  <si>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</si>
  <si>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</si>
  <si>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</si>
  <si>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</si>
  <si>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</si>
  <si>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</si>
  <si>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</si>
  <si>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</si>
  <si>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</si>
  <si>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</si>
  <si>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</si>
  <si>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</si>
  <si>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</si>
  <si>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</si>
  <si>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</si>
  <si>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</si>
  <si>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</si>
  <si>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</si>
  <si>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</si>
  <si>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</si>
  <si>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</si>
  <si>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</si>
  <si>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</si>
  <si>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</si>
  <si>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</si>
  <si>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</si>
  <si>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</si>
  <si>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</si>
  <si>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</si>
  <si>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</si>
  <si>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</si>
  <si>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</si>
  <si>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</si>
  <si>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</si>
  <si>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</si>
  <si>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</si>
  <si>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</si>
  <si>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</si>
  <si>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</si>
  <si>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</si>
  <si>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</si>
  <si>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</si>
  <si>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</si>
  <si>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</si>
  <si>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</si>
  <si>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</si>
  <si>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</si>
  <si>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</si>
  <si>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</si>
  <si>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</si>
  <si>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</si>
  <si>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</si>
  <si>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</si>
  <si>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</si>
  <si>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</si>
  <si>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</si>
  <si>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</si>
  <si>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</si>
  <si>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</si>
  <si>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</si>
  <si>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</si>
  <si>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Note 7</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</si>
  <si>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</si>
  <si>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</si>
  <si>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</si>
  <si>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</si>
  <si>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</si>
  <si>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</si>
  <si>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</si>
  <si>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</si>
  <si>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</si>
  <si>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</si>
  <si>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</si>
  <si>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</si>
  <si>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</si>
  <si>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</si>
  <si>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</si>
  <si>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</si>
  <si>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</si>
  <si>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</si>
  <si>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</si>
  <si>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</si>
  <si>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</si>
  <si>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</si>
  <si>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</si>
  <si>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</si>
  <si>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t>Domestic</t>
  </si>
  <si>
    <t>TOU-GS-1</t>
  </si>
  <si>
    <r>
      <t>1b</t>
    </r>
    <r>
      <rPr>
        <b/>
        <vertAlign val="subscript"/>
        <sz val="10"/>
        <rFont val="Arial"/>
        <family val="2"/>
      </rPr>
      <t>2</t>
    </r>
  </si>
  <si>
    <t xml:space="preserve">  TOU-GS-1 continued</t>
  </si>
  <si>
    <t>Notes 9,10</t>
  </si>
  <si>
    <t>1c</t>
  </si>
  <si>
    <t>TC-1</t>
  </si>
  <si>
    <t>1d</t>
  </si>
  <si>
    <t>TOU-GS-2</t>
  </si>
  <si>
    <t>1e</t>
  </si>
  <si>
    <t>TOU-GS-3</t>
  </si>
  <si>
    <t>1f</t>
  </si>
  <si>
    <t>TOU-8-SEC</t>
  </si>
  <si>
    <t>1g</t>
  </si>
  <si>
    <t>TOU-8-PRI</t>
  </si>
  <si>
    <t>1h</t>
  </si>
  <si>
    <t>TOU-8-SUB</t>
  </si>
  <si>
    <t>1i</t>
  </si>
  <si>
    <t>TOU-8-Standby-SEC</t>
  </si>
  <si>
    <t>1j</t>
  </si>
  <si>
    <t>TOU-8-Standby-PRI</t>
  </si>
  <si>
    <t>1k</t>
  </si>
  <si>
    <t>TOU-8-Standby-SUB</t>
  </si>
  <si>
    <t>1l</t>
  </si>
  <si>
    <t>TOU-PA-2</t>
  </si>
  <si>
    <t>1m</t>
  </si>
  <si>
    <t>TOU-PA-3</t>
  </si>
  <si>
    <t>1n</t>
  </si>
  <si>
    <t>Street Lighting</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</si>
  <si>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</si>
  <si>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</si>
  <si>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</si>
  <si>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</si>
  <si>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</si>
  <si>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</si>
  <si>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</si>
  <si>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</si>
  <si>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</si>
  <si>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</si>
  <si>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</si>
  <si>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</si>
  <si>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</si>
  <si>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</si>
  <si>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</si>
  <si>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</si>
  <si>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</si>
  <si>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</si>
  <si>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</si>
  <si>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</si>
  <si>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</si>
  <si>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</si>
  <si>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</si>
  <si>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</si>
  <si>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</si>
  <si>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</si>
  <si>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</si>
  <si>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</si>
  <si>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</si>
  <si>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</si>
  <si>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</si>
  <si>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</si>
  <si>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</si>
  <si>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</si>
  <si>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</si>
  <si>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</si>
  <si>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</si>
  <si>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</si>
  <si>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</si>
  <si>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</si>
  <si>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</si>
  <si>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</si>
  <si>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</si>
  <si>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</si>
  <si>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</si>
  <si>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</si>
  <si>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</si>
  <si>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</si>
  <si>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</si>
  <si>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</si>
  <si>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</si>
  <si>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</si>
  <si>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</si>
  <si>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</si>
  <si>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</si>
  <si>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</si>
  <si>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</si>
  <si>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</si>
  <si>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</si>
  <si>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</si>
  <si>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</si>
  <si>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</si>
  <si>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</si>
  <si>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</si>
  <si>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</si>
  <si>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</si>
  <si>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</si>
  <si>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</si>
  <si>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</si>
  <si>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</si>
  <si>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</si>
  <si>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</si>
  <si>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</si>
  <si>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</si>
  <si>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</si>
  <si>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</si>
  <si>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</si>
  <si>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</si>
  <si>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</si>
  <si>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Includes Schedules D, D-CARE, D-FERA,TOU-D-T, TOU-EV-1, TOU-D-TEV, DE, D-SDP, D-SDP-O, DM, DMS-1, DMS-2, DMS-3, and DS.</t>
  </si>
  <si>
    <t>Domestic (con't)</t>
  </si>
  <si>
    <t xml:space="preserve">  D (Option CPP), D-CARE (Option CPP), TOU-D-Option A, TOU-D-Option B, TOU-D-3, TOU-D-T-CPP, TOU-D (Options 4-9 PM, 5-8 PM, PRIME, and CPP)</t>
  </si>
  <si>
    <t>26b</t>
  </si>
  <si>
    <t>Includes Schedules GS-1, TOU-EV-3, TOU-EV-7 (Options D and E), and TOU-GS-1 (Options E, ES, D, LG, C, A, B, RTP, CPP, Standby, GS-APS, GS-APS-E, and ME).</t>
  </si>
  <si>
    <t>26c</t>
  </si>
  <si>
    <t>Includes Schedules TC-1, Wi-Fi-1, and WTR.</t>
  </si>
  <si>
    <t>26d</t>
  </si>
  <si>
    <t xml:space="preserve">Includes Schedules GS-2, TOU-EV-4, TOU-EV-8, and TOU-GS-2 (Options D, E, A, B, R, RTP, CPP, Standby, GS-APS, GS-APS-E, and ME). </t>
  </si>
  <si>
    <t>26e</t>
  </si>
  <si>
    <t>Includes Schedules TOU-GS-3-CPP, TOU-EV-8, and TOU-GS-3 (Options D, E, A, B, R, RTP, SOP, Standby, TOU-BIP, GS-APS, GS-APS-E, and ME).</t>
  </si>
  <si>
    <t>26f</t>
  </si>
  <si>
    <t>Includes Schedules TOU-8-CPP, TOU-8-RBU, TOU-EV-9, and TOU-8 (Options D, E, A, B, R, RTP, TOU-BIP, GS-APS, GS-APS-E, Backup-B, and ME).</t>
  </si>
  <si>
    <t>26g</t>
  </si>
  <si>
    <t>26h</t>
  </si>
  <si>
    <t>26i</t>
  </si>
  <si>
    <t>Includes Schedules TOU-8-Standby (Options D, LG, A, B, RTP, TOU-BIP, GS-APS, GS-APS-E, and ME).</t>
  </si>
  <si>
    <t>26j</t>
  </si>
  <si>
    <t>Includes Schedules TOU-8-Standby (Options D, LG, A, A2, B, RTP, TOU-BIP, GS-APS, GS-APS-E, and ME).</t>
  </si>
  <si>
    <t>26k</t>
  </si>
  <si>
    <t>26l</t>
  </si>
  <si>
    <t>Includes Schedules  PA-1, PA-2, TOU-PA-ICE, and TOU-PA-2 (Options D, E, 4-9 PM, 5-8 PM, A, B, RTP, SOP-1, SOP-2, CPP, Standby, and AP-I).</t>
  </si>
  <si>
    <t>26m</t>
  </si>
  <si>
    <t>Includes Schedules  TOU-PA-3-CPP, and TOU-PA-3 (Options D, E, 4-9 PM, 5-8 PM, A, B, RTP, SOP-1, SOP-2, Standby, and AP-I).</t>
  </si>
  <si>
    <t>26n</t>
  </si>
  <si>
    <t>Includes Schedules AL-2, AL-2-B, AL-2-F, DWL, LS-1, LS-2, LS-3, LS-3-B, and OL-1.</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</si>
  <si>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</si>
  <si>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</si>
  <si>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</si>
  <si>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</si>
  <si>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</si>
  <si>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</si>
  <si>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</si>
  <si>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</si>
  <si>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</si>
  <si>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</si>
  <si>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</si>
  <si>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</si>
  <si>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</si>
  <si>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</si>
  <si>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</si>
  <si>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</si>
  <si>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</si>
  <si>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35a</t>
  </si>
  <si>
    <t>35b</t>
  </si>
  <si>
    <t>35c</t>
  </si>
  <si>
    <t>35d</t>
  </si>
  <si>
    <t>35e</t>
  </si>
  <si>
    <t>35f</t>
  </si>
  <si>
    <t>35g</t>
  </si>
  <si>
    <t>35h</t>
  </si>
  <si>
    <t>35i</t>
  </si>
  <si>
    <t>35j</t>
  </si>
  <si>
    <t>35k</t>
  </si>
  <si>
    <t>35l</t>
  </si>
  <si>
    <t>35m</t>
  </si>
  <si>
    <t>35n</t>
  </si>
  <si>
    <t>35o</t>
  </si>
  <si>
    <t>Determination of Unfunded Reserves</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</si>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</sst>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yy"/>
    <numFmt numFmtId="208" formatCode="0.0000000000000000%"/>
    <numFmt numFmtId="209" formatCode="mmm\ d\,\ yyyy"/>
    <numFmt numFmtId="210"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sz val="10"/>
      <color theme="0" tint="-0.34998626667073579"/>
      <name val="Arial"/>
      <family val="2"/>
    </font>
    <font>
      <sz val="10"/>
      <name val="Helv"/>
    </font>
    <font>
      <sz val="10"/>
      <color rgb="FF0070C0"/>
      <name val="Arial"/>
      <family val="2"/>
    </font>
    <font>
      <b/>
      <sz val="18"/>
      <name val="Arial"/>
      <family val="2"/>
    </font>
    <font>
      <b/>
      <sz val="22"/>
      <name val="Arial"/>
      <family val="2"/>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theme="0"/>
        <bgColor indexed="64"/>
      </patternFill>
    </fill>
  </fills>
  <borders count="64">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indexed="64"/>
      </top>
      <bottom style="medium">
        <color indexed="64"/>
      </bottom>
      <diagonal/>
    </border>
  </borders>
  <cellStyleXfs count="53894">
    <xf numFmtId="0" fontId="0" fillId="0" borderId="0"/>
    <xf numFmtId="0" fontId="36" fillId="8" borderId="0" applyNumberFormat="0" applyBorder="0" applyAlignment="0" applyProtection="0"/>
    <xf numFmtId="0" fontId="36" fillId="9" borderId="0" applyNumberFormat="0" applyBorder="0" applyAlignment="0" applyProtection="0"/>
    <xf numFmtId="0" fontId="37" fillId="10"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7" fillId="14"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36" fillId="20" borderId="0" applyNumberFormat="0" applyBorder="0" applyAlignment="0" applyProtection="0"/>
    <xf numFmtId="0" fontId="36" fillId="13" borderId="0" applyNumberFormat="0" applyBorder="0" applyAlignment="0" applyProtection="0"/>
    <xf numFmtId="0" fontId="37" fillId="21" borderId="0" applyNumberFormat="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6" fontId="23" fillId="0" borderId="0" applyFont="0" applyFill="0" applyBorder="0" applyAlignment="0" applyProtection="0"/>
    <xf numFmtId="44" fontId="20" fillId="0" borderId="0" applyFont="0" applyFill="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28"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8" fontId="29" fillId="0" borderId="0"/>
    <xf numFmtId="9" fontId="20" fillId="0" borderId="0" applyFont="0" applyFill="0" applyBorder="0" applyAlignment="0" applyProtection="0"/>
    <xf numFmtId="9" fontId="42" fillId="0" borderId="0" applyFont="0" applyFill="0" applyBorder="0" applyAlignment="0" applyProtection="0"/>
    <xf numFmtId="9" fontId="23" fillId="0" borderId="0" applyFont="0" applyFill="0" applyBorder="0" applyAlignment="0" applyProtection="0"/>
    <xf numFmtId="4" fontId="41" fillId="25" borderId="1" applyNumberFormat="0" applyProtection="0">
      <alignment vertical="center"/>
    </xf>
    <xf numFmtId="4" fontId="43" fillId="25" borderId="1" applyNumberFormat="0" applyProtection="0">
      <alignment vertical="center"/>
    </xf>
    <xf numFmtId="4" fontId="41" fillId="25" borderId="1" applyNumberFormat="0" applyProtection="0">
      <alignment horizontal="left" vertical="center" indent="1"/>
    </xf>
    <xf numFmtId="0" fontId="41" fillId="25" borderId="1" applyNumberFormat="0" applyProtection="0">
      <alignment horizontal="left" vertical="top" indent="1"/>
    </xf>
    <xf numFmtId="4" fontId="41" fillId="27" borderId="0" applyNumberFormat="0" applyProtection="0">
      <alignment horizontal="left" vertical="center" indent="1"/>
    </xf>
    <xf numFmtId="4" fontId="39" fillId="2" borderId="1" applyNumberFormat="0" applyProtection="0">
      <alignment horizontal="right" vertical="center"/>
    </xf>
    <xf numFmtId="4" fontId="39" fillId="4" borderId="1" applyNumberFormat="0" applyProtection="0">
      <alignment horizontal="right" vertical="center"/>
    </xf>
    <xf numFmtId="4" fontId="39" fillId="11" borderId="1" applyNumberFormat="0" applyProtection="0">
      <alignment horizontal="right" vertical="center"/>
    </xf>
    <xf numFmtId="4" fontId="39" fillId="6" borderId="1" applyNumberFormat="0" applyProtection="0">
      <alignment horizontal="right" vertical="center"/>
    </xf>
    <xf numFmtId="4" fontId="39" fillId="7" borderId="1" applyNumberFormat="0" applyProtection="0">
      <alignment horizontal="right" vertical="center"/>
    </xf>
    <xf numFmtId="4" fontId="39" fillId="19" borderId="1" applyNumberFormat="0" applyProtection="0">
      <alignment horizontal="right" vertical="center"/>
    </xf>
    <xf numFmtId="4" fontId="39" fillId="15" borderId="1" applyNumberFormat="0" applyProtection="0">
      <alignment horizontal="right" vertical="center"/>
    </xf>
    <xf numFmtId="4" fontId="39" fillId="28" borderId="1" applyNumberFormat="0" applyProtection="0">
      <alignment horizontal="right" vertical="center"/>
    </xf>
    <xf numFmtId="4" fontId="39" fillId="5" borderId="1" applyNumberFormat="0" applyProtection="0">
      <alignment horizontal="right" vertical="center"/>
    </xf>
    <xf numFmtId="4" fontId="41" fillId="29" borderId="2" applyNumberFormat="0" applyProtection="0">
      <alignment horizontal="left" vertical="center" indent="1"/>
    </xf>
    <xf numFmtId="4" fontId="39" fillId="30" borderId="0" applyNumberFormat="0" applyProtection="0">
      <alignment horizontal="left" vertical="center" indent="1"/>
    </xf>
    <xf numFmtId="4" fontId="44" fillId="31" borderId="0" applyNumberFormat="0" applyProtection="0">
      <alignment horizontal="left" vertical="center" indent="1"/>
    </xf>
    <xf numFmtId="4" fontId="39" fillId="27" borderId="1" applyNumberFormat="0" applyProtection="0">
      <alignment horizontal="right" vertical="center"/>
    </xf>
    <xf numFmtId="4" fontId="39" fillId="30" borderId="0" applyNumberFormat="0" applyProtection="0">
      <alignment horizontal="left" vertical="center" indent="1"/>
    </xf>
    <xf numFmtId="4" fontId="39" fillId="27" borderId="0" applyNumberFormat="0" applyProtection="0">
      <alignment horizontal="left" vertical="center" indent="1"/>
    </xf>
    <xf numFmtId="0" fontId="23" fillId="31" borderId="1" applyNumberFormat="0" applyProtection="0">
      <alignment horizontal="left" vertical="center" indent="1"/>
    </xf>
    <xf numFmtId="0" fontId="23" fillId="31" borderId="1" applyNumberFormat="0" applyProtection="0">
      <alignment horizontal="left" vertical="top" indent="1"/>
    </xf>
    <xf numFmtId="0" fontId="23" fillId="27" borderId="1" applyNumberFormat="0" applyProtection="0">
      <alignment horizontal="left" vertical="center" indent="1"/>
    </xf>
    <xf numFmtId="0" fontId="23" fillId="27" borderId="1" applyNumberFormat="0" applyProtection="0">
      <alignment horizontal="left" vertical="top" indent="1"/>
    </xf>
    <xf numFmtId="0" fontId="23" fillId="3" borderId="1" applyNumberFormat="0" applyProtection="0">
      <alignment horizontal="left" vertical="center" indent="1"/>
    </xf>
    <xf numFmtId="0" fontId="23" fillId="3" borderId="1" applyNumberFormat="0" applyProtection="0">
      <alignment horizontal="left" vertical="top" indent="1"/>
    </xf>
    <xf numFmtId="0" fontId="23" fillId="30" borderId="1" applyNumberFormat="0" applyProtection="0">
      <alignment horizontal="left" vertical="center" indent="1"/>
    </xf>
    <xf numFmtId="0" fontId="23" fillId="30" borderId="1" applyNumberFormat="0" applyProtection="0">
      <alignment horizontal="left" vertical="top" indent="1"/>
    </xf>
    <xf numFmtId="0" fontId="23" fillId="32" borderId="3" applyNumberFormat="0">
      <protection locked="0"/>
    </xf>
    <xf numFmtId="4" fontId="39" fillId="26" borderId="1" applyNumberFormat="0" applyProtection="0">
      <alignment vertical="center"/>
    </xf>
    <xf numFmtId="4" fontId="45" fillId="26" borderId="1" applyNumberFormat="0" applyProtection="0">
      <alignment vertical="center"/>
    </xf>
    <xf numFmtId="4" fontId="39" fillId="26" borderId="1" applyNumberFormat="0" applyProtection="0">
      <alignment horizontal="left" vertical="center" indent="1"/>
    </xf>
    <xf numFmtId="0" fontId="39" fillId="26" borderId="1" applyNumberFormat="0" applyProtection="0">
      <alignment horizontal="left" vertical="top" indent="1"/>
    </xf>
    <xf numFmtId="4" fontId="39" fillId="30" borderId="1" applyNumberFormat="0" applyProtection="0">
      <alignment horizontal="right" vertical="center"/>
    </xf>
    <xf numFmtId="4" fontId="45" fillId="30" borderId="1" applyNumberFormat="0" applyProtection="0">
      <alignment horizontal="right" vertical="center"/>
    </xf>
    <xf numFmtId="4" fontId="39" fillId="27" borderId="1" applyNumberFormat="0" applyProtection="0">
      <alignment horizontal="left" vertical="center" indent="1"/>
    </xf>
    <xf numFmtId="0" fontId="39" fillId="27" borderId="1" applyNumberFormat="0" applyProtection="0">
      <alignment horizontal="left" vertical="top" indent="1"/>
    </xf>
    <xf numFmtId="4" fontId="46" fillId="33" borderId="0" applyNumberFormat="0" applyProtection="0">
      <alignment horizontal="left" vertical="center" indent="1"/>
    </xf>
    <xf numFmtId="4" fontId="40" fillId="30" borderId="1" applyNumberFormat="0" applyProtection="0">
      <alignment horizontal="right" vertical="center"/>
    </xf>
    <xf numFmtId="0" fontId="47" fillId="0" borderId="0" applyNumberFormat="0" applyFill="0" applyBorder="0" applyAlignment="0" applyProtection="0"/>
    <xf numFmtId="0" fontId="20" fillId="0" borderId="0"/>
    <xf numFmtId="0" fontId="19" fillId="0" borderId="0"/>
    <xf numFmtId="0" fontId="19" fillId="0" borderId="0"/>
    <xf numFmtId="176" fontId="20" fillId="0" borderId="0" applyFont="0" applyFill="0" applyBorder="0" applyAlignment="0" applyProtection="0"/>
    <xf numFmtId="0" fontId="20" fillId="31" borderId="1" applyNumberFormat="0" applyProtection="0">
      <alignment horizontal="left" vertical="center" indent="1"/>
    </xf>
    <xf numFmtId="0" fontId="20" fillId="31" borderId="1" applyNumberFormat="0" applyProtection="0">
      <alignment horizontal="left" vertical="top" indent="1"/>
    </xf>
    <xf numFmtId="0" fontId="20" fillId="27" borderId="1" applyNumberFormat="0" applyProtection="0">
      <alignment horizontal="left" vertical="center" indent="1"/>
    </xf>
    <xf numFmtId="0" fontId="20" fillId="27" borderId="1" applyNumberFormat="0" applyProtection="0">
      <alignment horizontal="left" vertical="top" indent="1"/>
    </xf>
    <xf numFmtId="0" fontId="20" fillId="3" borderId="1" applyNumberFormat="0" applyProtection="0">
      <alignment horizontal="left" vertical="center" indent="1"/>
    </xf>
    <xf numFmtId="0" fontId="20" fillId="3" borderId="1" applyNumberFormat="0" applyProtection="0">
      <alignment horizontal="left" vertical="top" indent="1"/>
    </xf>
    <xf numFmtId="0" fontId="20" fillId="30" borderId="1" applyNumberFormat="0" applyProtection="0">
      <alignment horizontal="left" vertical="center" indent="1"/>
    </xf>
    <xf numFmtId="0" fontId="20" fillId="30" borderId="1" applyNumberFormat="0" applyProtection="0">
      <alignment horizontal="left" vertical="top" indent="1"/>
    </xf>
    <xf numFmtId="0" fontId="20" fillId="32" borderId="3" applyNumberFormat="0">
      <protection locked="0"/>
    </xf>
    <xf numFmtId="0" fontId="6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42" fillId="0" borderId="0"/>
    <xf numFmtId="0" fontId="42" fillId="0" borderId="0"/>
    <xf numFmtId="0" fontId="42" fillId="0" borderId="0"/>
    <xf numFmtId="0" fontId="42" fillId="0" borderId="0"/>
    <xf numFmtId="0" fontId="42" fillId="0" borderId="0"/>
    <xf numFmtId="43" fontId="52" fillId="0" borderId="0" applyFont="0" applyFill="0" applyBorder="0" applyAlignment="0" applyProtection="0"/>
    <xf numFmtId="9" fontId="20" fillId="0" borderId="0" applyFont="0" applyFill="0" applyBorder="0" applyAlignment="0" applyProtection="0"/>
    <xf numFmtId="0" fontId="20" fillId="0" borderId="0"/>
    <xf numFmtId="0" fontId="13" fillId="0" borderId="0"/>
    <xf numFmtId="0" fontId="13" fillId="0" borderId="0"/>
    <xf numFmtId="0" fontId="13"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2" fillId="0" borderId="0"/>
    <xf numFmtId="0" fontId="73" fillId="0" borderId="0"/>
    <xf numFmtId="0" fontId="20" fillId="0" borderId="0"/>
    <xf numFmtId="0" fontId="20" fillId="0" borderId="0"/>
    <xf numFmtId="0" fontId="8"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2" fontId="4" fillId="0" borderId="0"/>
    <xf numFmtId="43" fontId="36" fillId="0" borderId="0" applyFont="0" applyFill="0" applyBorder="0" applyAlignment="0" applyProtection="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20" fillId="0" borderId="0" applyNumberFormat="0" applyFill="0" applyBorder="0" applyAlignment="0" applyProtection="0"/>
    <xf numFmtId="183" fontId="20" fillId="0" borderId="0" applyNumberFormat="0" applyFill="0" applyBorder="0" applyAlignment="0" applyProtection="0"/>
    <xf numFmtId="184" fontId="20" fillId="0" borderId="0" applyNumberFormat="0" applyFill="0" applyBorder="0" applyAlignment="0" applyProtection="0"/>
    <xf numFmtId="184" fontId="20" fillId="0" borderId="0" applyNumberFormat="0" applyFill="0" applyBorder="0" applyAlignment="0" applyProtection="0"/>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93" fillId="0" borderId="27" applyBorder="0">
      <alignment horizontal="left"/>
    </xf>
    <xf numFmtId="184" fontId="93" fillId="0" borderId="27" applyBorder="0">
      <alignment horizontal="left"/>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0" fontId="36" fillId="70" borderId="0" applyNumberFormat="0" applyBorder="0" applyAlignment="0" applyProtection="0"/>
    <xf numFmtId="187" fontId="39" fillId="27" borderId="0" applyNumberFormat="0" applyBorder="0" applyAlignment="0" applyProtection="0"/>
    <xf numFmtId="184" fontId="39" fillId="27" borderId="0" applyNumberFormat="0" applyBorder="0" applyAlignment="0" applyProtection="0"/>
    <xf numFmtId="184" fontId="36" fillId="70" borderId="0" applyNumberFormat="0" applyBorder="0" applyAlignment="0" applyProtection="0"/>
    <xf numFmtId="0" fontId="36" fillId="70" borderId="0" applyNumberFormat="0" applyBorder="0" applyAlignment="0" applyProtection="0"/>
    <xf numFmtId="0"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3" fontId="36" fillId="70" borderId="0" applyNumberFormat="0" applyBorder="0" applyAlignment="0" applyProtection="0"/>
    <xf numFmtId="183"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185" fontId="36" fillId="70" borderId="0" applyNumberFormat="0" applyBorder="0" applyAlignment="0" applyProtection="0"/>
    <xf numFmtId="183" fontId="36" fillId="70" borderId="0" applyNumberFormat="0" applyBorder="0" applyAlignment="0" applyProtection="0"/>
    <xf numFmtId="183"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185"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0"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0" fontId="39" fillId="27" borderId="0" applyNumberFormat="0" applyBorder="0" applyAlignment="0" applyProtection="0"/>
    <xf numFmtId="183" fontId="39" fillId="27" borderId="0" applyNumberFormat="0" applyBorder="0" applyAlignment="0" applyProtection="0"/>
    <xf numFmtId="183"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5" fontId="39" fillId="27" borderId="0" applyNumberFormat="0" applyBorder="0" applyAlignment="0" applyProtection="0"/>
    <xf numFmtId="183" fontId="39" fillId="27" borderId="0" applyNumberFormat="0" applyBorder="0" applyAlignment="0" applyProtection="0"/>
    <xf numFmtId="183"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5"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0"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5" fontId="39" fillId="27" borderId="0" applyNumberFormat="0" applyBorder="0" applyAlignment="0" applyProtection="0"/>
    <xf numFmtId="183" fontId="39" fillId="27" borderId="0" applyNumberFormat="0" applyBorder="0" applyAlignment="0" applyProtection="0"/>
    <xf numFmtId="183"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5"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0" fontId="39" fillId="27" borderId="0" applyNumberFormat="0" applyBorder="0" applyAlignment="0" applyProtection="0"/>
    <xf numFmtId="183" fontId="39" fillId="27" borderId="0" applyNumberFormat="0" applyBorder="0" applyAlignment="0" applyProtection="0"/>
    <xf numFmtId="183"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5" fontId="39" fillId="27" borderId="0" applyNumberFormat="0" applyBorder="0" applyAlignment="0" applyProtection="0"/>
    <xf numFmtId="183" fontId="39" fillId="27" borderId="0" applyNumberFormat="0" applyBorder="0" applyAlignment="0" applyProtection="0"/>
    <xf numFmtId="183"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5"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0"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3" fontId="39" fillId="27" borderId="0" applyNumberFormat="0" applyBorder="0" applyAlignment="0" applyProtection="0"/>
    <xf numFmtId="183"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3" fontId="36" fillId="70" borderId="0" applyNumberFormat="0" applyBorder="0" applyAlignment="0" applyProtection="0"/>
    <xf numFmtId="183"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185" fontId="36" fillId="70" borderId="0" applyNumberFormat="0" applyBorder="0" applyAlignment="0" applyProtection="0"/>
    <xf numFmtId="183" fontId="36" fillId="70" borderId="0" applyNumberFormat="0" applyBorder="0" applyAlignment="0" applyProtection="0"/>
    <xf numFmtId="183"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185"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0" fontId="36" fillId="70" borderId="0" applyNumberFormat="0" applyBorder="0" applyAlignment="0" applyProtection="0"/>
    <xf numFmtId="184" fontId="36" fillId="70" borderId="0" applyNumberFormat="0" applyBorder="0" applyAlignment="0" applyProtection="0"/>
    <xf numFmtId="0" fontId="36" fillId="70" borderId="0" applyNumberFormat="0" applyBorder="0" applyAlignment="0" applyProtection="0"/>
    <xf numFmtId="183" fontId="39" fillId="27" borderId="0" applyNumberFormat="0" applyBorder="0" applyAlignment="0" applyProtection="0"/>
    <xf numFmtId="183"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6" fillId="70"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6" fillId="70" borderId="0" applyNumberFormat="0" applyBorder="0" applyAlignment="0" applyProtection="0"/>
    <xf numFmtId="183" fontId="36" fillId="70" borderId="0" applyNumberFormat="0" applyBorder="0" applyAlignment="0" applyProtection="0"/>
    <xf numFmtId="183"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185" fontId="36" fillId="70" borderId="0" applyNumberFormat="0" applyBorder="0" applyAlignment="0" applyProtection="0"/>
    <xf numFmtId="183" fontId="36" fillId="70" borderId="0" applyNumberFormat="0" applyBorder="0" applyAlignment="0" applyProtection="0"/>
    <xf numFmtId="183"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185"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0" fontId="36" fillId="70" borderId="0" applyNumberFormat="0" applyBorder="0" applyAlignment="0" applyProtection="0"/>
    <xf numFmtId="184" fontId="36" fillId="70" borderId="0" applyNumberFormat="0" applyBorder="0" applyAlignment="0" applyProtection="0"/>
    <xf numFmtId="184" fontId="36" fillId="70" borderId="0" applyNumberFormat="0" applyBorder="0" applyAlignment="0" applyProtection="0"/>
    <xf numFmtId="185" fontId="39" fillId="27" borderId="0" applyNumberFormat="0" applyBorder="0" applyAlignment="0" applyProtection="0"/>
    <xf numFmtId="183" fontId="39" fillId="27" borderId="0" applyNumberFormat="0" applyBorder="0" applyAlignment="0" applyProtection="0"/>
    <xf numFmtId="183"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5" fontId="39" fillId="27" borderId="0" applyNumberFormat="0" applyBorder="0" applyAlignment="0" applyProtection="0"/>
    <xf numFmtId="184" fontId="39" fillId="27" borderId="0" applyNumberFormat="0" applyBorder="0" applyAlignment="0" applyProtection="0"/>
    <xf numFmtId="184" fontId="39" fillId="27" borderId="0" applyNumberFormat="0" applyBorder="0" applyAlignment="0" applyProtection="0"/>
    <xf numFmtId="184" fontId="4" fillId="46" borderId="0" applyNumberFormat="0" applyBorder="0" applyAlignment="0" applyProtection="0"/>
    <xf numFmtId="182" fontId="4" fillId="46" borderId="0" applyNumberFormat="0" applyBorder="0" applyAlignment="0" applyProtection="0"/>
    <xf numFmtId="0" fontId="36" fillId="2" borderId="0" applyNumberFormat="0" applyBorder="0" applyAlignment="0" applyProtection="0"/>
    <xf numFmtId="187" fontId="39" fillId="4" borderId="0" applyNumberFormat="0" applyBorder="0" applyAlignment="0" applyProtection="0"/>
    <xf numFmtId="184" fontId="39" fillId="4" borderId="0" applyNumberFormat="0" applyBorder="0" applyAlignment="0" applyProtection="0"/>
    <xf numFmtId="184" fontId="36" fillId="2" borderId="0" applyNumberFormat="0" applyBorder="0" applyAlignment="0" applyProtection="0"/>
    <xf numFmtId="0" fontId="36" fillId="2" borderId="0" applyNumberFormat="0" applyBorder="0" applyAlignment="0" applyProtection="0"/>
    <xf numFmtId="0"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3" fontId="36" fillId="2" borderId="0" applyNumberFormat="0" applyBorder="0" applyAlignment="0" applyProtection="0"/>
    <xf numFmtId="183"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185" fontId="36" fillId="2" borderId="0" applyNumberFormat="0" applyBorder="0" applyAlignment="0" applyProtection="0"/>
    <xf numFmtId="183" fontId="36" fillId="2" borderId="0" applyNumberFormat="0" applyBorder="0" applyAlignment="0" applyProtection="0"/>
    <xf numFmtId="183"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185"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0"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3" fontId="36" fillId="2" borderId="0" applyNumberFormat="0" applyBorder="0" applyAlignment="0" applyProtection="0"/>
    <xf numFmtId="183"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185" fontId="36" fillId="2" borderId="0" applyNumberFormat="0" applyBorder="0" applyAlignment="0" applyProtection="0"/>
    <xf numFmtId="183" fontId="36" fillId="2" borderId="0" applyNumberFormat="0" applyBorder="0" applyAlignment="0" applyProtection="0"/>
    <xf numFmtId="183"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185"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0" fontId="36" fillId="2" borderId="0" applyNumberFormat="0" applyBorder="0" applyAlignment="0" applyProtection="0"/>
    <xf numFmtId="184" fontId="36" fillId="2" borderId="0" applyNumberFormat="0" applyBorder="0" applyAlignment="0" applyProtection="0"/>
    <xf numFmtId="0" fontId="36" fillId="2"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6" fillId="2"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6" fillId="2" borderId="0" applyNumberFormat="0" applyBorder="0" applyAlignment="0" applyProtection="0"/>
    <xf numFmtId="183" fontId="36" fillId="2" borderId="0" applyNumberFormat="0" applyBorder="0" applyAlignment="0" applyProtection="0"/>
    <xf numFmtId="183"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185" fontId="36" fillId="2" borderId="0" applyNumberFormat="0" applyBorder="0" applyAlignment="0" applyProtection="0"/>
    <xf numFmtId="183" fontId="36" fillId="2" borderId="0" applyNumberFormat="0" applyBorder="0" applyAlignment="0" applyProtection="0"/>
    <xf numFmtId="183"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185"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0" fontId="36" fillId="2" borderId="0" applyNumberFormat="0" applyBorder="0" applyAlignment="0" applyProtection="0"/>
    <xf numFmtId="184" fontId="36" fillId="2" borderId="0" applyNumberFormat="0" applyBorder="0" applyAlignment="0" applyProtection="0"/>
    <xf numFmtId="184" fontId="36" fillId="2"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4" fillId="50" borderId="0" applyNumberFormat="0" applyBorder="0" applyAlignment="0" applyProtection="0"/>
    <xf numFmtId="182" fontId="4" fillId="50" borderId="0" applyNumberFormat="0" applyBorder="0" applyAlignment="0" applyProtection="0"/>
    <xf numFmtId="0" fontId="36" fillId="71" borderId="0" applyNumberFormat="0" applyBorder="0" applyAlignment="0" applyProtection="0"/>
    <xf numFmtId="187" fontId="39" fillId="26" borderId="0" applyNumberFormat="0" applyBorder="0" applyAlignment="0" applyProtection="0"/>
    <xf numFmtId="184" fontId="39" fillId="26" borderId="0" applyNumberFormat="0" applyBorder="0" applyAlignment="0" applyProtection="0"/>
    <xf numFmtId="184" fontId="36" fillId="71" borderId="0" applyNumberFormat="0" applyBorder="0" applyAlignment="0" applyProtection="0"/>
    <xf numFmtId="0" fontId="36" fillId="71" borderId="0" applyNumberFormat="0" applyBorder="0" applyAlignment="0" applyProtection="0"/>
    <xf numFmtId="0"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3" fontId="36" fillId="71" borderId="0" applyNumberFormat="0" applyBorder="0" applyAlignment="0" applyProtection="0"/>
    <xf numFmtId="183"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185" fontId="36" fillId="71" borderId="0" applyNumberFormat="0" applyBorder="0" applyAlignment="0" applyProtection="0"/>
    <xf numFmtId="183" fontId="36" fillId="71" borderId="0" applyNumberFormat="0" applyBorder="0" applyAlignment="0" applyProtection="0"/>
    <xf numFmtId="183"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185"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0"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0" fontId="39" fillId="26" borderId="0" applyNumberFormat="0" applyBorder="0" applyAlignment="0" applyProtection="0"/>
    <xf numFmtId="183" fontId="39" fillId="26" borderId="0" applyNumberFormat="0" applyBorder="0" applyAlignment="0" applyProtection="0"/>
    <xf numFmtId="183"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5" fontId="39" fillId="26" borderId="0" applyNumberFormat="0" applyBorder="0" applyAlignment="0" applyProtection="0"/>
    <xf numFmtId="183" fontId="39" fillId="26" borderId="0" applyNumberFormat="0" applyBorder="0" applyAlignment="0" applyProtection="0"/>
    <xf numFmtId="183"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5"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0"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5" fontId="39" fillId="26" borderId="0" applyNumberFormat="0" applyBorder="0" applyAlignment="0" applyProtection="0"/>
    <xf numFmtId="183" fontId="39" fillId="26" borderId="0" applyNumberFormat="0" applyBorder="0" applyAlignment="0" applyProtection="0"/>
    <xf numFmtId="183"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5"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0" fontId="39" fillId="26" borderId="0" applyNumberFormat="0" applyBorder="0" applyAlignment="0" applyProtection="0"/>
    <xf numFmtId="183" fontId="39" fillId="26" borderId="0" applyNumberFormat="0" applyBorder="0" applyAlignment="0" applyProtection="0"/>
    <xf numFmtId="183"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5" fontId="39" fillId="26" borderId="0" applyNumberFormat="0" applyBorder="0" applyAlignment="0" applyProtection="0"/>
    <xf numFmtId="183" fontId="39" fillId="26" borderId="0" applyNumberFormat="0" applyBorder="0" applyAlignment="0" applyProtection="0"/>
    <xf numFmtId="183"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5"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0"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3" fontId="39" fillId="26" borderId="0" applyNumberFormat="0" applyBorder="0" applyAlignment="0" applyProtection="0"/>
    <xf numFmtId="183"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3" fontId="36" fillId="71" borderId="0" applyNumberFormat="0" applyBorder="0" applyAlignment="0" applyProtection="0"/>
    <xf numFmtId="183"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185" fontId="36" fillId="71" borderId="0" applyNumberFormat="0" applyBorder="0" applyAlignment="0" applyProtection="0"/>
    <xf numFmtId="183" fontId="36" fillId="71" borderId="0" applyNumberFormat="0" applyBorder="0" applyAlignment="0" applyProtection="0"/>
    <xf numFmtId="183"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185"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0" fontId="36" fillId="71" borderId="0" applyNumberFormat="0" applyBorder="0" applyAlignment="0" applyProtection="0"/>
    <xf numFmtId="184" fontId="36" fillId="71" borderId="0" applyNumberFormat="0" applyBorder="0" applyAlignment="0" applyProtection="0"/>
    <xf numFmtId="0" fontId="36" fillId="71" borderId="0" applyNumberFormat="0" applyBorder="0" applyAlignment="0" applyProtection="0"/>
    <xf numFmtId="183" fontId="39" fillId="26" borderId="0" applyNumberFormat="0" applyBorder="0" applyAlignment="0" applyProtection="0"/>
    <xf numFmtId="183"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6" fillId="71"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6" fillId="71" borderId="0" applyNumberFormat="0" applyBorder="0" applyAlignment="0" applyProtection="0"/>
    <xf numFmtId="183" fontId="36" fillId="71" borderId="0" applyNumberFormat="0" applyBorder="0" applyAlignment="0" applyProtection="0"/>
    <xf numFmtId="183"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185" fontId="36" fillId="71" borderId="0" applyNumberFormat="0" applyBorder="0" applyAlignment="0" applyProtection="0"/>
    <xf numFmtId="183" fontId="36" fillId="71" borderId="0" applyNumberFormat="0" applyBorder="0" applyAlignment="0" applyProtection="0"/>
    <xf numFmtId="183"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185"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0" fontId="36" fillId="71" borderId="0" applyNumberFormat="0" applyBorder="0" applyAlignment="0" applyProtection="0"/>
    <xf numFmtId="184" fontId="36" fillId="71" borderId="0" applyNumberFormat="0" applyBorder="0" applyAlignment="0" applyProtection="0"/>
    <xf numFmtId="184" fontId="36" fillId="71" borderId="0" applyNumberFormat="0" applyBorder="0" applyAlignment="0" applyProtection="0"/>
    <xf numFmtId="185" fontId="39" fillId="26" borderId="0" applyNumberFormat="0" applyBorder="0" applyAlignment="0" applyProtection="0"/>
    <xf numFmtId="183" fontId="39" fillId="26" borderId="0" applyNumberFormat="0" applyBorder="0" applyAlignment="0" applyProtection="0"/>
    <xf numFmtId="183"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5" fontId="39" fillId="26" borderId="0" applyNumberFormat="0" applyBorder="0" applyAlignment="0" applyProtection="0"/>
    <xf numFmtId="184" fontId="39" fillId="26" borderId="0" applyNumberFormat="0" applyBorder="0" applyAlignment="0" applyProtection="0"/>
    <xf numFmtId="184" fontId="39" fillId="26" borderId="0" applyNumberFormat="0" applyBorder="0" applyAlignment="0" applyProtection="0"/>
    <xf numFmtId="184" fontId="4" fillId="54" borderId="0" applyNumberFormat="0" applyBorder="0" applyAlignment="0" applyProtection="0"/>
    <xf numFmtId="182" fontId="4" fillId="54" borderId="0" applyNumberFormat="0" applyBorder="0" applyAlignment="0" applyProtection="0"/>
    <xf numFmtId="0" fontId="36" fillId="72" borderId="0" applyNumberFormat="0" applyBorder="0" applyAlignment="0" applyProtection="0"/>
    <xf numFmtId="187" fontId="39" fillId="32" borderId="0" applyNumberFormat="0" applyBorder="0" applyAlignment="0" applyProtection="0"/>
    <xf numFmtId="184" fontId="39" fillId="32"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0"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0" fontId="39" fillId="32" borderId="0" applyNumberFormat="0" applyBorder="0" applyAlignment="0" applyProtection="0"/>
    <xf numFmtId="183" fontId="39" fillId="32" borderId="0" applyNumberFormat="0" applyBorder="0" applyAlignment="0" applyProtection="0"/>
    <xf numFmtId="183"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5" fontId="39" fillId="32" borderId="0" applyNumberFormat="0" applyBorder="0" applyAlignment="0" applyProtection="0"/>
    <xf numFmtId="183" fontId="39" fillId="32" borderId="0" applyNumberFormat="0" applyBorder="0" applyAlignment="0" applyProtection="0"/>
    <xf numFmtId="183"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5"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0"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5" fontId="39" fillId="32" borderId="0" applyNumberFormat="0" applyBorder="0" applyAlignment="0" applyProtection="0"/>
    <xf numFmtId="183" fontId="39" fillId="32" borderId="0" applyNumberFormat="0" applyBorder="0" applyAlignment="0" applyProtection="0"/>
    <xf numFmtId="183"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5"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0" fontId="39" fillId="32" borderId="0" applyNumberFormat="0" applyBorder="0" applyAlignment="0" applyProtection="0"/>
    <xf numFmtId="183" fontId="39" fillId="32" borderId="0" applyNumberFormat="0" applyBorder="0" applyAlignment="0" applyProtection="0"/>
    <xf numFmtId="183"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5" fontId="39" fillId="32" borderId="0" applyNumberFormat="0" applyBorder="0" applyAlignment="0" applyProtection="0"/>
    <xf numFmtId="183" fontId="39" fillId="32" borderId="0" applyNumberFormat="0" applyBorder="0" applyAlignment="0" applyProtection="0"/>
    <xf numFmtId="183"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5"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0"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3" fontId="39" fillId="32" borderId="0" applyNumberFormat="0" applyBorder="0" applyAlignment="0" applyProtection="0"/>
    <xf numFmtId="183"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183" fontId="39" fillId="32" borderId="0" applyNumberFormat="0" applyBorder="0" applyAlignment="0" applyProtection="0"/>
    <xf numFmtId="183"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6" fillId="7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6" fillId="72"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9" fillId="32" borderId="0" applyNumberFormat="0" applyBorder="0" applyAlignment="0" applyProtection="0"/>
    <xf numFmtId="183" fontId="39" fillId="32" borderId="0" applyNumberFormat="0" applyBorder="0" applyAlignment="0" applyProtection="0"/>
    <xf numFmtId="183"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5" fontId="39" fillId="32" borderId="0" applyNumberFormat="0" applyBorder="0" applyAlignment="0" applyProtection="0"/>
    <xf numFmtId="184" fontId="39" fillId="32" borderId="0" applyNumberFormat="0" applyBorder="0" applyAlignment="0" applyProtection="0"/>
    <xf numFmtId="184" fontId="39" fillId="32" borderId="0" applyNumberFormat="0" applyBorder="0" applyAlignment="0" applyProtection="0"/>
    <xf numFmtId="184" fontId="4" fillId="58" borderId="0" applyNumberFormat="0" applyBorder="0" applyAlignment="0" applyProtection="0"/>
    <xf numFmtId="182" fontId="4" fillId="58" borderId="0" applyNumberFormat="0" applyBorder="0" applyAlignment="0" applyProtection="0"/>
    <xf numFmtId="0" fontId="36" fillId="73" borderId="0" applyNumberFormat="0" applyBorder="0" applyAlignment="0" applyProtection="0"/>
    <xf numFmtId="187" fontId="39" fillId="3" borderId="0" applyNumberFormat="0" applyBorder="0" applyAlignment="0" applyProtection="0"/>
    <xf numFmtId="184" fontId="39" fillId="3" borderId="0" applyNumberFormat="0" applyBorder="0" applyAlignment="0" applyProtection="0"/>
    <xf numFmtId="184" fontId="36" fillId="73" borderId="0" applyNumberFormat="0" applyBorder="0" applyAlignment="0" applyProtection="0"/>
    <xf numFmtId="0" fontId="36" fillId="73" borderId="0" applyNumberFormat="0" applyBorder="0" applyAlignment="0" applyProtection="0"/>
    <xf numFmtId="0"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3" fontId="36" fillId="73" borderId="0" applyNumberFormat="0" applyBorder="0" applyAlignment="0" applyProtection="0"/>
    <xf numFmtId="183"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185" fontId="36" fillId="73" borderId="0" applyNumberFormat="0" applyBorder="0" applyAlignment="0" applyProtection="0"/>
    <xf numFmtId="183" fontId="36" fillId="73" borderId="0" applyNumberFormat="0" applyBorder="0" applyAlignment="0" applyProtection="0"/>
    <xf numFmtId="183"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185"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0"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0" fontId="39" fillId="3" borderId="0" applyNumberFormat="0" applyBorder="0" applyAlignment="0" applyProtection="0"/>
    <xf numFmtId="183" fontId="39" fillId="3" borderId="0" applyNumberFormat="0" applyBorder="0" applyAlignment="0" applyProtection="0"/>
    <xf numFmtId="183"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5" fontId="39" fillId="3" borderId="0" applyNumberFormat="0" applyBorder="0" applyAlignment="0" applyProtection="0"/>
    <xf numFmtId="183" fontId="39" fillId="3" borderId="0" applyNumberFormat="0" applyBorder="0" applyAlignment="0" applyProtection="0"/>
    <xf numFmtId="183"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5"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0"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5" fontId="39" fillId="3" borderId="0" applyNumberFormat="0" applyBorder="0" applyAlignment="0" applyProtection="0"/>
    <xf numFmtId="183" fontId="39" fillId="3" borderId="0" applyNumberFormat="0" applyBorder="0" applyAlignment="0" applyProtection="0"/>
    <xf numFmtId="183"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5"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0" fontId="39" fillId="3" borderId="0" applyNumberFormat="0" applyBorder="0" applyAlignment="0" applyProtection="0"/>
    <xf numFmtId="183" fontId="39" fillId="3" borderId="0" applyNumberFormat="0" applyBorder="0" applyAlignment="0" applyProtection="0"/>
    <xf numFmtId="183"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5" fontId="39" fillId="3" borderId="0" applyNumberFormat="0" applyBorder="0" applyAlignment="0" applyProtection="0"/>
    <xf numFmtId="183" fontId="39" fillId="3" borderId="0" applyNumberFormat="0" applyBorder="0" applyAlignment="0" applyProtection="0"/>
    <xf numFmtId="183"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5"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0"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3" fontId="39" fillId="3" borderId="0" applyNumberFormat="0" applyBorder="0" applyAlignment="0" applyProtection="0"/>
    <xf numFmtId="183"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3" fontId="36" fillId="73" borderId="0" applyNumberFormat="0" applyBorder="0" applyAlignment="0" applyProtection="0"/>
    <xf numFmtId="183"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185" fontId="36" fillId="73" borderId="0" applyNumberFormat="0" applyBorder="0" applyAlignment="0" applyProtection="0"/>
    <xf numFmtId="183" fontId="36" fillId="73" borderId="0" applyNumberFormat="0" applyBorder="0" applyAlignment="0" applyProtection="0"/>
    <xf numFmtId="183"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185"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0" fontId="36" fillId="73" borderId="0" applyNumberFormat="0" applyBorder="0" applyAlignment="0" applyProtection="0"/>
    <xf numFmtId="184" fontId="36" fillId="73" borderId="0" applyNumberFormat="0" applyBorder="0" applyAlignment="0" applyProtection="0"/>
    <xf numFmtId="0" fontId="36" fillId="73" borderId="0" applyNumberFormat="0" applyBorder="0" applyAlignment="0" applyProtection="0"/>
    <xf numFmtId="183" fontId="39" fillId="3" borderId="0" applyNumberFormat="0" applyBorder="0" applyAlignment="0" applyProtection="0"/>
    <xf numFmtId="183"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6" fillId="7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6" fillId="73" borderId="0" applyNumberFormat="0" applyBorder="0" applyAlignment="0" applyProtection="0"/>
    <xf numFmtId="183" fontId="36" fillId="73" borderId="0" applyNumberFormat="0" applyBorder="0" applyAlignment="0" applyProtection="0"/>
    <xf numFmtId="183"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185" fontId="36" fillId="73" borderId="0" applyNumberFormat="0" applyBorder="0" applyAlignment="0" applyProtection="0"/>
    <xf numFmtId="183" fontId="36" fillId="73" borderId="0" applyNumberFormat="0" applyBorder="0" applyAlignment="0" applyProtection="0"/>
    <xf numFmtId="183"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185"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0" fontId="36" fillId="73" borderId="0" applyNumberFormat="0" applyBorder="0" applyAlignment="0" applyProtection="0"/>
    <xf numFmtId="184" fontId="36" fillId="73" borderId="0" applyNumberFormat="0" applyBorder="0" applyAlignment="0" applyProtection="0"/>
    <xf numFmtId="184" fontId="36" fillId="73" borderId="0" applyNumberFormat="0" applyBorder="0" applyAlignment="0" applyProtection="0"/>
    <xf numFmtId="185" fontId="39" fillId="3" borderId="0" applyNumberFormat="0" applyBorder="0" applyAlignment="0" applyProtection="0"/>
    <xf numFmtId="183" fontId="39" fillId="3" borderId="0" applyNumberFormat="0" applyBorder="0" applyAlignment="0" applyProtection="0"/>
    <xf numFmtId="183"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5" fontId="39" fillId="3" borderId="0" applyNumberFormat="0" applyBorder="0" applyAlignment="0" applyProtection="0"/>
    <xf numFmtId="184" fontId="39" fillId="3" borderId="0" applyNumberFormat="0" applyBorder="0" applyAlignment="0" applyProtection="0"/>
    <xf numFmtId="184" fontId="39" fillId="3" borderId="0" applyNumberFormat="0" applyBorder="0" applyAlignment="0" applyProtection="0"/>
    <xf numFmtId="184" fontId="4" fillId="62" borderId="0" applyNumberFormat="0" applyBorder="0" applyAlignment="0" applyProtection="0"/>
    <xf numFmtId="182" fontId="4" fillId="62" borderId="0" applyNumberFormat="0" applyBorder="0" applyAlignment="0" applyProtection="0"/>
    <xf numFmtId="0" fontId="36" fillId="74" borderId="0" applyNumberFormat="0" applyBorder="0" applyAlignment="0" applyProtection="0"/>
    <xf numFmtId="187" fontId="39" fillId="2" borderId="0" applyNumberFormat="0" applyBorder="0" applyAlignment="0" applyProtection="0"/>
    <xf numFmtId="184" fontId="39" fillId="2" borderId="0" applyNumberFormat="0" applyBorder="0" applyAlignment="0" applyProtection="0"/>
    <xf numFmtId="184" fontId="36" fillId="74" borderId="0" applyNumberFormat="0" applyBorder="0" applyAlignment="0" applyProtection="0"/>
    <xf numFmtId="0" fontId="36" fillId="74" borderId="0" applyNumberFormat="0" applyBorder="0" applyAlignment="0" applyProtection="0"/>
    <xf numFmtId="0"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3" fontId="36" fillId="74" borderId="0" applyNumberFormat="0" applyBorder="0" applyAlignment="0" applyProtection="0"/>
    <xf numFmtId="183"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185" fontId="36" fillId="74" borderId="0" applyNumberFormat="0" applyBorder="0" applyAlignment="0" applyProtection="0"/>
    <xf numFmtId="183" fontId="36" fillId="74" borderId="0" applyNumberFormat="0" applyBorder="0" applyAlignment="0" applyProtection="0"/>
    <xf numFmtId="183"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185"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0"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0" fontId="39" fillId="2" borderId="0" applyNumberFormat="0" applyBorder="0" applyAlignment="0" applyProtection="0"/>
    <xf numFmtId="183" fontId="39" fillId="2" borderId="0" applyNumberFormat="0" applyBorder="0" applyAlignment="0" applyProtection="0"/>
    <xf numFmtId="183"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5" fontId="39" fillId="2" borderId="0" applyNumberFormat="0" applyBorder="0" applyAlignment="0" applyProtection="0"/>
    <xf numFmtId="183" fontId="39" fillId="2" borderId="0" applyNumberFormat="0" applyBorder="0" applyAlignment="0" applyProtection="0"/>
    <xf numFmtId="183"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5"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0"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5" fontId="39" fillId="2" borderId="0" applyNumberFormat="0" applyBorder="0" applyAlignment="0" applyProtection="0"/>
    <xf numFmtId="183" fontId="39" fillId="2" borderId="0" applyNumberFormat="0" applyBorder="0" applyAlignment="0" applyProtection="0"/>
    <xf numFmtId="183"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5"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0" fontId="39" fillId="2" borderId="0" applyNumberFormat="0" applyBorder="0" applyAlignment="0" applyProtection="0"/>
    <xf numFmtId="183" fontId="39" fillId="2" borderId="0" applyNumberFormat="0" applyBorder="0" applyAlignment="0" applyProtection="0"/>
    <xf numFmtId="183"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5" fontId="39" fillId="2" borderId="0" applyNumberFormat="0" applyBorder="0" applyAlignment="0" applyProtection="0"/>
    <xf numFmtId="183" fontId="39" fillId="2" borderId="0" applyNumberFormat="0" applyBorder="0" applyAlignment="0" applyProtection="0"/>
    <xf numFmtId="183"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5"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0"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3" fontId="39" fillId="2" borderId="0" applyNumberFormat="0" applyBorder="0" applyAlignment="0" applyProtection="0"/>
    <xf numFmtId="183"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3" fontId="36" fillId="74" borderId="0" applyNumberFormat="0" applyBorder="0" applyAlignment="0" applyProtection="0"/>
    <xf numFmtId="183"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185" fontId="36" fillId="74" borderId="0" applyNumberFormat="0" applyBorder="0" applyAlignment="0" applyProtection="0"/>
    <xf numFmtId="183" fontId="36" fillId="74" borderId="0" applyNumberFormat="0" applyBorder="0" applyAlignment="0" applyProtection="0"/>
    <xf numFmtId="183"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185"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0" fontId="36" fillId="74" borderId="0" applyNumberFormat="0" applyBorder="0" applyAlignment="0" applyProtection="0"/>
    <xf numFmtId="184" fontId="36" fillId="74" borderId="0" applyNumberFormat="0" applyBorder="0" applyAlignment="0" applyProtection="0"/>
    <xf numFmtId="0" fontId="36" fillId="74" borderId="0" applyNumberFormat="0" applyBorder="0" applyAlignment="0" applyProtection="0"/>
    <xf numFmtId="183" fontId="39" fillId="2" borderId="0" applyNumberFormat="0" applyBorder="0" applyAlignment="0" applyProtection="0"/>
    <xf numFmtId="183"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6" fillId="74"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6" fillId="74" borderId="0" applyNumberFormat="0" applyBorder="0" applyAlignment="0" applyProtection="0"/>
    <xf numFmtId="183" fontId="36" fillId="74" borderId="0" applyNumberFormat="0" applyBorder="0" applyAlignment="0" applyProtection="0"/>
    <xf numFmtId="183"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185" fontId="36" fillId="74" borderId="0" applyNumberFormat="0" applyBorder="0" applyAlignment="0" applyProtection="0"/>
    <xf numFmtId="183" fontId="36" fillId="74" borderId="0" applyNumberFormat="0" applyBorder="0" applyAlignment="0" applyProtection="0"/>
    <xf numFmtId="183"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185"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0" fontId="36" fillId="74" borderId="0" applyNumberFormat="0" applyBorder="0" applyAlignment="0" applyProtection="0"/>
    <xf numFmtId="184" fontId="36" fillId="74" borderId="0" applyNumberFormat="0" applyBorder="0" applyAlignment="0" applyProtection="0"/>
    <xf numFmtId="184" fontId="36" fillId="74" borderId="0" applyNumberFormat="0" applyBorder="0" applyAlignment="0" applyProtection="0"/>
    <xf numFmtId="185" fontId="39" fillId="2" borderId="0" applyNumberFormat="0" applyBorder="0" applyAlignment="0" applyProtection="0"/>
    <xf numFmtId="183" fontId="39" fillId="2" borderId="0" applyNumberFormat="0" applyBorder="0" applyAlignment="0" applyProtection="0"/>
    <xf numFmtId="183"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5" fontId="39" fillId="2" borderId="0" applyNumberFormat="0" applyBorder="0" applyAlignment="0" applyProtection="0"/>
    <xf numFmtId="184" fontId="39" fillId="2" borderId="0" applyNumberFormat="0" applyBorder="0" applyAlignment="0" applyProtection="0"/>
    <xf numFmtId="184" fontId="39" fillId="2" borderId="0" applyNumberFormat="0" applyBorder="0" applyAlignment="0" applyProtection="0"/>
    <xf numFmtId="184" fontId="4" fillId="66" borderId="0" applyNumberFormat="0" applyBorder="0" applyAlignment="0" applyProtection="0"/>
    <xf numFmtId="182" fontId="4" fillId="66" borderId="0" applyNumberFormat="0" applyBorder="0" applyAlignment="0" applyProtection="0"/>
    <xf numFmtId="0" fontId="36" fillId="3" borderId="0" applyNumberFormat="0" applyBorder="0" applyAlignment="0" applyProtection="0"/>
    <xf numFmtId="187" fontId="39" fillId="31" borderId="0" applyNumberFormat="0" applyBorder="0" applyAlignment="0" applyProtection="0"/>
    <xf numFmtId="184" fontId="39" fillId="31"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0"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0"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0"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0"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0"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6" fillId="3"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6" fillId="3"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4" fontId="4" fillId="47" borderId="0" applyNumberFormat="0" applyBorder="0" applyAlignment="0" applyProtection="0"/>
    <xf numFmtId="182" fontId="4" fillId="47" borderId="0" applyNumberFormat="0" applyBorder="0" applyAlignment="0" applyProtection="0"/>
    <xf numFmtId="0" fontId="36" fillId="4" borderId="0" applyNumberFormat="0" applyBorder="0" applyAlignment="0" applyProtection="0"/>
    <xf numFmtId="187" fontId="39" fillId="4" borderId="0" applyNumberFormat="0" applyBorder="0" applyAlignment="0" applyProtection="0"/>
    <xf numFmtId="184" fontId="39" fillId="4" borderId="0" applyNumberFormat="0" applyBorder="0" applyAlignment="0" applyProtection="0"/>
    <xf numFmtId="184" fontId="36" fillId="4" borderId="0" applyNumberFormat="0" applyBorder="0" applyAlignment="0" applyProtection="0"/>
    <xf numFmtId="0" fontId="36" fillId="4" borderId="0" applyNumberFormat="0" applyBorder="0" applyAlignment="0" applyProtection="0"/>
    <xf numFmtId="0"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3" fontId="36" fillId="4" borderId="0" applyNumberFormat="0" applyBorder="0" applyAlignment="0" applyProtection="0"/>
    <xf numFmtId="183"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185" fontId="36" fillId="4" borderId="0" applyNumberFormat="0" applyBorder="0" applyAlignment="0" applyProtection="0"/>
    <xf numFmtId="183" fontId="36" fillId="4" borderId="0" applyNumberFormat="0" applyBorder="0" applyAlignment="0" applyProtection="0"/>
    <xf numFmtId="183"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185"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0"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3" fontId="36" fillId="4" borderId="0" applyNumberFormat="0" applyBorder="0" applyAlignment="0" applyProtection="0"/>
    <xf numFmtId="183"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185" fontId="36" fillId="4" borderId="0" applyNumberFormat="0" applyBorder="0" applyAlignment="0" applyProtection="0"/>
    <xf numFmtId="183" fontId="36" fillId="4" borderId="0" applyNumberFormat="0" applyBorder="0" applyAlignment="0" applyProtection="0"/>
    <xf numFmtId="183"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185"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0" fontId="36" fillId="4" borderId="0" applyNumberFormat="0" applyBorder="0" applyAlignment="0" applyProtection="0"/>
    <xf numFmtId="184" fontId="36" fillId="4" borderId="0" applyNumberFormat="0" applyBorder="0" applyAlignment="0" applyProtection="0"/>
    <xf numFmtId="0" fontId="36"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6"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6" fillId="4" borderId="0" applyNumberFormat="0" applyBorder="0" applyAlignment="0" applyProtection="0"/>
    <xf numFmtId="183" fontId="36" fillId="4" borderId="0" applyNumberFormat="0" applyBorder="0" applyAlignment="0" applyProtection="0"/>
    <xf numFmtId="183"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185" fontId="36" fillId="4" borderId="0" applyNumberFormat="0" applyBorder="0" applyAlignment="0" applyProtection="0"/>
    <xf numFmtId="183" fontId="36" fillId="4" borderId="0" applyNumberFormat="0" applyBorder="0" applyAlignment="0" applyProtection="0"/>
    <xf numFmtId="183"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185"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0" fontId="36" fillId="4" borderId="0" applyNumberFormat="0" applyBorder="0" applyAlignment="0" applyProtection="0"/>
    <xf numFmtId="184" fontId="36" fillId="4" borderId="0" applyNumberFormat="0" applyBorder="0" applyAlignment="0" applyProtection="0"/>
    <xf numFmtId="184" fontId="36"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4" fillId="51" borderId="0" applyNumberFormat="0" applyBorder="0" applyAlignment="0" applyProtection="0"/>
    <xf numFmtId="182" fontId="4" fillId="51" borderId="0" applyNumberFormat="0" applyBorder="0" applyAlignment="0" applyProtection="0"/>
    <xf numFmtId="0" fontId="36" fillId="5" borderId="0" applyNumberFormat="0" applyBorder="0" applyAlignment="0" applyProtection="0"/>
    <xf numFmtId="187" fontId="39" fillId="15" borderId="0" applyNumberFormat="0" applyBorder="0" applyAlignment="0" applyProtection="0"/>
    <xf numFmtId="184" fontId="39" fillId="15" borderId="0" applyNumberFormat="0" applyBorder="0" applyAlignment="0" applyProtection="0"/>
    <xf numFmtId="184" fontId="36" fillId="5" borderId="0" applyNumberFormat="0" applyBorder="0" applyAlignment="0" applyProtection="0"/>
    <xf numFmtId="0" fontId="36" fillId="5" borderId="0" applyNumberFormat="0" applyBorder="0" applyAlignment="0" applyProtection="0"/>
    <xf numFmtId="0"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3" fontId="36" fillId="5" borderId="0" applyNumberFormat="0" applyBorder="0" applyAlignment="0" applyProtection="0"/>
    <xf numFmtId="183"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185" fontId="36" fillId="5" borderId="0" applyNumberFormat="0" applyBorder="0" applyAlignment="0" applyProtection="0"/>
    <xf numFmtId="183" fontId="36" fillId="5" borderId="0" applyNumberFormat="0" applyBorder="0" applyAlignment="0" applyProtection="0"/>
    <xf numFmtId="183"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185"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0"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6" fillId="5" borderId="0" applyNumberFormat="0" applyBorder="0" applyAlignment="0" applyProtection="0"/>
    <xf numFmtId="183"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185" fontId="36" fillId="5" borderId="0" applyNumberFormat="0" applyBorder="0" applyAlignment="0" applyProtection="0"/>
    <xf numFmtId="183" fontId="36" fillId="5" borderId="0" applyNumberFormat="0" applyBorder="0" applyAlignment="0" applyProtection="0"/>
    <xf numFmtId="183"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185"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0" fontId="36" fillId="5" borderId="0" applyNumberFormat="0" applyBorder="0" applyAlignment="0" applyProtection="0"/>
    <xf numFmtId="184" fontId="36" fillId="5" borderId="0" applyNumberFormat="0" applyBorder="0" applyAlignment="0" applyProtection="0"/>
    <xf numFmtId="0" fontId="36" fillId="5" borderId="0" applyNumberFormat="0" applyBorder="0" applyAlignment="0" applyProtection="0"/>
    <xf numFmtId="183"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6" fillId="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6" fillId="5" borderId="0" applyNumberFormat="0" applyBorder="0" applyAlignment="0" applyProtection="0"/>
    <xf numFmtId="183" fontId="36" fillId="5" borderId="0" applyNumberFormat="0" applyBorder="0" applyAlignment="0" applyProtection="0"/>
    <xf numFmtId="183"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185" fontId="36" fillId="5" borderId="0" applyNumberFormat="0" applyBorder="0" applyAlignment="0" applyProtection="0"/>
    <xf numFmtId="183" fontId="36" fillId="5" borderId="0" applyNumberFormat="0" applyBorder="0" applyAlignment="0" applyProtection="0"/>
    <xf numFmtId="183"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185"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0" fontId="36" fillId="5" borderId="0" applyNumberFormat="0" applyBorder="0" applyAlignment="0" applyProtection="0"/>
    <xf numFmtId="184" fontId="36" fillId="5" borderId="0" applyNumberFormat="0" applyBorder="0" applyAlignment="0" applyProtection="0"/>
    <xf numFmtId="184" fontId="36" fillId="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4" fillId="55" borderId="0" applyNumberFormat="0" applyBorder="0" applyAlignment="0" applyProtection="0"/>
    <xf numFmtId="182" fontId="4" fillId="55" borderId="0" applyNumberFormat="0" applyBorder="0" applyAlignment="0" applyProtection="0"/>
    <xf numFmtId="0" fontId="36" fillId="72" borderId="0" applyNumberFormat="0" applyBorder="0" applyAlignment="0" applyProtection="0"/>
    <xf numFmtId="187" fontId="39" fillId="75" borderId="0" applyNumberFormat="0" applyBorder="0" applyAlignment="0" applyProtection="0"/>
    <xf numFmtId="184" fontId="39" fillId="75"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0"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0" fontId="39" fillId="75" borderId="0" applyNumberFormat="0" applyBorder="0" applyAlignment="0" applyProtection="0"/>
    <xf numFmtId="183" fontId="39" fillId="75" borderId="0" applyNumberFormat="0" applyBorder="0" applyAlignment="0" applyProtection="0"/>
    <xf numFmtId="183"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5" fontId="39" fillId="75" borderId="0" applyNumberFormat="0" applyBorder="0" applyAlignment="0" applyProtection="0"/>
    <xf numFmtId="183" fontId="39" fillId="75" borderId="0" applyNumberFormat="0" applyBorder="0" applyAlignment="0" applyProtection="0"/>
    <xf numFmtId="183"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5"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0"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5" fontId="39" fillId="75" borderId="0" applyNumberFormat="0" applyBorder="0" applyAlignment="0" applyProtection="0"/>
    <xf numFmtId="183" fontId="39" fillId="75" borderId="0" applyNumberFormat="0" applyBorder="0" applyAlignment="0" applyProtection="0"/>
    <xf numFmtId="183"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5"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0" fontId="39" fillId="75" borderId="0" applyNumberFormat="0" applyBorder="0" applyAlignment="0" applyProtection="0"/>
    <xf numFmtId="183" fontId="39" fillId="75" borderId="0" applyNumberFormat="0" applyBorder="0" applyAlignment="0" applyProtection="0"/>
    <xf numFmtId="183"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5" fontId="39" fillId="75" borderId="0" applyNumberFormat="0" applyBorder="0" applyAlignment="0" applyProtection="0"/>
    <xf numFmtId="183" fontId="39" fillId="75" borderId="0" applyNumberFormat="0" applyBorder="0" applyAlignment="0" applyProtection="0"/>
    <xf numFmtId="183"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5"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0"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3" fontId="39" fillId="75" borderId="0" applyNumberFormat="0" applyBorder="0" applyAlignment="0" applyProtection="0"/>
    <xf numFmtId="183"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183" fontId="39" fillId="75" borderId="0" applyNumberFormat="0" applyBorder="0" applyAlignment="0" applyProtection="0"/>
    <xf numFmtId="183"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6" fillId="72"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6" fillId="72"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3" fontId="36" fillId="72" borderId="0" applyNumberFormat="0" applyBorder="0" applyAlignment="0" applyProtection="0"/>
    <xf numFmtId="183"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0" fontId="36" fillId="72" borderId="0" applyNumberFormat="0" applyBorder="0" applyAlignment="0" applyProtection="0"/>
    <xf numFmtId="184" fontId="36" fillId="72" borderId="0" applyNumberFormat="0" applyBorder="0" applyAlignment="0" applyProtection="0"/>
    <xf numFmtId="184" fontId="36" fillId="72" borderId="0" applyNumberFormat="0" applyBorder="0" applyAlignment="0" applyProtection="0"/>
    <xf numFmtId="185" fontId="39" fillId="75" borderId="0" applyNumberFormat="0" applyBorder="0" applyAlignment="0" applyProtection="0"/>
    <xf numFmtId="183" fontId="39" fillId="75" borderId="0" applyNumberFormat="0" applyBorder="0" applyAlignment="0" applyProtection="0"/>
    <xf numFmtId="183"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5" fontId="39" fillId="75" borderId="0" applyNumberFormat="0" applyBorder="0" applyAlignment="0" applyProtection="0"/>
    <xf numFmtId="184" fontId="39" fillId="75" borderId="0" applyNumberFormat="0" applyBorder="0" applyAlignment="0" applyProtection="0"/>
    <xf numFmtId="184" fontId="39" fillId="75" borderId="0" applyNumberFormat="0" applyBorder="0" applyAlignment="0" applyProtection="0"/>
    <xf numFmtId="184" fontId="4" fillId="59" borderId="0" applyNumberFormat="0" applyBorder="0" applyAlignment="0" applyProtection="0"/>
    <xf numFmtId="182" fontId="4" fillId="59" borderId="0" applyNumberFormat="0" applyBorder="0" applyAlignment="0" applyProtection="0"/>
    <xf numFmtId="0" fontId="36" fillId="3" borderId="0" applyNumberFormat="0" applyBorder="0" applyAlignment="0" applyProtection="0"/>
    <xf numFmtId="187" fontId="39" fillId="31" borderId="0" applyNumberFormat="0" applyBorder="0" applyAlignment="0" applyProtection="0"/>
    <xf numFmtId="184" fontId="39" fillId="31"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0"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0"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0"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0"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0"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6" fillId="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6" fillId="3"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3" fontId="36" fillId="3" borderId="0" applyNumberFormat="0" applyBorder="0" applyAlignment="0" applyProtection="0"/>
    <xf numFmtId="183"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0" fontId="36" fillId="3" borderId="0" applyNumberFormat="0" applyBorder="0" applyAlignment="0" applyProtection="0"/>
    <xf numFmtId="184" fontId="36" fillId="3" borderId="0" applyNumberFormat="0" applyBorder="0" applyAlignment="0" applyProtection="0"/>
    <xf numFmtId="184" fontId="36" fillId="3" borderId="0" applyNumberFormat="0" applyBorder="0" applyAlignment="0" applyProtection="0"/>
    <xf numFmtId="185" fontId="39" fillId="31" borderId="0" applyNumberFormat="0" applyBorder="0" applyAlignment="0" applyProtection="0"/>
    <xf numFmtId="183" fontId="39" fillId="31" borderId="0" applyNumberFormat="0" applyBorder="0" applyAlignment="0" applyProtection="0"/>
    <xf numFmtId="183"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5" fontId="39" fillId="31" borderId="0" applyNumberFormat="0" applyBorder="0" applyAlignment="0" applyProtection="0"/>
    <xf numFmtId="184" fontId="39" fillId="31" borderId="0" applyNumberFormat="0" applyBorder="0" applyAlignment="0" applyProtection="0"/>
    <xf numFmtId="184" fontId="39" fillId="31" borderId="0" applyNumberFormat="0" applyBorder="0" applyAlignment="0" applyProtection="0"/>
    <xf numFmtId="184" fontId="4" fillId="63" borderId="0" applyNumberFormat="0" applyBorder="0" applyAlignment="0" applyProtection="0"/>
    <xf numFmtId="182" fontId="4" fillId="63" borderId="0" applyNumberFormat="0" applyBorder="0" applyAlignment="0" applyProtection="0"/>
    <xf numFmtId="0" fontId="36" fillId="6" borderId="0" applyNumberFormat="0" applyBorder="0" applyAlignment="0" applyProtection="0"/>
    <xf numFmtId="187" fontId="39" fillId="74" borderId="0" applyNumberFormat="0" applyBorder="0" applyAlignment="0" applyProtection="0"/>
    <xf numFmtId="184" fontId="39" fillId="74" borderId="0" applyNumberFormat="0" applyBorder="0" applyAlignment="0" applyProtection="0"/>
    <xf numFmtId="184" fontId="36" fillId="6" borderId="0" applyNumberFormat="0" applyBorder="0" applyAlignment="0" applyProtection="0"/>
    <xf numFmtId="0" fontId="36" fillId="6" borderId="0" applyNumberFormat="0" applyBorder="0" applyAlignment="0" applyProtection="0"/>
    <xf numFmtId="0"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3" fontId="36" fillId="6" borderId="0" applyNumberFormat="0" applyBorder="0" applyAlignment="0" applyProtection="0"/>
    <xf numFmtId="183"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185" fontId="36" fillId="6" borderId="0" applyNumberFormat="0" applyBorder="0" applyAlignment="0" applyProtection="0"/>
    <xf numFmtId="183" fontId="36" fillId="6" borderId="0" applyNumberFormat="0" applyBorder="0" applyAlignment="0" applyProtection="0"/>
    <xf numFmtId="183"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185"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0"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0" fontId="39" fillId="74" borderId="0" applyNumberFormat="0" applyBorder="0" applyAlignment="0" applyProtection="0"/>
    <xf numFmtId="183" fontId="39" fillId="74" borderId="0" applyNumberFormat="0" applyBorder="0" applyAlignment="0" applyProtection="0"/>
    <xf numFmtId="183"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5" fontId="39" fillId="74" borderId="0" applyNumberFormat="0" applyBorder="0" applyAlignment="0" applyProtection="0"/>
    <xf numFmtId="183" fontId="39" fillId="74" borderId="0" applyNumberFormat="0" applyBorder="0" applyAlignment="0" applyProtection="0"/>
    <xf numFmtId="183"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5"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0"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5" fontId="39" fillId="74" borderId="0" applyNumberFormat="0" applyBorder="0" applyAlignment="0" applyProtection="0"/>
    <xf numFmtId="183" fontId="39" fillId="74" borderId="0" applyNumberFormat="0" applyBorder="0" applyAlignment="0" applyProtection="0"/>
    <xf numFmtId="183"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5"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0" fontId="39" fillId="74" borderId="0" applyNumberFormat="0" applyBorder="0" applyAlignment="0" applyProtection="0"/>
    <xf numFmtId="183" fontId="39" fillId="74" borderId="0" applyNumberFormat="0" applyBorder="0" applyAlignment="0" applyProtection="0"/>
    <xf numFmtId="183"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5" fontId="39" fillId="74" borderId="0" applyNumberFormat="0" applyBorder="0" applyAlignment="0" applyProtection="0"/>
    <xf numFmtId="183" fontId="39" fillId="74" borderId="0" applyNumberFormat="0" applyBorder="0" applyAlignment="0" applyProtection="0"/>
    <xf numFmtId="183"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5"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0"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3" fontId="39" fillId="74" borderId="0" applyNumberFormat="0" applyBorder="0" applyAlignment="0" applyProtection="0"/>
    <xf numFmtId="183"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3" fontId="36" fillId="6" borderId="0" applyNumberFormat="0" applyBorder="0" applyAlignment="0" applyProtection="0"/>
    <xf numFmtId="183"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185" fontId="36" fillId="6" borderId="0" applyNumberFormat="0" applyBorder="0" applyAlignment="0" applyProtection="0"/>
    <xf numFmtId="183" fontId="36" fillId="6" borderId="0" applyNumberFormat="0" applyBorder="0" applyAlignment="0" applyProtection="0"/>
    <xf numFmtId="183"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185"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0" fontId="36" fillId="6" borderId="0" applyNumberFormat="0" applyBorder="0" applyAlignment="0" applyProtection="0"/>
    <xf numFmtId="184" fontId="36" fillId="6" borderId="0" applyNumberFormat="0" applyBorder="0" applyAlignment="0" applyProtection="0"/>
    <xf numFmtId="0" fontId="36" fillId="6" borderId="0" applyNumberFormat="0" applyBorder="0" applyAlignment="0" applyProtection="0"/>
    <xf numFmtId="183" fontId="39" fillId="74" borderId="0" applyNumberFormat="0" applyBorder="0" applyAlignment="0" applyProtection="0"/>
    <xf numFmtId="183"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6" fillId="6"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6" fillId="6" borderId="0" applyNumberFormat="0" applyBorder="0" applyAlignment="0" applyProtection="0"/>
    <xf numFmtId="183" fontId="36" fillId="6" borderId="0" applyNumberFormat="0" applyBorder="0" applyAlignment="0" applyProtection="0"/>
    <xf numFmtId="183"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185" fontId="36" fillId="6" borderId="0" applyNumberFormat="0" applyBorder="0" applyAlignment="0" applyProtection="0"/>
    <xf numFmtId="183" fontId="36" fillId="6" borderId="0" applyNumberFormat="0" applyBorder="0" applyAlignment="0" applyProtection="0"/>
    <xf numFmtId="183"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185"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0" fontId="36" fillId="6" borderId="0" applyNumberFormat="0" applyBorder="0" applyAlignment="0" applyProtection="0"/>
    <xf numFmtId="184" fontId="36" fillId="6" borderId="0" applyNumberFormat="0" applyBorder="0" applyAlignment="0" applyProtection="0"/>
    <xf numFmtId="184" fontId="36" fillId="6" borderId="0" applyNumberFormat="0" applyBorder="0" applyAlignment="0" applyProtection="0"/>
    <xf numFmtId="185" fontId="39" fillId="74" borderId="0" applyNumberFormat="0" applyBorder="0" applyAlignment="0" applyProtection="0"/>
    <xf numFmtId="183" fontId="39" fillId="74" borderId="0" applyNumberFormat="0" applyBorder="0" applyAlignment="0" applyProtection="0"/>
    <xf numFmtId="183"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5" fontId="39" fillId="74" borderId="0" applyNumberFormat="0" applyBorder="0" applyAlignment="0" applyProtection="0"/>
    <xf numFmtId="184" fontId="39" fillId="74" borderId="0" applyNumberFormat="0" applyBorder="0" applyAlignment="0" applyProtection="0"/>
    <xf numFmtId="184" fontId="39" fillId="74" borderId="0" applyNumberFormat="0" applyBorder="0" applyAlignment="0" applyProtection="0"/>
    <xf numFmtId="184" fontId="4" fillId="67" borderId="0" applyNumberFormat="0" applyBorder="0" applyAlignment="0" applyProtection="0"/>
    <xf numFmtId="182" fontId="4" fillId="67" borderId="0" applyNumberFormat="0" applyBorder="0" applyAlignment="0" applyProtection="0"/>
    <xf numFmtId="0" fontId="37" fillId="76" borderId="0" applyNumberFormat="0" applyBorder="0" applyAlignment="0" applyProtection="0"/>
    <xf numFmtId="184" fontId="37" fillId="76" borderId="0" applyNumberFormat="0" applyBorder="0" applyAlignment="0" applyProtection="0"/>
    <xf numFmtId="0"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7" fillId="76" borderId="0" applyNumberFormat="0" applyBorder="0" applyAlignment="0" applyProtection="0"/>
    <xf numFmtId="184" fontId="37" fillId="76" borderId="0" applyNumberFormat="0" applyBorder="0" applyAlignment="0" applyProtection="0"/>
    <xf numFmtId="185" fontId="37" fillId="76" borderId="0" applyNumberFormat="0" applyBorder="0" applyAlignment="0" applyProtection="0"/>
    <xf numFmtId="183" fontId="37" fillId="76" borderId="0" applyNumberFormat="0" applyBorder="0" applyAlignment="0" applyProtection="0"/>
    <xf numFmtId="184" fontId="37" fillId="76" borderId="0" applyNumberFormat="0" applyBorder="0" applyAlignment="0" applyProtection="0"/>
    <xf numFmtId="184" fontId="37" fillId="76" borderId="0" applyNumberFormat="0" applyBorder="0" applyAlignment="0" applyProtection="0"/>
    <xf numFmtId="187" fontId="94" fillId="31" borderId="0" applyNumberFormat="0" applyBorder="0" applyAlignment="0" applyProtection="0"/>
    <xf numFmtId="0" fontId="37" fillId="76" borderId="0" applyNumberFormat="0" applyBorder="0" applyAlignment="0" applyProtection="0"/>
    <xf numFmtId="184" fontId="37" fillId="76" borderId="0" applyNumberFormat="0" applyBorder="0" applyAlignment="0" applyProtection="0"/>
    <xf numFmtId="184" fontId="94" fillId="31" borderId="0" applyNumberFormat="0" applyBorder="0" applyAlignment="0" applyProtection="0"/>
    <xf numFmtId="0" fontId="37" fillId="76"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7" fillId="76"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7" fillId="76" borderId="0" applyNumberFormat="0" applyBorder="0" applyAlignment="0" applyProtection="0"/>
    <xf numFmtId="183" fontId="37" fillId="76" borderId="0" applyNumberFormat="0" applyBorder="0" applyAlignment="0" applyProtection="0"/>
    <xf numFmtId="184" fontId="37" fillId="76" borderId="0" applyNumberFormat="0" applyBorder="0" applyAlignment="0" applyProtection="0"/>
    <xf numFmtId="185" fontId="37" fillId="76" borderId="0" applyNumberFormat="0" applyBorder="0" applyAlignment="0" applyProtection="0"/>
    <xf numFmtId="183" fontId="37" fillId="76" borderId="0" applyNumberFormat="0" applyBorder="0" applyAlignment="0" applyProtection="0"/>
    <xf numFmtId="184" fontId="37" fillId="76" borderId="0" applyNumberFormat="0" applyBorder="0" applyAlignment="0" applyProtection="0"/>
    <xf numFmtId="184" fontId="37" fillId="76" borderId="0" applyNumberFormat="0" applyBorder="0" applyAlignment="0" applyProtection="0"/>
    <xf numFmtId="184" fontId="37" fillId="76"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48" borderId="0" applyNumberFormat="0" applyBorder="0" applyAlignment="0" applyProtection="0"/>
    <xf numFmtId="182" fontId="88" fillId="48"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7" fontId="94"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94" fillId="4" borderId="0" applyNumberFormat="0" applyBorder="0" applyAlignment="0" applyProtection="0"/>
    <xf numFmtId="0" fontId="37"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7"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88" fillId="52" borderId="0" applyNumberFormat="0" applyBorder="0" applyAlignment="0" applyProtection="0"/>
    <xf numFmtId="182" fontId="88" fillId="52"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7" fontId="94" fillId="1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94" fillId="15" borderId="0" applyNumberFormat="0" applyBorder="0" applyAlignment="0" applyProtection="0"/>
    <xf numFmtId="0" fontId="37" fillId="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7" fillId="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88" fillId="56" borderId="0" applyNumberFormat="0" applyBorder="0" applyAlignment="0" applyProtection="0"/>
    <xf numFmtId="182" fontId="88" fillId="56" borderId="0" applyNumberFormat="0" applyBorder="0" applyAlignment="0" applyProtection="0"/>
    <xf numFmtId="0" fontId="37" fillId="77" borderId="0" applyNumberFormat="0" applyBorder="0" applyAlignment="0" applyProtection="0"/>
    <xf numFmtId="184" fontId="37" fillId="77" borderId="0" applyNumberFormat="0" applyBorder="0" applyAlignment="0" applyProtection="0"/>
    <xf numFmtId="0"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7" fontId="94" fillId="75" borderId="0" applyNumberFormat="0" applyBorder="0" applyAlignment="0" applyProtection="0"/>
    <xf numFmtId="0" fontId="37" fillId="77" borderId="0" applyNumberFormat="0" applyBorder="0" applyAlignment="0" applyProtection="0"/>
    <xf numFmtId="184" fontId="37" fillId="77" borderId="0" applyNumberFormat="0" applyBorder="0" applyAlignment="0" applyProtection="0"/>
    <xf numFmtId="184" fontId="94" fillId="75" borderId="0" applyNumberFormat="0" applyBorder="0" applyAlignment="0" applyProtection="0"/>
    <xf numFmtId="0" fontId="37" fillId="77"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7" fillId="77"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88" fillId="60" borderId="0" applyNumberFormat="0" applyBorder="0" applyAlignment="0" applyProtection="0"/>
    <xf numFmtId="182" fontId="88" fillId="60" borderId="0" applyNumberFormat="0" applyBorder="0" applyAlignment="0" applyProtection="0"/>
    <xf numFmtId="0" fontId="37" fillId="78" borderId="0" applyNumberFormat="0" applyBorder="0" applyAlignment="0" applyProtection="0"/>
    <xf numFmtId="184" fontId="37" fillId="78" borderId="0" applyNumberFormat="0" applyBorder="0" applyAlignment="0" applyProtection="0"/>
    <xf numFmtId="0"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7" fontId="94" fillId="31" borderId="0" applyNumberFormat="0" applyBorder="0" applyAlignment="0" applyProtection="0"/>
    <xf numFmtId="0" fontId="37" fillId="78" borderId="0" applyNumberFormat="0" applyBorder="0" applyAlignment="0" applyProtection="0"/>
    <xf numFmtId="184" fontId="37" fillId="78" borderId="0" applyNumberFormat="0" applyBorder="0" applyAlignment="0" applyProtection="0"/>
    <xf numFmtId="184" fontId="94" fillId="31" borderId="0" applyNumberFormat="0" applyBorder="0" applyAlignment="0" applyProtection="0"/>
    <xf numFmtId="0" fontId="37" fillId="78"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7" fillId="78"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64" borderId="0" applyNumberFormat="0" applyBorder="0" applyAlignment="0" applyProtection="0"/>
    <xf numFmtId="182" fontId="88" fillId="64" borderId="0" applyNumberFormat="0" applyBorder="0" applyAlignment="0" applyProtection="0"/>
    <xf numFmtId="0" fontId="37" fillId="7" borderId="0" applyNumberFormat="0" applyBorder="0" applyAlignment="0" applyProtection="0"/>
    <xf numFmtId="184" fontId="37" fillId="7" borderId="0" applyNumberFormat="0" applyBorder="0" applyAlignment="0" applyProtection="0"/>
    <xf numFmtId="0"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37" fillId="7" borderId="0" applyNumberFormat="0" applyBorder="0" applyAlignment="0" applyProtection="0"/>
    <xf numFmtId="184" fontId="37" fillId="7" borderId="0" applyNumberFormat="0" applyBorder="0" applyAlignment="0" applyProtection="0"/>
    <xf numFmtId="185" fontId="37" fillId="7" borderId="0" applyNumberFormat="0" applyBorder="0" applyAlignment="0" applyProtection="0"/>
    <xf numFmtId="183" fontId="37" fillId="7" borderId="0" applyNumberFormat="0" applyBorder="0" applyAlignment="0" applyProtection="0"/>
    <xf numFmtId="184" fontId="37" fillId="7" borderId="0" applyNumberFormat="0" applyBorder="0" applyAlignment="0" applyProtection="0"/>
    <xf numFmtId="184" fontId="37" fillId="7" borderId="0" applyNumberFormat="0" applyBorder="0" applyAlignment="0" applyProtection="0"/>
    <xf numFmtId="187" fontId="94" fillId="74" borderId="0" applyNumberFormat="0" applyBorder="0" applyAlignment="0" applyProtection="0"/>
    <xf numFmtId="0" fontId="37" fillId="7" borderId="0" applyNumberFormat="0" applyBorder="0" applyAlignment="0" applyProtection="0"/>
    <xf numFmtId="184" fontId="37" fillId="7" borderId="0" applyNumberFormat="0" applyBorder="0" applyAlignment="0" applyProtection="0"/>
    <xf numFmtId="184" fontId="94" fillId="74" borderId="0" applyNumberFormat="0" applyBorder="0" applyAlignment="0" applyProtection="0"/>
    <xf numFmtId="0" fontId="37" fillId="7"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7" fillId="7"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7" fillId="7" borderId="0" applyNumberFormat="0" applyBorder="0" applyAlignment="0" applyProtection="0"/>
    <xf numFmtId="183" fontId="37" fillId="7" borderId="0" applyNumberFormat="0" applyBorder="0" applyAlignment="0" applyProtection="0"/>
    <xf numFmtId="184" fontId="37" fillId="7" borderId="0" applyNumberFormat="0" applyBorder="0" applyAlignment="0" applyProtection="0"/>
    <xf numFmtId="185" fontId="37" fillId="7" borderId="0" applyNumberFormat="0" applyBorder="0" applyAlignment="0" applyProtection="0"/>
    <xf numFmtId="183" fontId="37" fillId="7" borderId="0" applyNumberFormat="0" applyBorder="0" applyAlignment="0" applyProtection="0"/>
    <xf numFmtId="184" fontId="37" fillId="7" borderId="0" applyNumberFormat="0" applyBorder="0" applyAlignment="0" applyProtection="0"/>
    <xf numFmtId="184" fontId="37" fillId="7" borderId="0" applyNumberFormat="0" applyBorder="0" applyAlignment="0" applyProtection="0"/>
    <xf numFmtId="184" fontId="37" fillId="7"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88" fillId="68" borderId="0" applyNumberFormat="0" applyBorder="0" applyAlignment="0" applyProtection="0"/>
    <xf numFmtId="182" fontId="88" fillId="68" borderId="0" applyNumberFormat="0" applyBorder="0" applyAlignment="0" applyProtection="0"/>
    <xf numFmtId="184" fontId="36" fillId="8" borderId="0" applyNumberFormat="0" applyBorder="0" applyAlignment="0" applyProtection="0"/>
    <xf numFmtId="182" fontId="36" fillId="79" borderId="0" applyNumberFormat="0" applyBorder="0" applyAlignment="0" applyProtection="0"/>
    <xf numFmtId="0" fontId="36" fillId="8" borderId="0" applyNumberFormat="0" applyBorder="0" applyAlignment="0" applyProtection="0"/>
    <xf numFmtId="183" fontId="36" fillId="8" borderId="0" applyNumberFormat="0" applyBorder="0" applyAlignment="0" applyProtection="0"/>
    <xf numFmtId="183"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5" fontId="36" fillId="8" borderId="0" applyNumberFormat="0" applyBorder="0" applyAlignment="0" applyProtection="0"/>
    <xf numFmtId="183" fontId="36" fillId="8" borderId="0" applyNumberFormat="0" applyBorder="0" applyAlignment="0" applyProtection="0"/>
    <xf numFmtId="183"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5"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0" fontId="36" fillId="79" borderId="0" applyNumberFormat="0" applyBorder="0" applyAlignment="0" applyProtection="0"/>
    <xf numFmtId="183" fontId="36" fillId="79" borderId="0" applyNumberFormat="0" applyBorder="0" applyAlignment="0" applyProtection="0"/>
    <xf numFmtId="183" fontId="36" fillId="79" borderId="0" applyNumberFormat="0" applyBorder="0" applyAlignment="0" applyProtection="0"/>
    <xf numFmtId="184" fontId="36" fillId="79" borderId="0" applyNumberFormat="0" applyBorder="0" applyAlignment="0" applyProtection="0"/>
    <xf numFmtId="184" fontId="36" fillId="79" borderId="0" applyNumberFormat="0" applyBorder="0" applyAlignment="0" applyProtection="0"/>
    <xf numFmtId="0" fontId="36" fillId="79" borderId="0" applyNumberFormat="0" applyBorder="0" applyAlignment="0" applyProtection="0"/>
    <xf numFmtId="184" fontId="36" fillId="79" borderId="0" applyNumberFormat="0" applyBorder="0" applyAlignment="0" applyProtection="0"/>
    <xf numFmtId="184" fontId="36" fillId="79"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187"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5" fontId="36" fillId="8" borderId="0" applyNumberFormat="0" applyBorder="0" applyAlignment="0" applyProtection="0"/>
    <xf numFmtId="183" fontId="36" fillId="8" borderId="0" applyNumberFormat="0" applyBorder="0" applyAlignment="0" applyProtection="0"/>
    <xf numFmtId="183"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5"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3" fontId="36" fillId="8" borderId="0" applyNumberFormat="0" applyBorder="0" applyAlignment="0" applyProtection="0"/>
    <xf numFmtId="183"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187" fontId="36" fillId="8" borderId="0" applyNumberFormat="0" applyBorder="0" applyAlignment="0" applyProtection="0"/>
    <xf numFmtId="184" fontId="36" fillId="8"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184" fontId="36" fillId="9" borderId="0" applyNumberFormat="0" applyBorder="0" applyAlignment="0" applyProtection="0"/>
    <xf numFmtId="182" fontId="36" fillId="18" borderId="0" applyNumberFormat="0" applyBorder="0" applyAlignment="0" applyProtection="0"/>
    <xf numFmtId="0" fontId="36" fillId="9" borderId="0" applyNumberFormat="0" applyBorder="0" applyAlignment="0" applyProtection="0"/>
    <xf numFmtId="183" fontId="36" fillId="9" borderId="0" applyNumberFormat="0" applyBorder="0" applyAlignment="0" applyProtection="0"/>
    <xf numFmtId="183"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5" fontId="36" fillId="9" borderId="0" applyNumberFormat="0" applyBorder="0" applyAlignment="0" applyProtection="0"/>
    <xf numFmtId="183" fontId="36" fillId="9" borderId="0" applyNumberFormat="0" applyBorder="0" applyAlignment="0" applyProtection="0"/>
    <xf numFmtId="183"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5"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0" fontId="36" fillId="18" borderId="0" applyNumberFormat="0" applyBorder="0" applyAlignment="0" applyProtection="0"/>
    <xf numFmtId="183" fontId="36" fillId="18" borderId="0" applyNumberFormat="0" applyBorder="0" applyAlignment="0" applyProtection="0"/>
    <xf numFmtId="183"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0"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0" fontId="36" fillId="9" borderId="0" applyNumberFormat="0" applyBorder="0" applyAlignment="0" applyProtection="0"/>
    <xf numFmtId="184" fontId="36" fillId="9" borderId="0" applyNumberFormat="0" applyBorder="0" applyAlignment="0" applyProtection="0"/>
    <xf numFmtId="187"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5" fontId="36" fillId="9" borderId="0" applyNumberFormat="0" applyBorder="0" applyAlignment="0" applyProtection="0"/>
    <xf numFmtId="183" fontId="36" fillId="9" borderId="0" applyNumberFormat="0" applyBorder="0" applyAlignment="0" applyProtection="0"/>
    <xf numFmtId="183"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5"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3" fontId="36" fillId="9" borderId="0" applyNumberFormat="0" applyBorder="0" applyAlignment="0" applyProtection="0"/>
    <xf numFmtId="183"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0" fontId="36" fillId="9" borderId="0" applyNumberFormat="0" applyBorder="0" applyAlignment="0" applyProtection="0"/>
    <xf numFmtId="184" fontId="36" fillId="9" borderId="0" applyNumberFormat="0" applyBorder="0" applyAlignment="0" applyProtection="0"/>
    <xf numFmtId="187" fontId="36" fillId="9" borderId="0" applyNumberFormat="0" applyBorder="0" applyAlignment="0" applyProtection="0"/>
    <xf numFmtId="184" fontId="36" fillId="9" borderId="0" applyNumberFormat="0" applyBorder="0" applyAlignment="0" applyProtection="0"/>
    <xf numFmtId="0" fontId="36" fillId="9" borderId="0" applyNumberFormat="0" applyBorder="0" applyAlignment="0" applyProtection="0"/>
    <xf numFmtId="184" fontId="36" fillId="9" borderId="0" applyNumberFormat="0" applyBorder="0" applyAlignment="0" applyProtection="0"/>
    <xf numFmtId="0" fontId="36" fillId="9" borderId="0" applyNumberFormat="0" applyBorder="0" applyAlignment="0" applyProtection="0"/>
    <xf numFmtId="184" fontId="36" fillId="9" borderId="0" applyNumberFormat="0" applyBorder="0" applyAlignment="0" applyProtection="0"/>
    <xf numFmtId="182" fontId="37" fillId="80" borderId="0" applyNumberFormat="0" applyBorder="0" applyAlignment="0" applyProtection="0"/>
    <xf numFmtId="0" fontId="37" fillId="10" borderId="0" applyNumberFormat="0" applyBorder="0" applyAlignment="0" applyProtection="0"/>
    <xf numFmtId="183" fontId="37" fillId="10" borderId="0" applyNumberFormat="0" applyBorder="0" applyAlignment="0" applyProtection="0"/>
    <xf numFmtId="184" fontId="37" fillId="10" borderId="0" applyNumberFormat="0" applyBorder="0" applyAlignment="0" applyProtection="0"/>
    <xf numFmtId="185" fontId="37" fillId="10" borderId="0" applyNumberFormat="0" applyBorder="0" applyAlignment="0" applyProtection="0"/>
    <xf numFmtId="183" fontId="37" fillId="10" borderId="0" applyNumberFormat="0" applyBorder="0" applyAlignment="0" applyProtection="0"/>
    <xf numFmtId="184" fontId="37" fillId="10" borderId="0" applyNumberFormat="0" applyBorder="0" applyAlignment="0" applyProtection="0"/>
    <xf numFmtId="184" fontId="37" fillId="10"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4" fontId="37" fillId="10" borderId="0" applyNumberFormat="0" applyBorder="0" applyAlignment="0" applyProtection="0"/>
    <xf numFmtId="185" fontId="37" fillId="10" borderId="0" applyNumberFormat="0" applyBorder="0" applyAlignment="0" applyProtection="0"/>
    <xf numFmtId="183" fontId="37" fillId="10" borderId="0" applyNumberFormat="0" applyBorder="0" applyAlignment="0" applyProtection="0"/>
    <xf numFmtId="184" fontId="37" fillId="10" borderId="0" applyNumberFormat="0" applyBorder="0" applyAlignment="0" applyProtection="0"/>
    <xf numFmtId="184" fontId="37" fillId="10" borderId="0" applyNumberFormat="0" applyBorder="0" applyAlignment="0" applyProtection="0"/>
    <xf numFmtId="183" fontId="37" fillId="10" borderId="0" applyNumberFormat="0" applyBorder="0" applyAlignment="0" applyProtection="0"/>
    <xf numFmtId="184" fontId="37" fillId="10" borderId="0" applyNumberFormat="0" applyBorder="0" applyAlignment="0" applyProtection="0"/>
    <xf numFmtId="0" fontId="37" fillId="10" borderId="0" applyNumberFormat="0" applyBorder="0" applyAlignment="0" applyProtection="0"/>
    <xf numFmtId="184" fontId="37" fillId="10" borderId="0" applyNumberFormat="0" applyBorder="0" applyAlignment="0" applyProtection="0"/>
    <xf numFmtId="187" fontId="37" fillId="10" borderId="0" applyNumberFormat="0" applyBorder="0" applyAlignment="0" applyProtection="0"/>
    <xf numFmtId="0" fontId="37" fillId="10" borderId="0" applyNumberFormat="0" applyBorder="0" applyAlignment="0" applyProtection="0"/>
    <xf numFmtId="184" fontId="37" fillId="10" borderId="0" applyNumberFormat="0" applyBorder="0" applyAlignment="0" applyProtection="0"/>
    <xf numFmtId="184" fontId="37" fillId="10" borderId="0" applyNumberFormat="0" applyBorder="0" applyAlignment="0" applyProtection="0"/>
    <xf numFmtId="0" fontId="37" fillId="10" borderId="0" applyNumberFormat="0" applyBorder="0" applyAlignment="0" applyProtection="0"/>
    <xf numFmtId="184" fontId="37" fillId="10" borderId="0" applyNumberFormat="0" applyBorder="0" applyAlignment="0" applyProtection="0"/>
    <xf numFmtId="0" fontId="37" fillId="10" borderId="0" applyNumberFormat="0" applyBorder="0" applyAlignment="0" applyProtection="0"/>
    <xf numFmtId="184" fontId="37" fillId="10" borderId="0" applyNumberFormat="0" applyBorder="0" applyAlignment="0" applyProtection="0"/>
    <xf numFmtId="184" fontId="37" fillId="10"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0" fontId="88" fillId="45" borderId="0" applyNumberFormat="0" applyBorder="0" applyAlignment="0" applyProtection="0"/>
    <xf numFmtId="184" fontId="88" fillId="45"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4" fontId="37" fillId="81" borderId="0" applyNumberFormat="0" applyBorder="0" applyAlignment="0" applyProtection="0"/>
    <xf numFmtId="184"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2" fontId="37" fillId="81"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7" fontId="37" fillId="81" borderId="0" applyNumberFormat="0" applyBorder="0" applyAlignment="0" applyProtection="0"/>
    <xf numFmtId="0" fontId="37" fillId="82" borderId="0" applyNumberFormat="0" applyBorder="0" applyAlignment="0" applyProtection="0"/>
    <xf numFmtId="184" fontId="37" fillId="82"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7" fontId="37" fillId="81" borderId="0" applyNumberFormat="0" applyBorder="0" applyAlignment="0" applyProtection="0"/>
    <xf numFmtId="0" fontId="37" fillId="82" borderId="0" applyNumberFormat="0" applyBorder="0" applyAlignment="0" applyProtection="0"/>
    <xf numFmtId="184" fontId="37" fillId="82"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7"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2"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5"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5" fontId="37" fillId="81" borderId="0" applyNumberFormat="0" applyBorder="0" applyAlignment="0" applyProtection="0"/>
    <xf numFmtId="0"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5"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185" fontId="37" fillId="81" borderId="0" applyNumberFormat="0" applyBorder="0" applyAlignment="0" applyProtection="0"/>
    <xf numFmtId="183" fontId="37" fillId="81" borderId="0" applyNumberFormat="0" applyBorder="0" applyAlignment="0" applyProtection="0"/>
    <xf numFmtId="184" fontId="37" fillId="81" borderId="0" applyNumberFormat="0" applyBorder="0" applyAlignment="0" applyProtection="0"/>
    <xf numFmtId="184" fontId="37" fillId="81"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0" fontId="37" fillId="82" borderId="0" applyNumberFormat="0" applyBorder="0" applyAlignment="0" applyProtection="0"/>
    <xf numFmtId="183" fontId="37" fillId="82" borderId="0" applyNumberFormat="0" applyBorder="0" applyAlignment="0" applyProtection="0"/>
    <xf numFmtId="184" fontId="37" fillId="82" borderId="0" applyNumberFormat="0" applyBorder="0" applyAlignment="0" applyProtection="0"/>
    <xf numFmtId="184" fontId="37" fillId="82" borderId="0" applyNumberFormat="0" applyBorder="0" applyAlignment="0" applyProtection="0"/>
    <xf numFmtId="184" fontId="36" fillId="12" borderId="0" applyNumberFormat="0" applyBorder="0" applyAlignment="0" applyProtection="0"/>
    <xf numFmtId="182" fontId="36" fillId="83" borderId="0" applyNumberFormat="0" applyBorder="0" applyAlignment="0" applyProtection="0"/>
    <xf numFmtId="0" fontId="36" fillId="12" borderId="0" applyNumberFormat="0" applyBorder="0" applyAlignment="0" applyProtection="0"/>
    <xf numFmtId="183" fontId="36" fillId="12" borderId="0" applyNumberFormat="0" applyBorder="0" applyAlignment="0" applyProtection="0"/>
    <xf numFmtId="183" fontId="36" fillId="12" borderId="0" applyNumberFormat="0" applyBorder="0" applyAlignment="0" applyProtection="0"/>
    <xf numFmtId="184" fontId="36" fillId="12" borderId="0" applyNumberFormat="0" applyBorder="0" applyAlignment="0" applyProtection="0"/>
    <xf numFmtId="184" fontId="36" fillId="12" borderId="0" applyNumberFormat="0" applyBorder="0" applyAlignment="0" applyProtection="0"/>
    <xf numFmtId="185" fontId="36" fillId="12" borderId="0" applyNumberFormat="0" applyBorder="0" applyAlignment="0" applyProtection="0"/>
    <xf numFmtId="183" fontId="36" fillId="12" borderId="0" applyNumberFormat="0" applyBorder="0" applyAlignment="0" applyProtection="0"/>
    <xf numFmtId="183" fontId="36" fillId="12" borderId="0" applyNumberFormat="0" applyBorder="0" applyAlignment="0" applyProtection="0"/>
    <xf numFmtId="184" fontId="36" fillId="12" borderId="0" applyNumberFormat="0" applyBorder="0" applyAlignment="0" applyProtection="0"/>
    <xf numFmtId="184" fontId="36" fillId="12" borderId="0" applyNumberFormat="0" applyBorder="0" applyAlignment="0" applyProtection="0"/>
    <xf numFmtId="185" fontId="36" fillId="12" borderId="0" applyNumberFormat="0" applyBorder="0" applyAlignment="0" applyProtection="0"/>
    <xf numFmtId="184" fontId="36" fillId="12" borderId="0" applyNumberFormat="0" applyBorder="0" applyAlignment="0" applyProtection="0"/>
    <xf numFmtId="184" fontId="36" fillId="12" borderId="0" applyNumberFormat="0" applyBorder="0" applyAlignment="0" applyProtection="0"/>
    <xf numFmtId="0" fontId="36" fillId="83" borderId="0" applyNumberFormat="0" applyBorder="0" applyAlignment="0" applyProtection="0"/>
    <xf numFmtId="183" fontId="36" fillId="83" borderId="0" applyNumberFormat="0" applyBorder="0" applyAlignment="0" applyProtection="0"/>
    <xf numFmtId="183" fontId="36" fillId="83" borderId="0" applyNumberFormat="0" applyBorder="0" applyAlignment="0" applyProtection="0"/>
    <xf numFmtId="184" fontId="36" fillId="83" borderId="0" applyNumberFormat="0" applyBorder="0" applyAlignment="0" applyProtection="0"/>
    <xf numFmtId="184" fontId="36" fillId="83" borderId="0" applyNumberFormat="0" applyBorder="0" applyAlignment="0" applyProtection="0"/>
    <xf numFmtId="0" fontId="36" fillId="83" borderId="0" applyNumberFormat="0" applyBorder="0" applyAlignment="0" applyProtection="0"/>
    <xf numFmtId="184" fontId="36" fillId="83" borderId="0" applyNumberFormat="0" applyBorder="0" applyAlignment="0" applyProtection="0"/>
    <xf numFmtId="184" fontId="36" fillId="83" borderId="0" applyNumberFormat="0" applyBorder="0" applyAlignment="0" applyProtection="0"/>
    <xf numFmtId="0" fontId="36" fillId="12" borderId="0" applyNumberFormat="0" applyBorder="0" applyAlignment="0" applyProtection="0"/>
    <xf numFmtId="184" fontId="36" fillId="12" borderId="0" applyNumberFormat="0" applyBorder="0" applyAlignment="0" applyProtection="0"/>
    <xf numFmtId="187" fontId="36" fillId="12" borderId="0" applyNumberFormat="0" applyBorder="0" applyAlignment="0" applyProtection="0"/>
    <xf numFmtId="184" fontId="36" fillId="12" borderId="0" applyNumberFormat="0" applyBorder="0" applyAlignment="0" applyProtection="0"/>
    <xf numFmtId="184" fontId="36" fillId="12" borderId="0" applyNumberFormat="0" applyBorder="0" applyAlignment="0" applyProtection="0"/>
    <xf numFmtId="185" fontId="36" fillId="12" borderId="0" applyNumberFormat="0" applyBorder="0" applyAlignment="0" applyProtection="0"/>
    <xf numFmtId="183" fontId="36" fillId="12" borderId="0" applyNumberFormat="0" applyBorder="0" applyAlignment="0" applyProtection="0"/>
    <xf numFmtId="183" fontId="36" fillId="12" borderId="0" applyNumberFormat="0" applyBorder="0" applyAlignment="0" applyProtection="0"/>
    <xf numFmtId="184" fontId="36" fillId="12" borderId="0" applyNumberFormat="0" applyBorder="0" applyAlignment="0" applyProtection="0"/>
    <xf numFmtId="184" fontId="36" fillId="12" borderId="0" applyNumberFormat="0" applyBorder="0" applyAlignment="0" applyProtection="0"/>
    <xf numFmtId="185" fontId="36" fillId="12" borderId="0" applyNumberFormat="0" applyBorder="0" applyAlignment="0" applyProtection="0"/>
    <xf numFmtId="184" fontId="36" fillId="12" borderId="0" applyNumberFormat="0" applyBorder="0" applyAlignment="0" applyProtection="0"/>
    <xf numFmtId="184" fontId="36" fillId="12" borderId="0" applyNumberFormat="0" applyBorder="0" applyAlignment="0" applyProtection="0"/>
    <xf numFmtId="183" fontId="36" fillId="12" borderId="0" applyNumberFormat="0" applyBorder="0" applyAlignment="0" applyProtection="0"/>
    <xf numFmtId="183" fontId="36" fillId="12" borderId="0" applyNumberFormat="0" applyBorder="0" applyAlignment="0" applyProtection="0"/>
    <xf numFmtId="184" fontId="36" fillId="12" borderId="0" applyNumberFormat="0" applyBorder="0" applyAlignment="0" applyProtection="0"/>
    <xf numFmtId="184"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184" fontId="36" fillId="12" borderId="0" applyNumberFormat="0" applyBorder="0" applyAlignment="0" applyProtection="0"/>
    <xf numFmtId="184" fontId="36" fillId="12" borderId="0" applyNumberFormat="0" applyBorder="0" applyAlignment="0" applyProtection="0"/>
    <xf numFmtId="0" fontId="36" fillId="12" borderId="0" applyNumberFormat="0" applyBorder="0" applyAlignment="0" applyProtection="0"/>
    <xf numFmtId="184" fontId="36" fillId="12" borderId="0" applyNumberFormat="0" applyBorder="0" applyAlignment="0" applyProtection="0"/>
    <xf numFmtId="187" fontId="36" fillId="12" borderId="0" applyNumberFormat="0" applyBorder="0" applyAlignment="0" applyProtection="0"/>
    <xf numFmtId="184" fontId="36" fillId="12" borderId="0" applyNumberFormat="0" applyBorder="0" applyAlignment="0" applyProtection="0"/>
    <xf numFmtId="0" fontId="36" fillId="12" borderId="0" applyNumberFormat="0" applyBorder="0" applyAlignment="0" applyProtection="0"/>
    <xf numFmtId="184" fontId="36" fillId="12" borderId="0" applyNumberFormat="0" applyBorder="0" applyAlignment="0" applyProtection="0"/>
    <xf numFmtId="0" fontId="36" fillId="12" borderId="0" applyNumberFormat="0" applyBorder="0" applyAlignment="0" applyProtection="0"/>
    <xf numFmtId="184" fontId="36" fillId="12" borderId="0" applyNumberFormat="0" applyBorder="0" applyAlignment="0" applyProtection="0"/>
    <xf numFmtId="184" fontId="36" fillId="13" borderId="0" applyNumberFormat="0" applyBorder="0" applyAlignment="0" applyProtection="0"/>
    <xf numFmtId="182" fontId="36" fillId="17" borderId="0" applyNumberFormat="0" applyBorder="0" applyAlignment="0" applyProtection="0"/>
    <xf numFmtId="0" fontId="36" fillId="13" borderId="0" applyNumberFormat="0" applyBorder="0" applyAlignment="0" applyProtection="0"/>
    <xf numFmtId="183" fontId="36" fillId="13" borderId="0" applyNumberFormat="0" applyBorder="0" applyAlignment="0" applyProtection="0"/>
    <xf numFmtId="183"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5" fontId="36" fillId="13" borderId="0" applyNumberFormat="0" applyBorder="0" applyAlignment="0" applyProtection="0"/>
    <xf numFmtId="183" fontId="36" fillId="13" borderId="0" applyNumberFormat="0" applyBorder="0" applyAlignment="0" applyProtection="0"/>
    <xf numFmtId="183"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5"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0" fontId="36" fillId="17" borderId="0" applyNumberFormat="0" applyBorder="0" applyAlignment="0" applyProtection="0"/>
    <xf numFmtId="183" fontId="36" fillId="17" borderId="0" applyNumberFormat="0" applyBorder="0" applyAlignment="0" applyProtection="0"/>
    <xf numFmtId="183"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187"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5" fontId="36" fillId="13" borderId="0" applyNumberFormat="0" applyBorder="0" applyAlignment="0" applyProtection="0"/>
    <xf numFmtId="183" fontId="36" fillId="13" borderId="0" applyNumberFormat="0" applyBorder="0" applyAlignment="0" applyProtection="0"/>
    <xf numFmtId="183"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5"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3" fontId="36" fillId="13" borderId="0" applyNumberFormat="0" applyBorder="0" applyAlignment="0" applyProtection="0"/>
    <xf numFmtId="183"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187" fontId="36" fillId="13" borderId="0" applyNumberFormat="0" applyBorder="0" applyAlignment="0" applyProtection="0"/>
    <xf numFmtId="184" fontId="36" fillId="13"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182" fontId="37" fillId="13"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7"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0" fontId="88" fillId="49" borderId="0" applyNumberFormat="0" applyBorder="0" applyAlignment="0" applyProtection="0"/>
    <xf numFmtId="184" fontId="88" fillId="49"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4" fontId="37" fillId="84" borderId="0" applyNumberFormat="0" applyBorder="0" applyAlignment="0" applyProtection="0"/>
    <xf numFmtId="184"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2" fontId="37" fillId="84"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7" fontId="37" fillId="84" borderId="0" applyNumberFormat="0" applyBorder="0" applyAlignment="0" applyProtection="0"/>
    <xf numFmtId="0" fontId="37" fillId="11" borderId="0" applyNumberFormat="0" applyBorder="0" applyAlignment="0" applyProtection="0"/>
    <xf numFmtId="184" fontId="37" fillId="11"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7" fontId="37" fillId="84" borderId="0" applyNumberFormat="0" applyBorder="0" applyAlignment="0" applyProtection="0"/>
    <xf numFmtId="0" fontId="37" fillId="11" borderId="0" applyNumberFormat="0" applyBorder="0" applyAlignment="0" applyProtection="0"/>
    <xf numFmtId="184" fontId="37" fillId="11"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7"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2"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5"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5" fontId="37" fillId="84" borderId="0" applyNumberFormat="0" applyBorder="0" applyAlignment="0" applyProtection="0"/>
    <xf numFmtId="0"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5"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185" fontId="37" fillId="84" borderId="0" applyNumberFormat="0" applyBorder="0" applyAlignment="0" applyProtection="0"/>
    <xf numFmtId="183" fontId="37" fillId="84" borderId="0" applyNumberFormat="0" applyBorder="0" applyAlignment="0" applyProtection="0"/>
    <xf numFmtId="184" fontId="37" fillId="84" borderId="0" applyNumberFormat="0" applyBorder="0" applyAlignment="0" applyProtection="0"/>
    <xf numFmtId="184" fontId="37" fillId="84"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0" fontId="37" fillId="11" borderId="0" applyNumberFormat="0" applyBorder="0" applyAlignment="0" applyProtection="0"/>
    <xf numFmtId="183" fontId="37" fillId="11" borderId="0" applyNumberFormat="0" applyBorder="0" applyAlignment="0" applyProtection="0"/>
    <xf numFmtId="184" fontId="37" fillId="11" borderId="0" applyNumberFormat="0" applyBorder="0" applyAlignment="0" applyProtection="0"/>
    <xf numFmtId="184" fontId="37" fillId="11" borderId="0" applyNumberFormat="0" applyBorder="0" applyAlignment="0" applyProtection="0"/>
    <xf numFmtId="184" fontId="36" fillId="16" borderId="0" applyNumberFormat="0" applyBorder="0" applyAlignment="0" applyProtection="0"/>
    <xf numFmtId="182" fontId="36" fillId="85" borderId="0" applyNumberFormat="0" applyBorder="0" applyAlignment="0" applyProtection="0"/>
    <xf numFmtId="0" fontId="36" fillId="16" borderId="0" applyNumberFormat="0" applyBorder="0" applyAlignment="0" applyProtection="0"/>
    <xf numFmtId="183" fontId="36" fillId="16" borderId="0" applyNumberFormat="0" applyBorder="0" applyAlignment="0" applyProtection="0"/>
    <xf numFmtId="183"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185" fontId="36" fillId="16" borderId="0" applyNumberFormat="0" applyBorder="0" applyAlignment="0" applyProtection="0"/>
    <xf numFmtId="183" fontId="36" fillId="16" borderId="0" applyNumberFormat="0" applyBorder="0" applyAlignment="0" applyProtection="0"/>
    <xf numFmtId="183"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185"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0" fontId="36" fillId="85" borderId="0" applyNumberFormat="0" applyBorder="0" applyAlignment="0" applyProtection="0"/>
    <xf numFmtId="183" fontId="36" fillId="85" borderId="0" applyNumberFormat="0" applyBorder="0" applyAlignment="0" applyProtection="0"/>
    <xf numFmtId="183" fontId="36" fillId="85" borderId="0" applyNumberFormat="0" applyBorder="0" applyAlignment="0" applyProtection="0"/>
    <xf numFmtId="184" fontId="36" fillId="85" borderId="0" applyNumberFormat="0" applyBorder="0" applyAlignment="0" applyProtection="0"/>
    <xf numFmtId="184" fontId="36" fillId="85" borderId="0" applyNumberFormat="0" applyBorder="0" applyAlignment="0" applyProtection="0"/>
    <xf numFmtId="0" fontId="36" fillId="85" borderId="0" applyNumberFormat="0" applyBorder="0" applyAlignment="0" applyProtection="0"/>
    <xf numFmtId="184" fontId="36" fillId="85" borderId="0" applyNumberFormat="0" applyBorder="0" applyAlignment="0" applyProtection="0"/>
    <xf numFmtId="184" fontId="36" fillId="85" borderId="0" applyNumberFormat="0" applyBorder="0" applyAlignment="0" applyProtection="0"/>
    <xf numFmtId="0" fontId="36" fillId="16" borderId="0" applyNumberFormat="0" applyBorder="0" applyAlignment="0" applyProtection="0"/>
    <xf numFmtId="184" fontId="36" fillId="16" borderId="0" applyNumberFormat="0" applyBorder="0" applyAlignment="0" applyProtection="0"/>
    <xf numFmtId="187"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185" fontId="36" fillId="16" borderId="0" applyNumberFormat="0" applyBorder="0" applyAlignment="0" applyProtection="0"/>
    <xf numFmtId="183" fontId="36" fillId="16" borderId="0" applyNumberFormat="0" applyBorder="0" applyAlignment="0" applyProtection="0"/>
    <xf numFmtId="183"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185"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183" fontId="36" fillId="16" borderId="0" applyNumberFormat="0" applyBorder="0" applyAlignment="0" applyProtection="0"/>
    <xf numFmtId="183"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0" fontId="36" fillId="16" borderId="0" applyNumberFormat="0" applyBorder="0" applyAlignment="0" applyProtection="0"/>
    <xf numFmtId="184" fontId="36" fillId="16" borderId="0" applyNumberFormat="0" applyBorder="0" applyAlignment="0" applyProtection="0"/>
    <xf numFmtId="187" fontId="36" fillId="16" borderId="0" applyNumberFormat="0" applyBorder="0" applyAlignment="0" applyProtection="0"/>
    <xf numFmtId="184" fontId="36" fillId="16" borderId="0" applyNumberFormat="0" applyBorder="0" applyAlignment="0" applyProtection="0"/>
    <xf numFmtId="0" fontId="36" fillId="16" borderId="0" applyNumberFormat="0" applyBorder="0" applyAlignment="0" applyProtection="0"/>
    <xf numFmtId="184" fontId="36" fillId="16" borderId="0" applyNumberFormat="0" applyBorder="0" applyAlignment="0" applyProtection="0"/>
    <xf numFmtId="0" fontId="36" fillId="16" borderId="0" applyNumberFormat="0" applyBorder="0" applyAlignment="0" applyProtection="0"/>
    <xf numFmtId="184" fontId="36" fillId="16" borderId="0" applyNumberFormat="0" applyBorder="0" applyAlignment="0" applyProtection="0"/>
    <xf numFmtId="184" fontId="36" fillId="17" borderId="0" applyNumberFormat="0" applyBorder="0" applyAlignment="0" applyProtection="0"/>
    <xf numFmtId="182" fontId="36" fillId="86" borderId="0" applyNumberFormat="0" applyBorder="0" applyAlignment="0" applyProtection="0"/>
    <xf numFmtId="0" fontId="36" fillId="17" borderId="0" applyNumberFormat="0" applyBorder="0" applyAlignment="0" applyProtection="0"/>
    <xf numFmtId="183" fontId="36" fillId="17" borderId="0" applyNumberFormat="0" applyBorder="0" applyAlignment="0" applyProtection="0"/>
    <xf numFmtId="183"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5" fontId="36" fillId="17" borderId="0" applyNumberFormat="0" applyBorder="0" applyAlignment="0" applyProtection="0"/>
    <xf numFmtId="183" fontId="36" fillId="17" borderId="0" applyNumberFormat="0" applyBorder="0" applyAlignment="0" applyProtection="0"/>
    <xf numFmtId="183"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5"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0" fontId="36" fillId="86" borderId="0" applyNumberFormat="0" applyBorder="0" applyAlignment="0" applyProtection="0"/>
    <xf numFmtId="183" fontId="36" fillId="86" borderId="0" applyNumberFormat="0" applyBorder="0" applyAlignment="0" applyProtection="0"/>
    <xf numFmtId="183" fontId="36" fillId="86" borderId="0" applyNumberFormat="0" applyBorder="0" applyAlignment="0" applyProtection="0"/>
    <xf numFmtId="184" fontId="36" fillId="86" borderId="0" applyNumberFormat="0" applyBorder="0" applyAlignment="0" applyProtection="0"/>
    <xf numFmtId="184" fontId="36" fillId="86" borderId="0" applyNumberFormat="0" applyBorder="0" applyAlignment="0" applyProtection="0"/>
    <xf numFmtId="0" fontId="36" fillId="86" borderId="0" applyNumberFormat="0" applyBorder="0" applyAlignment="0" applyProtection="0"/>
    <xf numFmtId="184" fontId="36" fillId="86" borderId="0" applyNumberFormat="0" applyBorder="0" applyAlignment="0" applyProtection="0"/>
    <xf numFmtId="184" fontId="36" fillId="86"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187"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5" fontId="36" fillId="17" borderId="0" applyNumberFormat="0" applyBorder="0" applyAlignment="0" applyProtection="0"/>
    <xf numFmtId="183" fontId="36" fillId="17" borderId="0" applyNumberFormat="0" applyBorder="0" applyAlignment="0" applyProtection="0"/>
    <xf numFmtId="183"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5"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3" fontId="36" fillId="17" borderId="0" applyNumberFormat="0" applyBorder="0" applyAlignment="0" applyProtection="0"/>
    <xf numFmtId="183"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187" fontId="36" fillId="17" borderId="0" applyNumberFormat="0" applyBorder="0" applyAlignment="0" applyProtection="0"/>
    <xf numFmtId="184" fontId="36" fillId="17"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182" fontId="37" fillId="87"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87" borderId="0" applyNumberFormat="0" applyBorder="0" applyAlignment="0" applyProtection="0"/>
    <xf numFmtId="183" fontId="37" fillId="87" borderId="0" applyNumberFormat="0" applyBorder="0" applyAlignment="0" applyProtection="0"/>
    <xf numFmtId="184" fontId="37" fillId="87" borderId="0" applyNumberFormat="0" applyBorder="0" applyAlignment="0" applyProtection="0"/>
    <xf numFmtId="184" fontId="37" fillId="87"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0" fontId="88" fillId="53" borderId="0" applyNumberFormat="0" applyBorder="0" applyAlignment="0" applyProtection="0"/>
    <xf numFmtId="184" fontId="88" fillId="53"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0" fontId="37" fillId="88" borderId="0" applyNumberFormat="0" applyBorder="0" applyAlignment="0" applyProtection="0"/>
    <xf numFmtId="184" fontId="37" fillId="88" borderId="0" applyNumberFormat="0" applyBorder="0" applyAlignment="0" applyProtection="0"/>
    <xf numFmtId="184"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2" fontId="37" fillId="88"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88"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7" fontId="37" fillId="14" borderId="0" applyNumberFormat="0" applyBorder="0" applyAlignment="0" applyProtection="0"/>
    <xf numFmtId="0" fontId="37" fillId="15" borderId="0" applyNumberFormat="0" applyBorder="0" applyAlignment="0" applyProtection="0"/>
    <xf numFmtId="184" fontId="37" fillId="15"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7" fontId="37" fillId="14" borderId="0" applyNumberFormat="0" applyBorder="0" applyAlignment="0" applyProtection="0"/>
    <xf numFmtId="0" fontId="37" fillId="15" borderId="0" applyNumberFormat="0" applyBorder="0" applyAlignment="0" applyProtection="0"/>
    <xf numFmtId="184" fontId="37" fillId="15"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187"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2" fontId="37" fillId="8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185"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5" fontId="37" fillId="14"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5" fontId="37" fillId="14"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0" fontId="37" fillId="88" borderId="0" applyNumberFormat="0" applyBorder="0" applyAlignment="0" applyProtection="0"/>
    <xf numFmtId="183" fontId="37" fillId="88" borderId="0" applyNumberFormat="0" applyBorder="0" applyAlignment="0" applyProtection="0"/>
    <xf numFmtId="184" fontId="37" fillId="88" borderId="0" applyNumberFormat="0" applyBorder="0" applyAlignment="0" applyProtection="0"/>
    <xf numFmtId="184" fontId="37" fillId="88"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5"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185"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0" fontId="37" fillId="15" borderId="0" applyNumberFormat="0" applyBorder="0" applyAlignment="0" applyProtection="0"/>
    <xf numFmtId="183" fontId="37" fillId="15" borderId="0" applyNumberFormat="0" applyBorder="0" applyAlignment="0" applyProtection="0"/>
    <xf numFmtId="184" fontId="37" fillId="15" borderId="0" applyNumberFormat="0" applyBorder="0" applyAlignment="0" applyProtection="0"/>
    <xf numFmtId="184" fontId="37" fillId="15" borderId="0" applyNumberFormat="0" applyBorder="0" applyAlignment="0" applyProtection="0"/>
    <xf numFmtId="184" fontId="36" fillId="17" borderId="0" applyNumberFormat="0" applyBorder="0" applyAlignment="0" applyProtection="0"/>
    <xf numFmtId="182" fontId="36" fillId="83" borderId="0" applyNumberFormat="0" applyBorder="0" applyAlignment="0" applyProtection="0"/>
    <xf numFmtId="0" fontId="36" fillId="17" borderId="0" applyNumberFormat="0" applyBorder="0" applyAlignment="0" applyProtection="0"/>
    <xf numFmtId="183" fontId="36" fillId="17" borderId="0" applyNumberFormat="0" applyBorder="0" applyAlignment="0" applyProtection="0"/>
    <xf numFmtId="183"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5" fontId="36" fillId="17" borderId="0" applyNumberFormat="0" applyBorder="0" applyAlignment="0" applyProtection="0"/>
    <xf numFmtId="183" fontId="36" fillId="17" borderId="0" applyNumberFormat="0" applyBorder="0" applyAlignment="0" applyProtection="0"/>
    <xf numFmtId="183"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5"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0" fontId="36" fillId="83" borderId="0" applyNumberFormat="0" applyBorder="0" applyAlignment="0" applyProtection="0"/>
    <xf numFmtId="183" fontId="36" fillId="83" borderId="0" applyNumberFormat="0" applyBorder="0" applyAlignment="0" applyProtection="0"/>
    <xf numFmtId="183" fontId="36" fillId="83" borderId="0" applyNumberFormat="0" applyBorder="0" applyAlignment="0" applyProtection="0"/>
    <xf numFmtId="184" fontId="36" fillId="83" borderId="0" applyNumberFormat="0" applyBorder="0" applyAlignment="0" applyProtection="0"/>
    <xf numFmtId="184" fontId="36" fillId="83" borderId="0" applyNumberFormat="0" applyBorder="0" applyAlignment="0" applyProtection="0"/>
    <xf numFmtId="0" fontId="36" fillId="83" borderId="0" applyNumberFormat="0" applyBorder="0" applyAlignment="0" applyProtection="0"/>
    <xf numFmtId="184" fontId="36" fillId="83" borderId="0" applyNumberFormat="0" applyBorder="0" applyAlignment="0" applyProtection="0"/>
    <xf numFmtId="184" fontId="36" fillId="83"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187"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5" fontId="36" fillId="17" borderId="0" applyNumberFormat="0" applyBorder="0" applyAlignment="0" applyProtection="0"/>
    <xf numFmtId="183" fontId="36" fillId="17" borderId="0" applyNumberFormat="0" applyBorder="0" applyAlignment="0" applyProtection="0"/>
    <xf numFmtId="183"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5"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183" fontId="36" fillId="17" borderId="0" applyNumberFormat="0" applyBorder="0" applyAlignment="0" applyProtection="0"/>
    <xf numFmtId="183"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184" fontId="36" fillId="17"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187" fontId="36" fillId="17" borderId="0" applyNumberFormat="0" applyBorder="0" applyAlignment="0" applyProtection="0"/>
    <xf numFmtId="184" fontId="36" fillId="17"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0" fontId="36" fillId="17" borderId="0" applyNumberFormat="0" applyBorder="0" applyAlignment="0" applyProtection="0"/>
    <xf numFmtId="184" fontId="36" fillId="17" borderId="0" applyNumberFormat="0" applyBorder="0" applyAlignment="0" applyProtection="0"/>
    <xf numFmtId="184" fontId="36" fillId="18" borderId="0" applyNumberFormat="0" applyBorder="0" applyAlignment="0" applyProtection="0"/>
    <xf numFmtId="182" fontId="36" fillId="14" borderId="0" applyNumberFormat="0" applyBorder="0" applyAlignment="0" applyProtection="0"/>
    <xf numFmtId="0" fontId="36" fillId="18" borderId="0" applyNumberFormat="0" applyBorder="0" applyAlignment="0" applyProtection="0"/>
    <xf numFmtId="183" fontId="36" fillId="18" borderId="0" applyNumberFormat="0" applyBorder="0" applyAlignment="0" applyProtection="0"/>
    <xf numFmtId="183"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185" fontId="36" fillId="18" borderId="0" applyNumberFormat="0" applyBorder="0" applyAlignment="0" applyProtection="0"/>
    <xf numFmtId="183" fontId="36" fillId="18" borderId="0" applyNumberFormat="0" applyBorder="0" applyAlignment="0" applyProtection="0"/>
    <xf numFmtId="183"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185"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0" fontId="36" fillId="14" borderId="0" applyNumberFormat="0" applyBorder="0" applyAlignment="0" applyProtection="0"/>
    <xf numFmtId="183" fontId="36" fillId="14" borderId="0" applyNumberFormat="0" applyBorder="0" applyAlignment="0" applyProtection="0"/>
    <xf numFmtId="183" fontId="36" fillId="14" borderId="0" applyNumberFormat="0" applyBorder="0" applyAlignment="0" applyProtection="0"/>
    <xf numFmtId="184" fontId="36" fillId="14" borderId="0" applyNumberFormat="0" applyBorder="0" applyAlignment="0" applyProtection="0"/>
    <xf numFmtId="184" fontId="36" fillId="14" borderId="0" applyNumberFormat="0" applyBorder="0" applyAlignment="0" applyProtection="0"/>
    <xf numFmtId="0" fontId="36" fillId="14" borderId="0" applyNumberFormat="0" applyBorder="0" applyAlignment="0" applyProtection="0"/>
    <xf numFmtId="184" fontId="36" fillId="14" borderId="0" applyNumberFormat="0" applyBorder="0" applyAlignment="0" applyProtection="0"/>
    <xf numFmtId="184" fontId="36" fillId="14" borderId="0" applyNumberFormat="0" applyBorder="0" applyAlignment="0" applyProtection="0"/>
    <xf numFmtId="0" fontId="36" fillId="18" borderId="0" applyNumberFormat="0" applyBorder="0" applyAlignment="0" applyProtection="0"/>
    <xf numFmtId="184" fontId="36" fillId="18" borderId="0" applyNumberFormat="0" applyBorder="0" applyAlignment="0" applyProtection="0"/>
    <xf numFmtId="187"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185" fontId="36" fillId="18" borderId="0" applyNumberFormat="0" applyBorder="0" applyAlignment="0" applyProtection="0"/>
    <xf numFmtId="183" fontId="36" fillId="18" borderId="0" applyNumberFormat="0" applyBorder="0" applyAlignment="0" applyProtection="0"/>
    <xf numFmtId="183"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185"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183" fontId="36" fillId="18" borderId="0" applyNumberFormat="0" applyBorder="0" applyAlignment="0" applyProtection="0"/>
    <xf numFmtId="183"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184" fontId="36" fillId="18" borderId="0" applyNumberFormat="0" applyBorder="0" applyAlignment="0" applyProtection="0"/>
    <xf numFmtId="184" fontId="36" fillId="18" borderId="0" applyNumberFormat="0" applyBorder="0" applyAlignment="0" applyProtection="0"/>
    <xf numFmtId="0" fontId="36" fillId="18" borderId="0" applyNumberFormat="0" applyBorder="0" applyAlignment="0" applyProtection="0"/>
    <xf numFmtId="184" fontId="36" fillId="18" borderId="0" applyNumberFormat="0" applyBorder="0" applyAlignment="0" applyProtection="0"/>
    <xf numFmtId="187" fontId="36" fillId="18" borderId="0" applyNumberFormat="0" applyBorder="0" applyAlignment="0" applyProtection="0"/>
    <xf numFmtId="184" fontId="36" fillId="18" borderId="0" applyNumberFormat="0" applyBorder="0" applyAlignment="0" applyProtection="0"/>
    <xf numFmtId="0" fontId="36" fillId="18" borderId="0" applyNumberFormat="0" applyBorder="0" applyAlignment="0" applyProtection="0"/>
    <xf numFmtId="184" fontId="36" fillId="18" borderId="0" applyNumberFormat="0" applyBorder="0" applyAlignment="0" applyProtection="0"/>
    <xf numFmtId="0" fontId="36" fillId="18" borderId="0" applyNumberFormat="0" applyBorder="0" applyAlignment="0" applyProtection="0"/>
    <xf numFmtId="184" fontId="36" fillId="18" borderId="0" applyNumberFormat="0" applyBorder="0" applyAlignment="0" applyProtection="0"/>
    <xf numFmtId="182" fontId="37" fillId="17"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0" fontId="88" fillId="57" borderId="0" applyNumberFormat="0" applyBorder="0" applyAlignment="0" applyProtection="0"/>
    <xf numFmtId="184" fontId="88" fillId="57"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0" fontId="37" fillId="90" borderId="0" applyNumberFormat="0" applyBorder="0" applyAlignment="0" applyProtection="0"/>
    <xf numFmtId="184" fontId="37" fillId="90" borderId="0" applyNumberFormat="0" applyBorder="0" applyAlignment="0" applyProtection="0"/>
    <xf numFmtId="184"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2" fontId="37" fillId="90"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90"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7" fontId="37" fillId="89" borderId="0" applyNumberFormat="0" applyBorder="0" applyAlignment="0" applyProtection="0"/>
    <xf numFmtId="0" fontId="37" fillId="77" borderId="0" applyNumberFormat="0" applyBorder="0" applyAlignment="0" applyProtection="0"/>
    <xf numFmtId="184" fontId="37" fillId="77"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7" fontId="37" fillId="89" borderId="0" applyNumberFormat="0" applyBorder="0" applyAlignment="0" applyProtection="0"/>
    <xf numFmtId="0" fontId="37" fillId="77" borderId="0" applyNumberFormat="0" applyBorder="0" applyAlignment="0" applyProtection="0"/>
    <xf numFmtId="184" fontId="37" fillId="77"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187" fontId="37" fillId="89" borderId="0" applyNumberFormat="0" applyBorder="0" applyAlignment="0" applyProtection="0"/>
    <xf numFmtId="0"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2" fontId="37" fillId="90" borderId="0" applyNumberFormat="0" applyBorder="0" applyAlignment="0" applyProtection="0"/>
    <xf numFmtId="0"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185"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5" fontId="37" fillId="89" borderId="0" applyNumberFormat="0" applyBorder="0" applyAlignment="0" applyProtection="0"/>
    <xf numFmtId="0"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5" fontId="37" fillId="89" borderId="0" applyNumberFormat="0" applyBorder="0" applyAlignment="0" applyProtection="0"/>
    <xf numFmtId="0"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0" fontId="37" fillId="90" borderId="0" applyNumberFormat="0" applyBorder="0" applyAlignment="0" applyProtection="0"/>
    <xf numFmtId="183" fontId="37" fillId="90" borderId="0" applyNumberFormat="0" applyBorder="0" applyAlignment="0" applyProtection="0"/>
    <xf numFmtId="184" fontId="37" fillId="90" borderId="0" applyNumberFormat="0" applyBorder="0" applyAlignment="0" applyProtection="0"/>
    <xf numFmtId="184" fontId="37" fillId="90"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5"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185" fontId="37" fillId="89" borderId="0" applyNumberFormat="0" applyBorder="0" applyAlignment="0" applyProtection="0"/>
    <xf numFmtId="183" fontId="37" fillId="89" borderId="0" applyNumberFormat="0" applyBorder="0" applyAlignment="0" applyProtection="0"/>
    <xf numFmtId="184" fontId="37" fillId="89" borderId="0" applyNumberFormat="0" applyBorder="0" applyAlignment="0" applyProtection="0"/>
    <xf numFmtId="184" fontId="37" fillId="89"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0" fontId="37" fillId="77" borderId="0" applyNumberFormat="0" applyBorder="0" applyAlignment="0" applyProtection="0"/>
    <xf numFmtId="183" fontId="37" fillId="77" borderId="0" applyNumberFormat="0" applyBorder="0" applyAlignment="0" applyProtection="0"/>
    <xf numFmtId="184" fontId="37" fillId="77" borderId="0" applyNumberFormat="0" applyBorder="0" applyAlignment="0" applyProtection="0"/>
    <xf numFmtId="184" fontId="37" fillId="77" borderId="0" applyNumberFormat="0" applyBorder="0" applyAlignment="0" applyProtection="0"/>
    <xf numFmtId="184" fontId="36" fillId="8" borderId="0" applyNumberFormat="0" applyBorder="0" applyAlignment="0" applyProtection="0"/>
    <xf numFmtId="182" fontId="36" fillId="16" borderId="0" applyNumberFormat="0" applyBorder="0" applyAlignment="0" applyProtection="0"/>
    <xf numFmtId="0" fontId="36" fillId="8" borderId="0" applyNumberFormat="0" applyBorder="0" applyAlignment="0" applyProtection="0"/>
    <xf numFmtId="183" fontId="36" fillId="8" borderId="0" applyNumberFormat="0" applyBorder="0" applyAlignment="0" applyProtection="0"/>
    <xf numFmtId="183"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5" fontId="36" fillId="8" borderId="0" applyNumberFormat="0" applyBorder="0" applyAlignment="0" applyProtection="0"/>
    <xf numFmtId="183" fontId="36" fillId="8" borderId="0" applyNumberFormat="0" applyBorder="0" applyAlignment="0" applyProtection="0"/>
    <xf numFmtId="183"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5"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0" fontId="36" fillId="16" borderId="0" applyNumberFormat="0" applyBorder="0" applyAlignment="0" applyProtection="0"/>
    <xf numFmtId="183" fontId="36" fillId="16" borderId="0" applyNumberFormat="0" applyBorder="0" applyAlignment="0" applyProtection="0"/>
    <xf numFmtId="183"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0" fontId="36" fillId="16" borderId="0" applyNumberFormat="0" applyBorder="0" applyAlignment="0" applyProtection="0"/>
    <xf numFmtId="184" fontId="36" fillId="16" borderId="0" applyNumberFormat="0" applyBorder="0" applyAlignment="0" applyProtection="0"/>
    <xf numFmtId="184" fontId="36" fillId="16"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187"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5" fontId="36" fillId="8" borderId="0" applyNumberFormat="0" applyBorder="0" applyAlignment="0" applyProtection="0"/>
    <xf numFmtId="183" fontId="36" fillId="8" borderId="0" applyNumberFormat="0" applyBorder="0" applyAlignment="0" applyProtection="0"/>
    <xf numFmtId="183"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5"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183" fontId="36" fillId="8" borderId="0" applyNumberFormat="0" applyBorder="0" applyAlignment="0" applyProtection="0"/>
    <xf numFmtId="183"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184" fontId="36" fillId="8"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187" fontId="36" fillId="8" borderId="0" applyNumberFormat="0" applyBorder="0" applyAlignment="0" applyProtection="0"/>
    <xf numFmtId="184" fontId="36" fillId="8"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0" fontId="36" fillId="8" borderId="0" applyNumberFormat="0" applyBorder="0" applyAlignment="0" applyProtection="0"/>
    <xf numFmtId="184" fontId="36" fillId="8" borderId="0" applyNumberFormat="0" applyBorder="0" applyAlignment="0" applyProtection="0"/>
    <xf numFmtId="0" fontId="36" fillId="9" borderId="0" applyNumberFormat="0" applyBorder="0" applyAlignment="0" applyProtection="0"/>
    <xf numFmtId="183" fontId="36" fillId="9" borderId="0" applyNumberFormat="0" applyBorder="0" applyAlignment="0" applyProtection="0"/>
    <xf numFmtId="183"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5" fontId="36" fillId="9" borderId="0" applyNumberFormat="0" applyBorder="0" applyAlignment="0" applyProtection="0"/>
    <xf numFmtId="183" fontId="36" fillId="9" borderId="0" applyNumberFormat="0" applyBorder="0" applyAlignment="0" applyProtection="0"/>
    <xf numFmtId="183"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5"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0" fontId="36" fillId="9" borderId="0" applyNumberFormat="0" applyBorder="0" applyAlignment="0" applyProtection="0"/>
    <xf numFmtId="184" fontId="36" fillId="9" borderId="0" applyNumberFormat="0" applyBorder="0" applyAlignment="0" applyProtection="0"/>
    <xf numFmtId="187"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5" fontId="36" fillId="9" borderId="0" applyNumberFormat="0" applyBorder="0" applyAlignment="0" applyProtection="0"/>
    <xf numFmtId="183" fontId="36" fillId="9" borderId="0" applyNumberFormat="0" applyBorder="0" applyAlignment="0" applyProtection="0"/>
    <xf numFmtId="183"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5"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3" fontId="36" fillId="9" borderId="0" applyNumberFormat="0" applyBorder="0" applyAlignment="0" applyProtection="0"/>
    <xf numFmtId="183"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0" fontId="36" fillId="9" borderId="0" applyNumberFormat="0" applyBorder="0" applyAlignment="0" applyProtection="0"/>
    <xf numFmtId="184" fontId="36" fillId="9" borderId="0" applyNumberFormat="0" applyBorder="0" applyAlignment="0" applyProtection="0"/>
    <xf numFmtId="187" fontId="36" fillId="9" borderId="0" applyNumberFormat="0" applyBorder="0" applyAlignment="0" applyProtection="0"/>
    <xf numFmtId="184" fontId="36" fillId="9" borderId="0" applyNumberFormat="0" applyBorder="0" applyAlignment="0" applyProtection="0"/>
    <xf numFmtId="184" fontId="36" fillId="9" borderId="0" applyNumberFormat="0" applyBorder="0" applyAlignment="0" applyProtection="0"/>
    <xf numFmtId="182" fontId="36" fillId="9" borderId="0" applyNumberFormat="0" applyBorder="0" applyAlignment="0" applyProtection="0"/>
    <xf numFmtId="182" fontId="37" fillId="80"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0" fontId="88" fillId="61" borderId="0" applyNumberFormat="0" applyBorder="0" applyAlignment="0" applyProtection="0"/>
    <xf numFmtId="184" fontId="88" fillId="61"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0" fontId="37" fillId="80" borderId="0" applyNumberFormat="0" applyBorder="0" applyAlignment="0" applyProtection="0"/>
    <xf numFmtId="184" fontId="37" fillId="80" borderId="0" applyNumberFormat="0" applyBorder="0" applyAlignment="0" applyProtection="0"/>
    <xf numFmtId="184"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2" fontId="37" fillId="80"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7" fillId="91" borderId="0" applyNumberFormat="0" applyBorder="0" applyAlignment="0" applyProtection="0"/>
    <xf numFmtId="184" fontId="37" fillId="91" borderId="0" applyNumberFormat="0" applyBorder="0" applyAlignment="0" applyProtection="0"/>
    <xf numFmtId="184" fontId="88" fillId="61" borderId="0" applyNumberFormat="0" applyBorder="0" applyAlignment="0" applyProtection="0"/>
    <xf numFmtId="0"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80"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7" fontId="37" fillId="91" borderId="0" applyNumberFormat="0" applyBorder="0" applyAlignment="0" applyProtection="0"/>
    <xf numFmtId="0" fontId="37" fillId="78" borderId="0" applyNumberFormat="0" applyBorder="0" applyAlignment="0" applyProtection="0"/>
    <xf numFmtId="184" fontId="37" fillId="78"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7" fontId="37" fillId="91" borderId="0" applyNumberFormat="0" applyBorder="0" applyAlignment="0" applyProtection="0"/>
    <xf numFmtId="0" fontId="37" fillId="78" borderId="0" applyNumberFormat="0" applyBorder="0" applyAlignment="0" applyProtection="0"/>
    <xf numFmtId="184" fontId="37" fillId="78"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7" fontId="37" fillId="91" borderId="0" applyNumberFormat="0" applyBorder="0" applyAlignment="0" applyProtection="0"/>
    <xf numFmtId="0"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2" fontId="37" fillId="80" borderId="0" applyNumberFormat="0" applyBorder="0" applyAlignment="0" applyProtection="0"/>
    <xf numFmtId="0"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5"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5" fontId="37" fillId="91" borderId="0" applyNumberFormat="0" applyBorder="0" applyAlignment="0" applyProtection="0"/>
    <xf numFmtId="0"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5" fontId="37" fillId="91" borderId="0" applyNumberFormat="0" applyBorder="0" applyAlignment="0" applyProtection="0"/>
    <xf numFmtId="0"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0" fontId="37" fillId="80" borderId="0" applyNumberFormat="0" applyBorder="0" applyAlignment="0" applyProtection="0"/>
    <xf numFmtId="183" fontId="37" fillId="80" borderId="0" applyNumberFormat="0" applyBorder="0" applyAlignment="0" applyProtection="0"/>
    <xf numFmtId="184" fontId="37" fillId="80" borderId="0" applyNumberFormat="0" applyBorder="0" applyAlignment="0" applyProtection="0"/>
    <xf numFmtId="184" fontId="37" fillId="80"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5"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185" fontId="37" fillId="91" borderId="0" applyNumberFormat="0" applyBorder="0" applyAlignment="0" applyProtection="0"/>
    <xf numFmtId="183" fontId="37" fillId="91" borderId="0" applyNumberFormat="0" applyBorder="0" applyAlignment="0" applyProtection="0"/>
    <xf numFmtId="184" fontId="37" fillId="91" borderId="0" applyNumberFormat="0" applyBorder="0" applyAlignment="0" applyProtection="0"/>
    <xf numFmtId="184" fontId="37" fillId="91"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7" fillId="78" borderId="0" applyNumberFormat="0" applyBorder="0" applyAlignment="0" applyProtection="0"/>
    <xf numFmtId="183" fontId="37" fillId="78" borderId="0" applyNumberFormat="0" applyBorder="0" applyAlignment="0" applyProtection="0"/>
    <xf numFmtId="184" fontId="37" fillId="78" borderId="0" applyNumberFormat="0" applyBorder="0" applyAlignment="0" applyProtection="0"/>
    <xf numFmtId="184" fontId="37" fillId="78" borderId="0" applyNumberFormat="0" applyBorder="0" applyAlignment="0" applyProtection="0"/>
    <xf numFmtId="0" fontId="36" fillId="20" borderId="0" applyNumberFormat="0" applyBorder="0" applyAlignment="0" applyProtection="0"/>
    <xf numFmtId="183" fontId="36" fillId="20" borderId="0" applyNumberFormat="0" applyBorder="0" applyAlignment="0" applyProtection="0"/>
    <xf numFmtId="183" fontId="36" fillId="20" borderId="0" applyNumberFormat="0" applyBorder="0" applyAlignment="0" applyProtection="0"/>
    <xf numFmtId="184" fontId="36" fillId="20" borderId="0" applyNumberFormat="0" applyBorder="0" applyAlignment="0" applyProtection="0"/>
    <xf numFmtId="184" fontId="36" fillId="20" borderId="0" applyNumberFormat="0" applyBorder="0" applyAlignment="0" applyProtection="0"/>
    <xf numFmtId="185" fontId="36" fillId="20" borderId="0" applyNumberFormat="0" applyBorder="0" applyAlignment="0" applyProtection="0"/>
    <xf numFmtId="183" fontId="36" fillId="20" borderId="0" applyNumberFormat="0" applyBorder="0" applyAlignment="0" applyProtection="0"/>
    <xf numFmtId="183" fontId="36" fillId="20" borderId="0" applyNumberFormat="0" applyBorder="0" applyAlignment="0" applyProtection="0"/>
    <xf numFmtId="184" fontId="36" fillId="20" borderId="0" applyNumberFormat="0" applyBorder="0" applyAlignment="0" applyProtection="0"/>
    <xf numFmtId="184" fontId="36" fillId="20" borderId="0" applyNumberFormat="0" applyBorder="0" applyAlignment="0" applyProtection="0"/>
    <xf numFmtId="185" fontId="36" fillId="20" borderId="0" applyNumberFormat="0" applyBorder="0" applyAlignment="0" applyProtection="0"/>
    <xf numFmtId="184" fontId="36" fillId="20" borderId="0" applyNumberFormat="0" applyBorder="0" applyAlignment="0" applyProtection="0"/>
    <xf numFmtId="184" fontId="36" fillId="20" borderId="0" applyNumberFormat="0" applyBorder="0" applyAlignment="0" applyProtection="0"/>
    <xf numFmtId="0" fontId="36" fillId="20" borderId="0" applyNumberFormat="0" applyBorder="0" applyAlignment="0" applyProtection="0"/>
    <xf numFmtId="184" fontId="36" fillId="20" borderId="0" applyNumberFormat="0" applyBorder="0" applyAlignment="0" applyProtection="0"/>
    <xf numFmtId="187" fontId="36" fillId="20" borderId="0" applyNumberFormat="0" applyBorder="0" applyAlignment="0" applyProtection="0"/>
    <xf numFmtId="184" fontId="36" fillId="20" borderId="0" applyNumberFormat="0" applyBorder="0" applyAlignment="0" applyProtection="0"/>
    <xf numFmtId="184" fontId="36" fillId="20" borderId="0" applyNumberFormat="0" applyBorder="0" applyAlignment="0" applyProtection="0"/>
    <xf numFmtId="185" fontId="36" fillId="20" borderId="0" applyNumberFormat="0" applyBorder="0" applyAlignment="0" applyProtection="0"/>
    <xf numFmtId="183" fontId="36" fillId="20" borderId="0" applyNumberFormat="0" applyBorder="0" applyAlignment="0" applyProtection="0"/>
    <xf numFmtId="183" fontId="36" fillId="20" borderId="0" applyNumberFormat="0" applyBorder="0" applyAlignment="0" applyProtection="0"/>
    <xf numFmtId="184" fontId="36" fillId="20" borderId="0" applyNumberFormat="0" applyBorder="0" applyAlignment="0" applyProtection="0"/>
    <xf numFmtId="184" fontId="36" fillId="20" borderId="0" applyNumberFormat="0" applyBorder="0" applyAlignment="0" applyProtection="0"/>
    <xf numFmtId="185" fontId="36" fillId="20" borderId="0" applyNumberFormat="0" applyBorder="0" applyAlignment="0" applyProtection="0"/>
    <xf numFmtId="184" fontId="36" fillId="20" borderId="0" applyNumberFormat="0" applyBorder="0" applyAlignment="0" applyProtection="0"/>
    <xf numFmtId="184" fontId="36" fillId="20" borderId="0" applyNumberFormat="0" applyBorder="0" applyAlignment="0" applyProtection="0"/>
    <xf numFmtId="183" fontId="36" fillId="20" borderId="0" applyNumberFormat="0" applyBorder="0" applyAlignment="0" applyProtection="0"/>
    <xf numFmtId="183" fontId="36" fillId="20" borderId="0" applyNumberFormat="0" applyBorder="0" applyAlignment="0" applyProtection="0"/>
    <xf numFmtId="184" fontId="36" fillId="20" borderId="0" applyNumberFormat="0" applyBorder="0" applyAlignment="0" applyProtection="0"/>
    <xf numFmtId="184" fontId="36" fillId="20" borderId="0" applyNumberFormat="0" applyBorder="0" applyAlignment="0" applyProtection="0"/>
    <xf numFmtId="0" fontId="36" fillId="20" borderId="0" applyNumberFormat="0" applyBorder="0" applyAlignment="0" applyProtection="0"/>
    <xf numFmtId="184" fontId="36" fillId="20" borderId="0" applyNumberFormat="0" applyBorder="0" applyAlignment="0" applyProtection="0"/>
    <xf numFmtId="187" fontId="36" fillId="20" borderId="0" applyNumberFormat="0" applyBorder="0" applyAlignment="0" applyProtection="0"/>
    <xf numFmtId="184" fontId="36" fillId="20" borderId="0" applyNumberFormat="0" applyBorder="0" applyAlignment="0" applyProtection="0"/>
    <xf numFmtId="184" fontId="36" fillId="20" borderId="0" applyNumberFormat="0" applyBorder="0" applyAlignment="0" applyProtection="0"/>
    <xf numFmtId="182" fontId="36" fillId="20" borderId="0" applyNumberFormat="0" applyBorder="0" applyAlignment="0" applyProtection="0"/>
    <xf numFmtId="184" fontId="36" fillId="13" borderId="0" applyNumberFormat="0" applyBorder="0" applyAlignment="0" applyProtection="0"/>
    <xf numFmtId="182" fontId="36" fillId="21" borderId="0" applyNumberFormat="0" applyBorder="0" applyAlignment="0" applyProtection="0"/>
    <xf numFmtId="0" fontId="36" fillId="13" borderId="0" applyNumberFormat="0" applyBorder="0" applyAlignment="0" applyProtection="0"/>
    <xf numFmtId="183" fontId="36" fillId="13" borderId="0" applyNumberFormat="0" applyBorder="0" applyAlignment="0" applyProtection="0"/>
    <xf numFmtId="183"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5" fontId="36" fillId="13" borderId="0" applyNumberFormat="0" applyBorder="0" applyAlignment="0" applyProtection="0"/>
    <xf numFmtId="183" fontId="36" fillId="13" borderId="0" applyNumberFormat="0" applyBorder="0" applyAlignment="0" applyProtection="0"/>
    <xf numFmtId="183"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5"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0" fontId="36" fillId="21" borderId="0" applyNumberFormat="0" applyBorder="0" applyAlignment="0" applyProtection="0"/>
    <xf numFmtId="183" fontId="36" fillId="21" borderId="0" applyNumberFormat="0" applyBorder="0" applyAlignment="0" applyProtection="0"/>
    <xf numFmtId="183" fontId="36" fillId="21" borderId="0" applyNumberFormat="0" applyBorder="0" applyAlignment="0" applyProtection="0"/>
    <xf numFmtId="184" fontId="36" fillId="21" borderId="0" applyNumberFormat="0" applyBorder="0" applyAlignment="0" applyProtection="0"/>
    <xf numFmtId="184" fontId="36" fillId="21" borderId="0" applyNumberFormat="0" applyBorder="0" applyAlignment="0" applyProtection="0"/>
    <xf numFmtId="0" fontId="36" fillId="21" borderId="0" applyNumberFormat="0" applyBorder="0" applyAlignment="0" applyProtection="0"/>
    <xf numFmtId="184" fontId="36" fillId="21" borderId="0" applyNumberFormat="0" applyBorder="0" applyAlignment="0" applyProtection="0"/>
    <xf numFmtId="184" fontId="36" fillId="21"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187"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5" fontId="36" fillId="13" borderId="0" applyNumberFormat="0" applyBorder="0" applyAlignment="0" applyProtection="0"/>
    <xf numFmtId="183" fontId="36" fillId="13" borderId="0" applyNumberFormat="0" applyBorder="0" applyAlignment="0" applyProtection="0"/>
    <xf numFmtId="183"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5"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183" fontId="36" fillId="13" borderId="0" applyNumberFormat="0" applyBorder="0" applyAlignment="0" applyProtection="0"/>
    <xf numFmtId="183"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184" fontId="36" fillId="13"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187" fontId="36" fillId="13" borderId="0" applyNumberFormat="0" applyBorder="0" applyAlignment="0" applyProtection="0"/>
    <xf numFmtId="184" fontId="36" fillId="13"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0" fontId="36" fillId="13" borderId="0" applyNumberFormat="0" applyBorder="0" applyAlignment="0" applyProtection="0"/>
    <xf numFmtId="184" fontId="36" fillId="13" borderId="0" applyNumberFormat="0" applyBorder="0" applyAlignment="0" applyProtection="0"/>
    <xf numFmtId="182" fontId="37" fillId="92"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5"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92" borderId="0" applyNumberFormat="0" applyBorder="0" applyAlignment="0" applyProtection="0"/>
    <xf numFmtId="183" fontId="37" fillId="92" borderId="0" applyNumberFormat="0" applyBorder="0" applyAlignment="0" applyProtection="0"/>
    <xf numFmtId="184" fontId="37" fillId="92" borderId="0" applyNumberFormat="0" applyBorder="0" applyAlignment="0" applyProtection="0"/>
    <xf numFmtId="184" fontId="37" fillId="92" borderId="0" applyNumberFormat="0" applyBorder="0" applyAlignment="0" applyProtection="0"/>
    <xf numFmtId="184" fontId="37" fillId="21" borderId="0" applyNumberFormat="0" applyBorder="0" applyAlignment="0" applyProtection="0"/>
    <xf numFmtId="185"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7"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0" fontId="88" fillId="65" borderId="0" applyNumberFormat="0" applyBorder="0" applyAlignment="0" applyProtection="0"/>
    <xf numFmtId="184" fontId="88" fillId="65"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0" fontId="37" fillId="94" borderId="0" applyNumberFormat="0" applyBorder="0" applyAlignment="0" applyProtection="0"/>
    <xf numFmtId="184" fontId="37" fillId="94" borderId="0" applyNumberFormat="0" applyBorder="0" applyAlignment="0" applyProtection="0"/>
    <xf numFmtId="184"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2" fontId="37" fillId="94"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94"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7" fontId="37" fillId="93" borderId="0" applyNumberFormat="0" applyBorder="0" applyAlignment="0" applyProtection="0"/>
    <xf numFmtId="0" fontId="37" fillId="19" borderId="0" applyNumberFormat="0" applyBorder="0" applyAlignment="0" applyProtection="0"/>
    <xf numFmtId="184" fontId="37" fillId="19"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7" fontId="37" fillId="93" borderId="0" applyNumberFormat="0" applyBorder="0" applyAlignment="0" applyProtection="0"/>
    <xf numFmtId="0" fontId="37" fillId="19" borderId="0" applyNumberFormat="0" applyBorder="0" applyAlignment="0" applyProtection="0"/>
    <xf numFmtId="184" fontId="37" fillId="19"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187" fontId="37" fillId="93" borderId="0" applyNumberFormat="0" applyBorder="0" applyAlignment="0" applyProtection="0"/>
    <xf numFmtId="0"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2" fontId="37" fillId="94" borderId="0" applyNumberFormat="0" applyBorder="0" applyAlignment="0" applyProtection="0"/>
    <xf numFmtId="0"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185"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5" fontId="37" fillId="93" borderId="0" applyNumberFormat="0" applyBorder="0" applyAlignment="0" applyProtection="0"/>
    <xf numFmtId="0"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5" fontId="37" fillId="93" borderId="0" applyNumberFormat="0" applyBorder="0" applyAlignment="0" applyProtection="0"/>
    <xf numFmtId="0"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0" fontId="37" fillId="94" borderId="0" applyNumberFormat="0" applyBorder="0" applyAlignment="0" applyProtection="0"/>
    <xf numFmtId="183" fontId="37" fillId="94" borderId="0" applyNumberFormat="0" applyBorder="0" applyAlignment="0" applyProtection="0"/>
    <xf numFmtId="184" fontId="37" fillId="94" borderId="0" applyNumberFormat="0" applyBorder="0" applyAlignment="0" applyProtection="0"/>
    <xf numFmtId="184" fontId="37" fillId="94"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5"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185" fontId="37" fillId="93" borderId="0" applyNumberFormat="0" applyBorder="0" applyAlignment="0" applyProtection="0"/>
    <xf numFmtId="183" fontId="37" fillId="93" borderId="0" applyNumberFormat="0" applyBorder="0" applyAlignment="0" applyProtection="0"/>
    <xf numFmtId="184" fontId="37" fillId="93" borderId="0" applyNumberFormat="0" applyBorder="0" applyAlignment="0" applyProtection="0"/>
    <xf numFmtId="184" fontId="37" fillId="93"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37" fillId="19" borderId="0" applyNumberFormat="0" applyBorder="0" applyAlignment="0" applyProtection="0"/>
    <xf numFmtId="183" fontId="37" fillId="19" borderId="0" applyNumberFormat="0" applyBorder="0" applyAlignment="0" applyProtection="0"/>
    <xf numFmtId="184" fontId="37" fillId="19" borderId="0" applyNumberFormat="0" applyBorder="0" applyAlignment="0" applyProtection="0"/>
    <xf numFmtId="184" fontId="37" fillId="19" borderId="0" applyNumberFormat="0" applyBorder="0" applyAlignment="0" applyProtection="0"/>
    <xf numFmtId="0" fontId="22" fillId="0" borderId="0" applyNumberFormat="0" applyAlignment="0"/>
    <xf numFmtId="0" fontId="22" fillId="0" borderId="0" applyNumberFormat="0" applyAlignment="0"/>
    <xf numFmtId="183"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3" fontId="22" fillId="0" borderId="0" applyNumberFormat="0" applyAlignment="0"/>
    <xf numFmtId="184" fontId="22" fillId="0" borderId="0" applyNumberFormat="0" applyAlignment="0"/>
    <xf numFmtId="187" fontId="22" fillId="0" borderId="0" applyNumberFormat="0" applyAlignment="0"/>
    <xf numFmtId="184" fontId="22" fillId="0" borderId="0" applyNumberFormat="0" applyAlignment="0"/>
    <xf numFmtId="184" fontId="22" fillId="0" borderId="0" applyNumberFormat="0" applyAlignment="0"/>
    <xf numFmtId="188" fontId="21" fillId="95" borderId="28">
      <alignment horizontal="center" vertical="center"/>
    </xf>
    <xf numFmtId="189" fontId="89" fillId="95" borderId="28">
      <alignment horizontal="center" vertical="center"/>
    </xf>
    <xf numFmtId="188" fontId="21" fillId="95" borderId="28">
      <alignment horizontal="center" vertical="center"/>
    </xf>
    <xf numFmtId="0" fontId="29" fillId="0" borderId="0">
      <alignment horizontal="center" wrapText="1"/>
      <protection locked="0"/>
    </xf>
    <xf numFmtId="0" fontId="29" fillId="0" borderId="0">
      <alignment horizontal="center" wrapText="1"/>
      <protection locked="0"/>
    </xf>
    <xf numFmtId="183" fontId="29" fillId="0" borderId="0">
      <alignment horizontal="center" wrapText="1"/>
      <protection locked="0"/>
    </xf>
    <xf numFmtId="184" fontId="29" fillId="0" borderId="0">
      <alignment horizontal="center" wrapText="1"/>
      <protection locked="0"/>
    </xf>
    <xf numFmtId="185" fontId="29" fillId="0" borderId="0">
      <alignment horizontal="center" wrapText="1"/>
      <protection locked="0"/>
    </xf>
    <xf numFmtId="183" fontId="29" fillId="0" borderId="0">
      <alignment horizontal="center" wrapText="1"/>
      <protection locked="0"/>
    </xf>
    <xf numFmtId="184" fontId="29" fillId="0" borderId="0">
      <alignment horizontal="center" wrapText="1"/>
      <protection locked="0"/>
    </xf>
    <xf numFmtId="184" fontId="29" fillId="0" borderId="0">
      <alignment horizontal="center" wrapText="1"/>
      <protection locked="0"/>
    </xf>
    <xf numFmtId="184" fontId="29" fillId="0" borderId="0">
      <alignment horizontal="center" wrapText="1"/>
      <protection locked="0"/>
    </xf>
    <xf numFmtId="185" fontId="29" fillId="0" borderId="0">
      <alignment horizontal="center" wrapText="1"/>
      <protection locked="0"/>
    </xf>
    <xf numFmtId="183" fontId="29" fillId="0" borderId="0">
      <alignment horizontal="center" wrapText="1"/>
      <protection locked="0"/>
    </xf>
    <xf numFmtId="184" fontId="29" fillId="0" borderId="0">
      <alignment horizontal="center" wrapText="1"/>
      <protection locked="0"/>
    </xf>
    <xf numFmtId="184" fontId="29" fillId="0" borderId="0">
      <alignment horizontal="center" wrapText="1"/>
      <protection locked="0"/>
    </xf>
    <xf numFmtId="185" fontId="29" fillId="0" borderId="0">
      <alignment horizontal="center" wrapText="1"/>
      <protection locked="0"/>
    </xf>
    <xf numFmtId="183" fontId="29" fillId="0" borderId="0">
      <alignment horizontal="center" wrapText="1"/>
      <protection locked="0"/>
    </xf>
    <xf numFmtId="184" fontId="29" fillId="0" borderId="0">
      <alignment horizontal="center" wrapText="1"/>
      <protection locked="0"/>
    </xf>
    <xf numFmtId="184" fontId="29" fillId="0" borderId="0">
      <alignment horizontal="center" wrapText="1"/>
      <protection locked="0"/>
    </xf>
    <xf numFmtId="183" fontId="29" fillId="0" borderId="0">
      <alignment horizontal="center" wrapText="1"/>
      <protection locked="0"/>
    </xf>
    <xf numFmtId="184" fontId="29" fillId="0" borderId="0">
      <alignment horizontal="center" wrapText="1"/>
      <protection locked="0"/>
    </xf>
    <xf numFmtId="187" fontId="29" fillId="0" borderId="0">
      <alignment horizontal="center" wrapText="1"/>
      <protection locked="0"/>
    </xf>
    <xf numFmtId="184" fontId="29" fillId="0" borderId="0">
      <alignment horizontal="center" wrapText="1"/>
      <protection locked="0"/>
    </xf>
    <xf numFmtId="184" fontId="29" fillId="0" borderId="0">
      <alignment horizontal="center" wrapText="1"/>
      <protection locked="0"/>
    </xf>
    <xf numFmtId="0" fontId="95" fillId="2"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2" fontId="96" fillId="20" borderId="0" applyNumberFormat="0" applyBorder="0" applyAlignment="0" applyProtection="0"/>
    <xf numFmtId="0"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7" fontId="97" fillId="13" borderId="0" applyNumberFormat="0" applyBorder="0" applyAlignment="0" applyProtection="0"/>
    <xf numFmtId="184" fontId="97" fillId="13" borderId="0" applyNumberFormat="0" applyBorder="0" applyAlignment="0" applyProtection="0"/>
    <xf numFmtId="184" fontId="79" fillId="39"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6" fillId="20"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96" fillId="20" borderId="0" applyNumberFormat="0" applyBorder="0" applyAlignment="0" applyProtection="0"/>
    <xf numFmtId="184" fontId="96" fillId="20" borderId="0" applyNumberFormat="0" applyBorder="0" applyAlignment="0" applyProtection="0"/>
    <xf numFmtId="184" fontId="96" fillId="20"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7" fontId="97" fillId="13"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7" fillId="13" borderId="0" applyNumberFormat="0" applyBorder="0" applyAlignment="0" applyProtection="0"/>
    <xf numFmtId="0"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0" fontId="97" fillId="13" borderId="0" applyNumberFormat="0" applyBorder="0" applyAlignment="0" applyProtection="0"/>
    <xf numFmtId="0"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2" fontId="79" fillId="39" borderId="0" applyNumberForma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7"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71" fontId="99" fillId="0" borderId="3" applyFont="0"/>
    <xf numFmtId="1" fontId="99" fillId="0" borderId="3"/>
    <xf numFmtId="9" fontId="100" fillId="0" borderId="27" applyNumberFormat="0" applyBorder="0">
      <alignment horizontal="right"/>
    </xf>
    <xf numFmtId="165" fontId="20" fillId="0" borderId="0" applyFill="0" applyBorder="0" applyAlignment="0"/>
    <xf numFmtId="165" fontId="20" fillId="0" borderId="0" applyFill="0" applyBorder="0" applyAlignment="0"/>
    <xf numFmtId="165" fontId="20" fillId="0" borderId="0" applyFill="0" applyBorder="0" applyAlignment="0"/>
    <xf numFmtId="165" fontId="20" fillId="0" borderId="0" applyFill="0" applyBorder="0" applyAlignment="0"/>
    <xf numFmtId="182" fontId="83" fillId="42" borderId="21" applyNumberFormat="0" applyAlignment="0" applyProtection="0"/>
    <xf numFmtId="0" fontId="101" fillId="75" borderId="29" applyNumberFormat="0" applyAlignment="0" applyProtection="0"/>
    <xf numFmtId="0" fontId="101" fillId="75" borderId="29" applyNumberFormat="0" applyAlignment="0" applyProtection="0"/>
    <xf numFmtId="0" fontId="101" fillId="75" borderId="29" applyNumberFormat="0" applyAlignment="0" applyProtection="0"/>
    <xf numFmtId="184" fontId="101" fillId="75" borderId="29" applyNumberFormat="0" applyAlignment="0" applyProtection="0"/>
    <xf numFmtId="0" fontId="102" fillId="96" borderId="30" applyNumberFormat="0" applyAlignment="0" applyProtection="0"/>
    <xf numFmtId="184" fontId="102" fillId="96" borderId="30" applyNumberFormat="0" applyAlignment="0" applyProtection="0"/>
    <xf numFmtId="184" fontId="101" fillId="75" borderId="29" applyNumberFormat="0" applyAlignment="0" applyProtection="0"/>
    <xf numFmtId="182" fontId="102" fillId="96" borderId="30" applyNumberFormat="0" applyAlignment="0" applyProtection="0"/>
    <xf numFmtId="0"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5"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0" fontId="103" fillId="97" borderId="29" applyNumberFormat="0" applyAlignment="0" applyProtection="0"/>
    <xf numFmtId="183" fontId="103" fillId="97" borderId="29" applyNumberFormat="0" applyAlignment="0" applyProtection="0"/>
    <xf numFmtId="183"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185" fontId="103" fillId="97" borderId="29" applyNumberFormat="0" applyAlignment="0" applyProtection="0"/>
    <xf numFmtId="183" fontId="103" fillId="97" borderId="29" applyNumberFormat="0" applyAlignment="0" applyProtection="0"/>
    <xf numFmtId="183"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185"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0"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185" fontId="103" fillId="97" borderId="29" applyNumberFormat="0" applyAlignment="0" applyProtection="0"/>
    <xf numFmtId="183" fontId="103" fillId="97" borderId="29" applyNumberFormat="0" applyAlignment="0" applyProtection="0"/>
    <xf numFmtId="183"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185"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0" fontId="103" fillId="97" borderId="29" applyNumberFormat="0" applyAlignment="0" applyProtection="0"/>
    <xf numFmtId="183" fontId="103" fillId="97" borderId="29" applyNumberFormat="0" applyAlignment="0" applyProtection="0"/>
    <xf numFmtId="183"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185" fontId="103" fillId="97" borderId="29" applyNumberFormat="0" applyAlignment="0" applyProtection="0"/>
    <xf numFmtId="183" fontId="103" fillId="97" borderId="29" applyNumberFormat="0" applyAlignment="0" applyProtection="0"/>
    <xf numFmtId="183"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185"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0"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0" fontId="102" fillId="96" borderId="30" applyNumberFormat="0" applyAlignment="0" applyProtection="0"/>
    <xf numFmtId="183" fontId="103" fillId="97" borderId="29" applyNumberFormat="0" applyAlignment="0" applyProtection="0"/>
    <xf numFmtId="183"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183" fontId="102" fillId="96" borderId="30" applyNumberFormat="0" applyAlignment="0" applyProtection="0"/>
    <xf numFmtId="183" fontId="102" fillId="96" borderId="30" applyNumberFormat="0" applyAlignment="0" applyProtection="0"/>
    <xf numFmtId="183" fontId="102" fillId="96" borderId="30" applyNumberFormat="0" applyAlignment="0" applyProtection="0"/>
    <xf numFmtId="183" fontId="102" fillId="96" borderId="30" applyNumberFormat="0" applyAlignment="0" applyProtection="0"/>
    <xf numFmtId="184" fontId="102" fillId="96" borderId="30" applyNumberFormat="0" applyAlignment="0" applyProtection="0"/>
    <xf numFmtId="184" fontId="102" fillId="96" borderId="30" applyNumberFormat="0" applyAlignment="0" applyProtection="0"/>
    <xf numFmtId="183" fontId="102" fillId="96" borderId="30" applyNumberFormat="0" applyAlignment="0" applyProtection="0"/>
    <xf numFmtId="184" fontId="102" fillId="96" borderId="30" applyNumberFormat="0" applyAlignment="0" applyProtection="0"/>
    <xf numFmtId="184" fontId="102" fillId="96" borderId="30" applyNumberFormat="0" applyAlignment="0" applyProtection="0"/>
    <xf numFmtId="183" fontId="102" fillId="96" borderId="30" applyNumberFormat="0" applyAlignment="0" applyProtection="0"/>
    <xf numFmtId="183" fontId="102" fillId="96" borderId="30" applyNumberFormat="0" applyAlignment="0" applyProtection="0"/>
    <xf numFmtId="184" fontId="102" fillId="96" borderId="30" applyNumberFormat="0" applyAlignment="0" applyProtection="0"/>
    <xf numFmtId="184" fontId="102" fillId="96" borderId="30" applyNumberFormat="0" applyAlignment="0" applyProtection="0"/>
    <xf numFmtId="183" fontId="102" fillId="96" borderId="30" applyNumberFormat="0" applyAlignment="0" applyProtection="0"/>
    <xf numFmtId="184" fontId="102" fillId="96" borderId="30" applyNumberFormat="0" applyAlignment="0" applyProtection="0"/>
    <xf numFmtId="184" fontId="102" fillId="96" borderId="30" applyNumberFormat="0" applyAlignment="0" applyProtection="0"/>
    <xf numFmtId="0" fontId="102" fillId="96" borderId="30" applyNumberFormat="0" applyAlignment="0" applyProtection="0"/>
    <xf numFmtId="0" fontId="102" fillId="96" borderId="30" applyNumberFormat="0" applyAlignment="0" applyProtection="0"/>
    <xf numFmtId="0" fontId="102" fillId="96" borderId="30" applyNumberFormat="0" applyAlignment="0" applyProtection="0"/>
    <xf numFmtId="184" fontId="102" fillId="96" borderId="30" applyNumberFormat="0" applyAlignment="0" applyProtection="0"/>
    <xf numFmtId="184" fontId="102" fillId="96" borderId="30" applyNumberFormat="0" applyAlignment="0" applyProtection="0"/>
    <xf numFmtId="0" fontId="102" fillId="96" borderId="30" applyNumberFormat="0" applyAlignment="0" applyProtection="0"/>
    <xf numFmtId="184" fontId="102" fillId="96" borderId="30" applyNumberFormat="0" applyAlignment="0" applyProtection="0"/>
    <xf numFmtId="184" fontId="102" fillId="96" borderId="30" applyNumberFormat="0" applyAlignment="0" applyProtection="0"/>
    <xf numFmtId="0" fontId="102" fillId="96" borderId="30" applyNumberFormat="0" applyAlignment="0" applyProtection="0"/>
    <xf numFmtId="0" fontId="102" fillId="96" borderId="30" applyNumberFormat="0" applyAlignment="0" applyProtection="0"/>
    <xf numFmtId="184" fontId="102" fillId="96" borderId="30" applyNumberFormat="0" applyAlignment="0" applyProtection="0"/>
    <xf numFmtId="184" fontId="102" fillId="96" borderId="30" applyNumberFormat="0" applyAlignment="0" applyProtection="0"/>
    <xf numFmtId="0" fontId="102" fillId="96" borderId="30" applyNumberFormat="0" applyAlignment="0" applyProtection="0"/>
    <xf numFmtId="184" fontId="102" fillId="96" borderId="30" applyNumberFormat="0" applyAlignment="0" applyProtection="0"/>
    <xf numFmtId="184" fontId="102" fillId="96" borderId="30" applyNumberFormat="0" applyAlignment="0" applyProtection="0"/>
    <xf numFmtId="183" fontId="101" fillId="75" borderId="29" applyNumberFormat="0" applyAlignment="0" applyProtection="0"/>
    <xf numFmtId="183" fontId="101" fillId="75" borderId="29" applyNumberFormat="0" applyAlignment="0" applyProtection="0"/>
    <xf numFmtId="184" fontId="101" fillId="75" borderId="29" applyNumberFormat="0" applyAlignment="0" applyProtection="0"/>
    <xf numFmtId="184" fontId="101" fillId="75" borderId="29" applyNumberFormat="0" applyAlignment="0" applyProtection="0"/>
    <xf numFmtId="185" fontId="101" fillId="75" borderId="29" applyNumberFormat="0" applyAlignment="0" applyProtection="0"/>
    <xf numFmtId="183" fontId="101" fillId="75" borderId="29" applyNumberFormat="0" applyAlignment="0" applyProtection="0"/>
    <xf numFmtId="183" fontId="101" fillId="75" borderId="29" applyNumberFormat="0" applyAlignment="0" applyProtection="0"/>
    <xf numFmtId="184" fontId="101" fillId="75" borderId="29" applyNumberFormat="0" applyAlignment="0" applyProtection="0"/>
    <xf numFmtId="184" fontId="101" fillId="75" borderId="29" applyNumberFormat="0" applyAlignment="0" applyProtection="0"/>
    <xf numFmtId="185" fontId="101" fillId="75" borderId="29" applyNumberFormat="0" applyAlignment="0" applyProtection="0"/>
    <xf numFmtId="184" fontId="101" fillId="75" borderId="29" applyNumberFormat="0" applyAlignment="0" applyProtection="0"/>
    <xf numFmtId="184" fontId="101" fillId="75" borderId="29" applyNumberFormat="0" applyAlignment="0" applyProtection="0"/>
    <xf numFmtId="187" fontId="103" fillId="97" borderId="29" applyNumberFormat="0" applyAlignment="0" applyProtection="0"/>
    <xf numFmtId="0" fontId="101" fillId="75" borderId="29" applyNumberFormat="0" applyAlignment="0" applyProtection="0"/>
    <xf numFmtId="0" fontId="101" fillId="75" borderId="29" applyNumberFormat="0" applyAlignment="0" applyProtection="0"/>
    <xf numFmtId="184" fontId="101" fillId="75" borderId="29" applyNumberFormat="0" applyAlignment="0" applyProtection="0"/>
    <xf numFmtId="184" fontId="101" fillId="75" borderId="29" applyNumberFormat="0" applyAlignment="0" applyProtection="0"/>
    <xf numFmtId="0" fontId="101" fillId="75" borderId="29" applyNumberFormat="0" applyAlignment="0" applyProtection="0"/>
    <xf numFmtId="184" fontId="101" fillId="75" borderId="29" applyNumberFormat="0" applyAlignment="0" applyProtection="0"/>
    <xf numFmtId="187"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0" fontId="101" fillId="75" borderId="29" applyNumberFormat="0" applyAlignment="0" applyProtection="0"/>
    <xf numFmtId="183" fontId="103" fillId="97" borderId="29" applyNumberFormat="0" applyAlignment="0" applyProtection="0"/>
    <xf numFmtId="183"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183" fontId="83" fillId="42" borderId="21" applyNumberFormat="0" applyAlignment="0" applyProtection="0"/>
    <xf numFmtId="184" fontId="83" fillId="42" borderId="21" applyNumberFormat="0" applyAlignment="0" applyProtection="0"/>
    <xf numFmtId="185"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0" fontId="101" fillId="75" borderId="29" applyNumberFormat="0" applyAlignment="0" applyProtection="0"/>
    <xf numFmtId="183" fontId="83" fillId="42" borderId="21" applyNumberFormat="0" applyAlignment="0" applyProtection="0"/>
    <xf numFmtId="184" fontId="83" fillId="42" borderId="21" applyNumberFormat="0" applyAlignment="0" applyProtection="0"/>
    <xf numFmtId="185" fontId="83" fillId="42" borderId="21" applyNumberFormat="0" applyAlignment="0" applyProtection="0"/>
    <xf numFmtId="183"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184" fontId="83" fillId="42" borderId="21" applyNumberFormat="0" applyAlignment="0" applyProtection="0"/>
    <xf numFmtId="0" fontId="101" fillId="75" borderId="29" applyNumberFormat="0" applyAlignment="0" applyProtection="0"/>
    <xf numFmtId="183" fontId="101" fillId="75" borderId="29" applyNumberFormat="0" applyAlignment="0" applyProtection="0"/>
    <xf numFmtId="183" fontId="101" fillId="75" borderId="29" applyNumberFormat="0" applyAlignment="0" applyProtection="0"/>
    <xf numFmtId="184" fontId="101" fillId="75" borderId="29" applyNumberFormat="0" applyAlignment="0" applyProtection="0"/>
    <xf numFmtId="184" fontId="101" fillId="75" borderId="29" applyNumberFormat="0" applyAlignment="0" applyProtection="0"/>
    <xf numFmtId="185" fontId="101" fillId="75" borderId="29" applyNumberFormat="0" applyAlignment="0" applyProtection="0"/>
    <xf numFmtId="183" fontId="101" fillId="75" borderId="29" applyNumberFormat="0" applyAlignment="0" applyProtection="0"/>
    <xf numFmtId="183" fontId="101" fillId="75" borderId="29" applyNumberFormat="0" applyAlignment="0" applyProtection="0"/>
    <xf numFmtId="184" fontId="101" fillId="75" borderId="29" applyNumberFormat="0" applyAlignment="0" applyProtection="0"/>
    <xf numFmtId="184" fontId="101" fillId="75" borderId="29" applyNumberFormat="0" applyAlignment="0" applyProtection="0"/>
    <xf numFmtId="185" fontId="101" fillId="75" borderId="29" applyNumberFormat="0" applyAlignment="0" applyProtection="0"/>
    <xf numFmtId="184" fontId="101" fillId="75" borderId="29" applyNumberFormat="0" applyAlignment="0" applyProtection="0"/>
    <xf numFmtId="184" fontId="101" fillId="75" borderId="29" applyNumberFormat="0" applyAlignment="0" applyProtection="0"/>
    <xf numFmtId="0" fontId="101" fillId="75" borderId="29" applyNumberFormat="0" applyAlignment="0" applyProtection="0"/>
    <xf numFmtId="184" fontId="101" fillId="75" borderId="29" applyNumberFormat="0" applyAlignment="0" applyProtection="0"/>
    <xf numFmtId="184" fontId="101" fillId="75" borderId="29" applyNumberFormat="0" applyAlignment="0" applyProtection="0"/>
    <xf numFmtId="185" fontId="103" fillId="97" borderId="29" applyNumberFormat="0" applyAlignment="0" applyProtection="0"/>
    <xf numFmtId="183" fontId="103" fillId="97" borderId="29" applyNumberFormat="0" applyAlignment="0" applyProtection="0"/>
    <xf numFmtId="183"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185" fontId="103" fillId="97" borderId="29" applyNumberFormat="0" applyAlignment="0" applyProtection="0"/>
    <xf numFmtId="184" fontId="103" fillId="97" borderId="29" applyNumberFormat="0" applyAlignment="0" applyProtection="0"/>
    <xf numFmtId="184" fontId="103" fillId="97" borderId="29" applyNumberFormat="0" applyAlignment="0" applyProtection="0"/>
    <xf numFmtId="0" fontId="83" fillId="42" borderId="21" applyNumberFormat="0" applyAlignment="0" applyProtection="0"/>
    <xf numFmtId="184" fontId="83" fillId="42" borderId="21" applyNumberFormat="0" applyAlignment="0" applyProtection="0"/>
    <xf numFmtId="0" fontId="102" fillId="96" borderId="30" applyNumberFormat="0" applyAlignment="0" applyProtection="0"/>
    <xf numFmtId="184" fontId="102" fillId="96" borderId="30" applyNumberFormat="0" applyAlignment="0" applyProtection="0"/>
    <xf numFmtId="184" fontId="83" fillId="42" borderId="21" applyNumberFormat="0" applyAlignment="0" applyProtection="0"/>
    <xf numFmtId="0"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90" fontId="104" fillId="0" borderId="0" applyNumberFormat="0" applyFont="0" applyFill="0" applyBorder="0" applyProtection="0">
      <alignment horizontal="centerContinuous" wrapText="1"/>
    </xf>
    <xf numFmtId="191" fontId="20" fillId="0" borderId="0"/>
    <xf numFmtId="0" fontId="105" fillId="98" borderId="31" applyNumberFormat="0" applyAlignment="0" applyProtection="0"/>
    <xf numFmtId="0" fontId="105" fillId="98" borderId="31" applyNumberFormat="0" applyAlignment="0" applyProtection="0"/>
    <xf numFmtId="184" fontId="105" fillId="98" borderId="31" applyNumberFormat="0" applyAlignment="0" applyProtection="0"/>
    <xf numFmtId="184" fontId="105" fillId="98" borderId="31" applyNumberFormat="0" applyAlignment="0" applyProtection="0"/>
    <xf numFmtId="182" fontId="105" fillId="90" borderId="31" applyNumberFormat="0" applyAlignment="0" applyProtection="0"/>
    <xf numFmtId="0" fontId="85" fillId="43" borderId="24" applyNumberFormat="0" applyAlignment="0" applyProtection="0"/>
    <xf numFmtId="183" fontId="85" fillId="43" borderId="24" applyNumberFormat="0" applyAlignment="0" applyProtection="0"/>
    <xf numFmtId="184" fontId="85" fillId="43" borderId="24" applyNumberFormat="0" applyAlignment="0" applyProtection="0"/>
    <xf numFmtId="185" fontId="85" fillId="43" borderId="24" applyNumberFormat="0" applyAlignment="0" applyProtection="0"/>
    <xf numFmtId="183" fontId="85" fillId="43" borderId="24" applyNumberFormat="0" applyAlignment="0" applyProtection="0"/>
    <xf numFmtId="184" fontId="85" fillId="43" borderId="24" applyNumberFormat="0" applyAlignment="0" applyProtection="0"/>
    <xf numFmtId="184" fontId="85" fillId="43" borderId="24" applyNumberFormat="0" applyAlignment="0" applyProtection="0"/>
    <xf numFmtId="184" fontId="85" fillId="43" borderId="24" applyNumberFormat="0" applyAlignment="0" applyProtection="0"/>
    <xf numFmtId="0" fontId="105" fillId="14" borderId="31" applyNumberFormat="0" applyAlignment="0" applyProtection="0"/>
    <xf numFmtId="183" fontId="105" fillId="14" borderId="31" applyNumberFormat="0" applyAlignment="0" applyProtection="0"/>
    <xf numFmtId="184" fontId="105" fillId="14" borderId="31" applyNumberFormat="0" applyAlignment="0" applyProtection="0"/>
    <xf numFmtId="185" fontId="105" fillId="14" borderId="31" applyNumberFormat="0" applyAlignment="0" applyProtection="0"/>
    <xf numFmtId="183" fontId="105" fillId="14" borderId="31" applyNumberFormat="0" applyAlignment="0" applyProtection="0"/>
    <xf numFmtId="184" fontId="105" fillId="14" borderId="31" applyNumberFormat="0" applyAlignment="0" applyProtection="0"/>
    <xf numFmtId="184" fontId="105" fillId="14" borderId="31" applyNumberFormat="0" applyAlignment="0" applyProtection="0"/>
    <xf numFmtId="184" fontId="105" fillId="14" borderId="31" applyNumberFormat="0" applyAlignment="0" applyProtection="0"/>
    <xf numFmtId="185" fontId="105" fillId="14" borderId="31" applyNumberFormat="0" applyAlignment="0" applyProtection="0"/>
    <xf numFmtId="183" fontId="105" fillId="14" borderId="31" applyNumberFormat="0" applyAlignment="0" applyProtection="0"/>
    <xf numFmtId="184" fontId="105" fillId="14" borderId="31" applyNumberFormat="0" applyAlignment="0" applyProtection="0"/>
    <xf numFmtId="184" fontId="105" fillId="14" borderId="31" applyNumberFormat="0" applyAlignment="0" applyProtection="0"/>
    <xf numFmtId="0" fontId="105" fillId="14" borderId="31" applyNumberFormat="0" applyAlignment="0" applyProtection="0"/>
    <xf numFmtId="183" fontId="105" fillId="14" borderId="31" applyNumberFormat="0" applyAlignment="0" applyProtection="0"/>
    <xf numFmtId="184" fontId="105" fillId="14" borderId="31" applyNumberFormat="0" applyAlignment="0" applyProtection="0"/>
    <xf numFmtId="185" fontId="105" fillId="14" borderId="31" applyNumberFormat="0" applyAlignment="0" applyProtection="0"/>
    <xf numFmtId="183" fontId="105" fillId="14" borderId="31" applyNumberFormat="0" applyAlignment="0" applyProtection="0"/>
    <xf numFmtId="184" fontId="105" fillId="14" borderId="31" applyNumberFormat="0" applyAlignment="0" applyProtection="0"/>
    <xf numFmtId="184" fontId="105" fillId="14" borderId="31" applyNumberFormat="0" applyAlignment="0" applyProtection="0"/>
    <xf numFmtId="184" fontId="105" fillId="14" borderId="31" applyNumberFormat="0" applyAlignment="0" applyProtection="0"/>
    <xf numFmtId="0" fontId="105" fillId="90" borderId="31" applyNumberFormat="0" applyAlignment="0" applyProtection="0"/>
    <xf numFmtId="183" fontId="105" fillId="14" borderId="31" applyNumberFormat="0" applyAlignment="0" applyProtection="0"/>
    <xf numFmtId="184" fontId="105" fillId="14" borderId="31" applyNumberFormat="0" applyAlignment="0" applyProtection="0"/>
    <xf numFmtId="183" fontId="105" fillId="90" borderId="31" applyNumberFormat="0" applyAlignment="0" applyProtection="0"/>
    <xf numFmtId="184" fontId="105" fillId="90" borderId="31" applyNumberFormat="0" applyAlignment="0" applyProtection="0"/>
    <xf numFmtId="184" fontId="105" fillId="90" borderId="31" applyNumberFormat="0" applyAlignment="0" applyProtection="0"/>
    <xf numFmtId="183" fontId="105" fillId="98" borderId="31" applyNumberFormat="0" applyAlignment="0" applyProtection="0"/>
    <xf numFmtId="184" fontId="105" fillId="98" borderId="31" applyNumberFormat="0" applyAlignment="0" applyProtection="0"/>
    <xf numFmtId="185" fontId="105" fillId="98" borderId="31" applyNumberFormat="0" applyAlignment="0" applyProtection="0"/>
    <xf numFmtId="183" fontId="105" fillId="98" borderId="31" applyNumberFormat="0" applyAlignment="0" applyProtection="0"/>
    <xf numFmtId="184" fontId="105" fillId="98" borderId="31" applyNumberFormat="0" applyAlignment="0" applyProtection="0"/>
    <xf numFmtId="184" fontId="105" fillId="98" borderId="31" applyNumberFormat="0" applyAlignment="0" applyProtection="0"/>
    <xf numFmtId="187" fontId="105" fillId="14" borderId="31" applyNumberFormat="0" applyAlignment="0" applyProtection="0"/>
    <xf numFmtId="0" fontId="105" fillId="98" borderId="31" applyNumberFormat="0" applyAlignment="0" applyProtection="0"/>
    <xf numFmtId="184" fontId="105" fillId="98" borderId="31" applyNumberFormat="0" applyAlignment="0" applyProtection="0"/>
    <xf numFmtId="184" fontId="105" fillId="14" borderId="31" applyNumberFormat="0" applyAlignment="0" applyProtection="0"/>
    <xf numFmtId="0" fontId="105" fillId="98" borderId="31" applyNumberFormat="0" applyAlignment="0" applyProtection="0"/>
    <xf numFmtId="183" fontId="105" fillId="14" borderId="31" applyNumberFormat="0" applyAlignment="0" applyProtection="0"/>
    <xf numFmtId="184" fontId="105" fillId="14" borderId="31" applyNumberFormat="0" applyAlignment="0" applyProtection="0"/>
    <xf numFmtId="183" fontId="85" fillId="43" borderId="24" applyNumberFormat="0" applyAlignment="0" applyProtection="0"/>
    <xf numFmtId="184" fontId="85" fillId="43" borderId="24" applyNumberFormat="0" applyAlignment="0" applyProtection="0"/>
    <xf numFmtId="185" fontId="85" fillId="43" borderId="24" applyNumberFormat="0" applyAlignment="0" applyProtection="0"/>
    <xf numFmtId="183" fontId="85" fillId="43" borderId="24" applyNumberFormat="0" applyAlignment="0" applyProtection="0"/>
    <xf numFmtId="184" fontId="85" fillId="43" borderId="24" applyNumberFormat="0" applyAlignment="0" applyProtection="0"/>
    <xf numFmtId="184" fontId="85" fillId="43" borderId="24" applyNumberFormat="0" applyAlignment="0" applyProtection="0"/>
    <xf numFmtId="184" fontId="85" fillId="43" borderId="24" applyNumberFormat="0" applyAlignment="0" applyProtection="0"/>
    <xf numFmtId="0" fontId="105" fillId="98" borderId="31" applyNumberFormat="0" applyAlignment="0" applyProtection="0"/>
    <xf numFmtId="183" fontId="85" fillId="43" borderId="24" applyNumberFormat="0" applyAlignment="0" applyProtection="0"/>
    <xf numFmtId="184" fontId="85" fillId="43" borderId="24" applyNumberFormat="0" applyAlignment="0" applyProtection="0"/>
    <xf numFmtId="185" fontId="85" fillId="43" borderId="24" applyNumberFormat="0" applyAlignment="0" applyProtection="0"/>
    <xf numFmtId="183" fontId="85" fillId="43" borderId="24" applyNumberFormat="0" applyAlignment="0" applyProtection="0"/>
    <xf numFmtId="184" fontId="85" fillId="43" borderId="24" applyNumberFormat="0" applyAlignment="0" applyProtection="0"/>
    <xf numFmtId="184" fontId="85" fillId="43" borderId="24" applyNumberFormat="0" applyAlignment="0" applyProtection="0"/>
    <xf numFmtId="184" fontId="85" fillId="43" borderId="24" applyNumberFormat="0" applyAlignment="0" applyProtection="0"/>
    <xf numFmtId="0" fontId="105" fillId="98" borderId="31" applyNumberFormat="0" applyAlignment="0" applyProtection="0"/>
    <xf numFmtId="183" fontId="105" fillId="98" borderId="31" applyNumberFormat="0" applyAlignment="0" applyProtection="0"/>
    <xf numFmtId="184" fontId="105" fillId="98" borderId="31" applyNumberFormat="0" applyAlignment="0" applyProtection="0"/>
    <xf numFmtId="185" fontId="105" fillId="98" borderId="31" applyNumberFormat="0" applyAlignment="0" applyProtection="0"/>
    <xf numFmtId="183" fontId="105" fillId="98" borderId="31" applyNumberFormat="0" applyAlignment="0" applyProtection="0"/>
    <xf numFmtId="184" fontId="105" fillId="98" borderId="31" applyNumberFormat="0" applyAlignment="0" applyProtection="0"/>
    <xf numFmtId="184" fontId="105" fillId="98" borderId="31" applyNumberFormat="0" applyAlignment="0" applyProtection="0"/>
    <xf numFmtId="184" fontId="105" fillId="98" borderId="31" applyNumberFormat="0" applyAlignment="0" applyProtection="0"/>
    <xf numFmtId="185" fontId="105" fillId="14" borderId="31" applyNumberFormat="0" applyAlignment="0" applyProtection="0"/>
    <xf numFmtId="183" fontId="105" fillId="14" borderId="31" applyNumberFormat="0" applyAlignment="0" applyProtection="0"/>
    <xf numFmtId="184" fontId="105" fillId="14" borderId="31" applyNumberFormat="0" applyAlignment="0" applyProtection="0"/>
    <xf numFmtId="184" fontId="105" fillId="14" borderId="31" applyNumberFormat="0" applyAlignment="0" applyProtection="0"/>
    <xf numFmtId="0" fontId="85" fillId="43" borderId="24" applyNumberFormat="0" applyAlignment="0" applyProtection="0"/>
    <xf numFmtId="184" fontId="85" fillId="43" borderId="24" applyNumberFormat="0" applyAlignment="0" applyProtection="0"/>
    <xf numFmtId="184" fontId="85" fillId="43" borderId="24" applyNumberFormat="0" applyAlignment="0" applyProtection="0"/>
    <xf numFmtId="182" fontId="85" fillId="43" borderId="24" applyNumberFormat="0" applyAlignment="0" applyProtection="0"/>
    <xf numFmtId="41" fontId="20" fillId="0" borderId="0" applyFont="0" applyFill="0" applyBorder="0" applyAlignment="0" applyProtection="0"/>
    <xf numFmtId="41"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6" fillId="0" borderId="0" applyNumberFormat="0" applyAlignment="0">
      <alignment horizontal="left"/>
    </xf>
    <xf numFmtId="0"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7"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92" fontId="99" fillId="0" borderId="3"/>
    <xf numFmtId="44" fontId="36"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6"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0" fillId="0" borderId="0" applyFont="0" applyFill="0" applyBorder="0" applyAlignment="0" applyProtection="0"/>
    <xf numFmtId="44" fontId="36"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36"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20"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4" fontId="107" fillId="0" borderId="0" applyFont="0" applyFill="0" applyBorder="0" applyAlignment="0" applyProtection="0"/>
    <xf numFmtId="6" fontId="108" fillId="0" borderId="0">
      <protection locked="0"/>
    </xf>
    <xf numFmtId="14" fontId="20" fillId="0" borderId="0" applyFont="0" applyFill="0" applyBorder="0" applyAlignment="0" applyProtection="0"/>
    <xf numFmtId="14" fontId="20" fillId="0" borderId="0" applyFont="0" applyFill="0" applyBorder="0" applyAlignment="0" applyProtection="0"/>
    <xf numFmtId="6" fontId="109" fillId="0" borderId="0">
      <protection locked="0"/>
    </xf>
    <xf numFmtId="4" fontId="110" fillId="0" borderId="0" applyFont="0" applyFill="0" applyBorder="0" applyAlignment="0" applyProtection="0"/>
    <xf numFmtId="182" fontId="38" fillId="99" borderId="0" applyNumberFormat="0" applyBorder="0" applyAlignment="0" applyProtection="0"/>
    <xf numFmtId="0" fontId="38" fillId="22" borderId="0" applyNumberFormat="0" applyBorder="0" applyAlignment="0" applyProtection="0"/>
    <xf numFmtId="183" fontId="38" fillId="22" borderId="0" applyNumberFormat="0" applyBorder="0" applyAlignment="0" applyProtection="0"/>
    <xf numFmtId="184" fontId="38" fillId="22" borderId="0" applyNumberFormat="0" applyBorder="0" applyAlignment="0" applyProtection="0"/>
    <xf numFmtId="185" fontId="38" fillId="22" borderId="0" applyNumberFormat="0" applyBorder="0" applyAlignment="0" applyProtection="0"/>
    <xf numFmtId="183" fontId="38" fillId="22" borderId="0" applyNumberFormat="0" applyBorder="0" applyAlignment="0" applyProtection="0"/>
    <xf numFmtId="184" fontId="38" fillId="22" borderId="0" applyNumberFormat="0" applyBorder="0" applyAlignment="0" applyProtection="0"/>
    <xf numFmtId="184" fontId="38" fillId="22" borderId="0" applyNumberFormat="0" applyBorder="0" applyAlignment="0" applyProtection="0"/>
    <xf numFmtId="0" fontId="38" fillId="99" borderId="0" applyNumberFormat="0" applyBorder="0" applyAlignment="0" applyProtection="0"/>
    <xf numFmtId="183" fontId="38" fillId="99" borderId="0" applyNumberFormat="0" applyBorder="0" applyAlignment="0" applyProtection="0"/>
    <xf numFmtId="184" fontId="38" fillId="99" borderId="0" applyNumberFormat="0" applyBorder="0" applyAlignment="0" applyProtection="0"/>
    <xf numFmtId="184" fontId="38" fillId="99" borderId="0" applyNumberFormat="0" applyBorder="0" applyAlignment="0" applyProtection="0"/>
    <xf numFmtId="184" fontId="38" fillId="22" borderId="0" applyNumberFormat="0" applyBorder="0" applyAlignment="0" applyProtection="0"/>
    <xf numFmtId="185" fontId="38" fillId="22" borderId="0" applyNumberFormat="0" applyBorder="0" applyAlignment="0" applyProtection="0"/>
    <xf numFmtId="183" fontId="38" fillId="22" borderId="0" applyNumberFormat="0" applyBorder="0" applyAlignment="0" applyProtection="0"/>
    <xf numFmtId="184" fontId="38" fillId="22" borderId="0" applyNumberFormat="0" applyBorder="0" applyAlignment="0" applyProtection="0"/>
    <xf numFmtId="184" fontId="38" fillId="22" borderId="0" applyNumberFormat="0" applyBorder="0" applyAlignment="0" applyProtection="0"/>
    <xf numFmtId="183" fontId="38" fillId="22" borderId="0" applyNumberFormat="0" applyBorder="0" applyAlignment="0" applyProtection="0"/>
    <xf numFmtId="184" fontId="38" fillId="22" borderId="0" applyNumberFormat="0" applyBorder="0" applyAlignment="0" applyProtection="0"/>
    <xf numFmtId="0" fontId="38" fillId="22" borderId="0" applyNumberFormat="0" applyBorder="0" applyAlignment="0" applyProtection="0"/>
    <xf numFmtId="184" fontId="38" fillId="22" borderId="0" applyNumberFormat="0" applyBorder="0" applyAlignment="0" applyProtection="0"/>
    <xf numFmtId="187" fontId="38" fillId="22" borderId="0" applyNumberFormat="0" applyBorder="0" applyAlignment="0" applyProtection="0"/>
    <xf numFmtId="0" fontId="38" fillId="22" borderId="0" applyNumberFormat="0" applyBorder="0" applyAlignment="0" applyProtection="0"/>
    <xf numFmtId="184" fontId="38" fillId="22" borderId="0" applyNumberFormat="0" applyBorder="0" applyAlignment="0" applyProtection="0"/>
    <xf numFmtId="184" fontId="38" fillId="22" borderId="0" applyNumberFormat="0" applyBorder="0" applyAlignment="0" applyProtection="0"/>
    <xf numFmtId="0" fontId="38" fillId="22" borderId="0" applyNumberFormat="0" applyBorder="0" applyAlignment="0" applyProtection="0"/>
    <xf numFmtId="184" fontId="38" fillId="22" borderId="0" applyNumberFormat="0" applyBorder="0" applyAlignment="0" applyProtection="0"/>
    <xf numFmtId="0" fontId="38" fillId="22" borderId="0" applyNumberFormat="0" applyBorder="0" applyAlignment="0" applyProtection="0"/>
    <xf numFmtId="184" fontId="38" fillId="22" borderId="0" applyNumberFormat="0" applyBorder="0" applyAlignment="0" applyProtection="0"/>
    <xf numFmtId="184" fontId="38" fillId="22" borderId="0" applyNumberFormat="0" applyBorder="0" applyAlignment="0" applyProtection="0"/>
    <xf numFmtId="182" fontId="38" fillId="100" borderId="0" applyNumberFormat="0" applyBorder="0" applyAlignment="0" applyProtection="0"/>
    <xf numFmtId="0" fontId="38" fillId="23" borderId="0" applyNumberFormat="0" applyBorder="0" applyAlignment="0" applyProtection="0"/>
    <xf numFmtId="183" fontId="38" fillId="23" borderId="0" applyNumberFormat="0" applyBorder="0" applyAlignment="0" applyProtection="0"/>
    <xf numFmtId="184" fontId="38" fillId="23" borderId="0" applyNumberFormat="0" applyBorder="0" applyAlignment="0" applyProtection="0"/>
    <xf numFmtId="185" fontId="38" fillId="23" borderId="0" applyNumberFormat="0" applyBorder="0" applyAlignment="0" applyProtection="0"/>
    <xf numFmtId="183" fontId="38" fillId="23" borderId="0" applyNumberFormat="0" applyBorder="0" applyAlignment="0" applyProtection="0"/>
    <xf numFmtId="184" fontId="38" fillId="23" borderId="0" applyNumberFormat="0" applyBorder="0" applyAlignment="0" applyProtection="0"/>
    <xf numFmtId="184" fontId="38" fillId="23" borderId="0" applyNumberFormat="0" applyBorder="0" applyAlignment="0" applyProtection="0"/>
    <xf numFmtId="0" fontId="38" fillId="100" borderId="0" applyNumberFormat="0" applyBorder="0" applyAlignment="0" applyProtection="0"/>
    <xf numFmtId="183" fontId="38" fillId="100" borderId="0" applyNumberFormat="0" applyBorder="0" applyAlignment="0" applyProtection="0"/>
    <xf numFmtId="184" fontId="38" fillId="100" borderId="0" applyNumberFormat="0" applyBorder="0" applyAlignment="0" applyProtection="0"/>
    <xf numFmtId="184" fontId="38" fillId="100" borderId="0" applyNumberFormat="0" applyBorder="0" applyAlignment="0" applyProtection="0"/>
    <xf numFmtId="184" fontId="38" fillId="23" borderId="0" applyNumberFormat="0" applyBorder="0" applyAlignment="0" applyProtection="0"/>
    <xf numFmtId="185" fontId="38" fillId="23" borderId="0" applyNumberFormat="0" applyBorder="0" applyAlignment="0" applyProtection="0"/>
    <xf numFmtId="183" fontId="38" fillId="23" borderId="0" applyNumberFormat="0" applyBorder="0" applyAlignment="0" applyProtection="0"/>
    <xf numFmtId="184" fontId="38" fillId="23" borderId="0" applyNumberFormat="0" applyBorder="0" applyAlignment="0" applyProtection="0"/>
    <xf numFmtId="184" fontId="38" fillId="23" borderId="0" applyNumberFormat="0" applyBorder="0" applyAlignment="0" applyProtection="0"/>
    <xf numFmtId="183" fontId="38" fillId="23" borderId="0" applyNumberFormat="0" applyBorder="0" applyAlignment="0" applyProtection="0"/>
    <xf numFmtId="184" fontId="38" fillId="23" borderId="0" applyNumberFormat="0" applyBorder="0" applyAlignment="0" applyProtection="0"/>
    <xf numFmtId="0" fontId="38" fillId="23" borderId="0" applyNumberFormat="0" applyBorder="0" applyAlignment="0" applyProtection="0"/>
    <xf numFmtId="184" fontId="38" fillId="23" borderId="0" applyNumberFormat="0" applyBorder="0" applyAlignment="0" applyProtection="0"/>
    <xf numFmtId="187" fontId="38" fillId="23" borderId="0" applyNumberFormat="0" applyBorder="0" applyAlignment="0" applyProtection="0"/>
    <xf numFmtId="0" fontId="38" fillId="23" borderId="0" applyNumberFormat="0" applyBorder="0" applyAlignment="0" applyProtection="0"/>
    <xf numFmtId="184" fontId="38" fillId="23" borderId="0" applyNumberFormat="0" applyBorder="0" applyAlignment="0" applyProtection="0"/>
    <xf numFmtId="184" fontId="38" fillId="23" borderId="0" applyNumberFormat="0" applyBorder="0" applyAlignment="0" applyProtection="0"/>
    <xf numFmtId="0" fontId="38" fillId="23" borderId="0" applyNumberFormat="0" applyBorder="0" applyAlignment="0" applyProtection="0"/>
    <xf numFmtId="184" fontId="38" fillId="23" borderId="0" applyNumberFormat="0" applyBorder="0" applyAlignment="0" applyProtection="0"/>
    <xf numFmtId="0" fontId="38" fillId="23" borderId="0" applyNumberFormat="0" applyBorder="0" applyAlignment="0" applyProtection="0"/>
    <xf numFmtId="184" fontId="38" fillId="23" borderId="0" applyNumberFormat="0" applyBorder="0" applyAlignment="0" applyProtection="0"/>
    <xf numFmtId="184" fontId="38" fillId="23" borderId="0" applyNumberFormat="0" applyBorder="0" applyAlignment="0" applyProtection="0"/>
    <xf numFmtId="0" fontId="38" fillId="24" borderId="0" applyNumberFormat="0" applyBorder="0" applyAlignment="0" applyProtection="0"/>
    <xf numFmtId="183" fontId="38" fillId="24" borderId="0" applyNumberFormat="0" applyBorder="0" applyAlignment="0" applyProtection="0"/>
    <xf numFmtId="184" fontId="38" fillId="24" borderId="0" applyNumberFormat="0" applyBorder="0" applyAlignment="0" applyProtection="0"/>
    <xf numFmtId="185" fontId="38" fillId="24" borderId="0" applyNumberFormat="0" applyBorder="0" applyAlignment="0" applyProtection="0"/>
    <xf numFmtId="183" fontId="38" fillId="24" borderId="0" applyNumberFormat="0" applyBorder="0" applyAlignment="0" applyProtection="0"/>
    <xf numFmtId="184" fontId="38" fillId="24" borderId="0" applyNumberFormat="0" applyBorder="0" applyAlignment="0" applyProtection="0"/>
    <xf numFmtId="184" fontId="38" fillId="24" borderId="0" applyNumberFormat="0" applyBorder="0" applyAlignment="0" applyProtection="0"/>
    <xf numFmtId="184" fontId="38" fillId="24" borderId="0" applyNumberFormat="0" applyBorder="0" applyAlignment="0" applyProtection="0"/>
    <xf numFmtId="185" fontId="38" fillId="24" borderId="0" applyNumberFormat="0" applyBorder="0" applyAlignment="0" applyProtection="0"/>
    <xf numFmtId="183" fontId="38" fillId="24" borderId="0" applyNumberFormat="0" applyBorder="0" applyAlignment="0" applyProtection="0"/>
    <xf numFmtId="184" fontId="38" fillId="24" borderId="0" applyNumberFormat="0" applyBorder="0" applyAlignment="0" applyProtection="0"/>
    <xf numFmtId="184" fontId="38" fillId="24" borderId="0" applyNumberFormat="0" applyBorder="0" applyAlignment="0" applyProtection="0"/>
    <xf numFmtId="183" fontId="38" fillId="24" borderId="0" applyNumberFormat="0" applyBorder="0" applyAlignment="0" applyProtection="0"/>
    <xf numFmtId="184" fontId="38" fillId="24" borderId="0" applyNumberFormat="0" applyBorder="0" applyAlignment="0" applyProtection="0"/>
    <xf numFmtId="187" fontId="38" fillId="24" borderId="0" applyNumberFormat="0" applyBorder="0" applyAlignment="0" applyProtection="0"/>
    <xf numFmtId="184" fontId="38" fillId="24" borderId="0" applyNumberFormat="0" applyBorder="0" applyAlignment="0" applyProtection="0"/>
    <xf numFmtId="184" fontId="38" fillId="24" borderId="0" applyNumberFormat="0" applyBorder="0" applyAlignment="0" applyProtection="0"/>
    <xf numFmtId="182" fontId="38" fillId="24" borderId="0" applyNumberFormat="0" applyBorder="0" applyAlignment="0" applyProtection="0"/>
    <xf numFmtId="0" fontId="111" fillId="0" borderId="0" applyNumberFormat="0" applyAlignment="0">
      <alignment horizontal="left"/>
    </xf>
    <xf numFmtId="0"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7"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7"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7" fontId="113" fillId="0" borderId="0" applyNumberForma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184" fontId="113" fillId="0" borderId="0" applyNumberFormat="0" applyFill="0" applyBorder="0" applyAlignment="0" applyProtection="0"/>
    <xf numFmtId="0" fontId="112"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195" fontId="20" fillId="0" borderId="0">
      <protection locked="0"/>
    </xf>
    <xf numFmtId="195" fontId="20" fillId="0" borderId="0">
      <protection locked="0"/>
    </xf>
    <xf numFmtId="195" fontId="20" fillId="0" borderId="0">
      <protection locked="0"/>
    </xf>
    <xf numFmtId="195" fontId="20" fillId="0" borderId="0">
      <protection locked="0"/>
    </xf>
    <xf numFmtId="0" fontId="110"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96" fontId="32" fillId="0" borderId="0"/>
    <xf numFmtId="0" fontId="114" fillId="7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2" fontId="36" fillId="86" borderId="0" applyNumberFormat="0" applyBorder="0" applyAlignment="0" applyProtection="0"/>
    <xf numFmtId="0"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7" fontId="114" fillId="101" borderId="0" applyNumberFormat="0" applyBorder="0" applyAlignment="0" applyProtection="0"/>
    <xf numFmtId="184" fontId="114" fillId="101" borderId="0" applyNumberFormat="0" applyBorder="0" applyAlignment="0" applyProtection="0"/>
    <xf numFmtId="184" fontId="78" fillId="38"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36" fillId="86"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36" fillId="86" borderId="0" applyNumberFormat="0" applyBorder="0" applyAlignment="0" applyProtection="0"/>
    <xf numFmtId="183" fontId="36" fillId="86" borderId="0" applyNumberFormat="0" applyBorder="0" applyAlignment="0" applyProtection="0"/>
    <xf numFmtId="184" fontId="36" fillId="86" borderId="0" applyNumberFormat="0" applyBorder="0" applyAlignment="0" applyProtection="0"/>
    <xf numFmtId="184" fontId="36" fillId="86" borderId="0" applyNumberFormat="0" applyBorder="0" applyAlignment="0" applyProtection="0"/>
    <xf numFmtId="0" fontId="36" fillId="86" borderId="0" applyNumberFormat="0" applyBorder="0" applyAlignment="0" applyProtection="0"/>
    <xf numFmtId="184" fontId="36" fillId="86" borderId="0" applyNumberFormat="0" applyBorder="0" applyAlignment="0" applyProtection="0"/>
    <xf numFmtId="184" fontId="36" fillId="86"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7" fontId="114" fillId="10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101" borderId="0" applyNumberFormat="0" applyBorder="0" applyAlignment="0" applyProtection="0"/>
    <xf numFmtId="0" fontId="114" fillId="7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2" fontId="78" fillId="38" borderId="0" applyNumberFormat="0" applyBorder="0" applyAlignment="0" applyProtection="0"/>
    <xf numFmtId="38" fontId="22" fillId="69" borderId="0" applyNumberFormat="0" applyBorder="0" applyAlignment="0" applyProtection="0"/>
    <xf numFmtId="38" fontId="22" fillId="69" borderId="0" applyNumberFormat="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0"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7"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0" fontId="69" fillId="0" borderId="17" applyNumberFormat="0" applyAlignment="0" applyProtection="0">
      <alignment horizontal="left" vertical="center"/>
    </xf>
    <xf numFmtId="0" fontId="69" fillId="0" borderId="17" applyNumberFormat="0" applyAlignment="0" applyProtection="0">
      <alignment horizontal="left" vertical="center"/>
    </xf>
    <xf numFmtId="183" fontId="69" fillId="0" borderId="17" applyNumberFormat="0" applyAlignment="0" applyProtection="0">
      <alignment horizontal="left" vertical="center"/>
    </xf>
    <xf numFmtId="184" fontId="69" fillId="0" borderId="17" applyNumberFormat="0" applyAlignment="0" applyProtection="0">
      <alignment horizontal="left" vertical="center"/>
    </xf>
    <xf numFmtId="185" fontId="69" fillId="0" borderId="17" applyNumberFormat="0" applyAlignment="0" applyProtection="0">
      <alignment horizontal="left" vertical="center"/>
    </xf>
    <xf numFmtId="183" fontId="69" fillId="0" borderId="17" applyNumberFormat="0" applyAlignment="0" applyProtection="0">
      <alignment horizontal="left" vertical="center"/>
    </xf>
    <xf numFmtId="184" fontId="69" fillId="0" borderId="17" applyNumberFormat="0" applyAlignment="0" applyProtection="0">
      <alignment horizontal="left" vertical="center"/>
    </xf>
    <xf numFmtId="184" fontId="69" fillId="0" borderId="17" applyNumberFormat="0" applyAlignment="0" applyProtection="0">
      <alignment horizontal="left" vertical="center"/>
    </xf>
    <xf numFmtId="184" fontId="69" fillId="0" borderId="17" applyNumberFormat="0" applyAlignment="0" applyProtection="0">
      <alignment horizontal="left" vertical="center"/>
    </xf>
    <xf numFmtId="185" fontId="69" fillId="0" borderId="17" applyNumberFormat="0" applyAlignment="0" applyProtection="0">
      <alignment horizontal="left" vertical="center"/>
    </xf>
    <xf numFmtId="183" fontId="69" fillId="0" borderId="17" applyNumberFormat="0" applyAlignment="0" applyProtection="0">
      <alignment horizontal="left" vertical="center"/>
    </xf>
    <xf numFmtId="184" fontId="69" fillId="0" borderId="17" applyNumberFormat="0" applyAlignment="0" applyProtection="0">
      <alignment horizontal="left" vertical="center"/>
    </xf>
    <xf numFmtId="184" fontId="69" fillId="0" borderId="17" applyNumberFormat="0" applyAlignment="0" applyProtection="0">
      <alignment horizontal="left" vertical="center"/>
    </xf>
    <xf numFmtId="183" fontId="69" fillId="0" borderId="17" applyNumberFormat="0" applyAlignment="0" applyProtection="0">
      <alignment horizontal="left" vertical="center"/>
    </xf>
    <xf numFmtId="184" fontId="69" fillId="0" borderId="17" applyNumberFormat="0" applyAlignment="0" applyProtection="0">
      <alignment horizontal="left" vertical="center"/>
    </xf>
    <xf numFmtId="187" fontId="69" fillId="0" borderId="17" applyNumberFormat="0" applyAlignment="0" applyProtection="0">
      <alignment horizontal="left" vertical="center"/>
    </xf>
    <xf numFmtId="184" fontId="69" fillId="0" borderId="17" applyNumberFormat="0" applyAlignment="0" applyProtection="0">
      <alignment horizontal="left" vertical="center"/>
    </xf>
    <xf numFmtId="184" fontId="69" fillId="0" borderId="17" applyNumberFormat="0" applyAlignment="0" applyProtection="0">
      <alignment horizontal="left" vertical="center"/>
    </xf>
    <xf numFmtId="0" fontId="69" fillId="0" borderId="9">
      <alignment horizontal="left" vertical="center"/>
    </xf>
    <xf numFmtId="0"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116" fillId="0" borderId="32" applyNumberFormat="0" applyFill="0" applyAlignment="0" applyProtection="0"/>
    <xf numFmtId="0" fontId="116" fillId="0" borderId="32" applyNumberFormat="0" applyFill="0" applyAlignment="0" applyProtection="0"/>
    <xf numFmtId="184" fontId="116" fillId="0" borderId="32" applyNumberFormat="0" applyFill="0" applyAlignment="0" applyProtection="0"/>
    <xf numFmtId="184" fontId="116" fillId="0" borderId="32" applyNumberFormat="0" applyFill="0" applyAlignment="0" applyProtection="0"/>
    <xf numFmtId="182" fontId="117" fillId="0" borderId="33" applyNumberFormat="0" applyFill="0" applyAlignment="0" applyProtection="0"/>
    <xf numFmtId="0" fontId="75" fillId="0" borderId="18" applyNumberFormat="0" applyFill="0" applyAlignment="0" applyProtection="0"/>
    <xf numFmtId="183" fontId="75" fillId="0" borderId="18" applyNumberFormat="0" applyFill="0" applyAlignment="0" applyProtection="0"/>
    <xf numFmtId="184" fontId="75" fillId="0" borderId="18" applyNumberFormat="0" applyFill="0" applyAlignment="0" applyProtection="0"/>
    <xf numFmtId="185" fontId="75" fillId="0" borderId="18" applyNumberFormat="0" applyFill="0" applyAlignment="0" applyProtection="0"/>
    <xf numFmtId="183" fontId="75" fillId="0" borderId="18" applyNumberFormat="0" applyFill="0" applyAlignment="0" applyProtection="0"/>
    <xf numFmtId="184" fontId="75" fillId="0" borderId="18" applyNumberFormat="0" applyFill="0" applyAlignment="0" applyProtection="0"/>
    <xf numFmtId="184" fontId="75" fillId="0" borderId="18" applyNumberFormat="0" applyFill="0" applyAlignment="0" applyProtection="0"/>
    <xf numFmtId="184" fontId="75" fillId="0" borderId="18" applyNumberFormat="0" applyFill="0" applyAlignment="0" applyProtection="0"/>
    <xf numFmtId="0" fontId="117" fillId="0" borderId="33" applyNumberFormat="0" applyFill="0" applyAlignment="0" applyProtection="0"/>
    <xf numFmtId="183" fontId="117" fillId="0" borderId="33" applyNumberFormat="0" applyFill="0" applyAlignment="0" applyProtection="0"/>
    <xf numFmtId="184" fontId="117" fillId="0" borderId="33" applyNumberFormat="0" applyFill="0" applyAlignment="0" applyProtection="0"/>
    <xf numFmtId="185" fontId="117" fillId="0" borderId="33" applyNumberFormat="0" applyFill="0" applyAlignment="0" applyProtection="0"/>
    <xf numFmtId="183" fontId="117" fillId="0" borderId="33" applyNumberFormat="0" applyFill="0" applyAlignment="0" applyProtection="0"/>
    <xf numFmtId="184" fontId="117" fillId="0" borderId="33" applyNumberFormat="0" applyFill="0" applyAlignment="0" applyProtection="0"/>
    <xf numFmtId="184" fontId="117" fillId="0" borderId="33" applyNumberFormat="0" applyFill="0" applyAlignment="0" applyProtection="0"/>
    <xf numFmtId="184" fontId="117" fillId="0" borderId="33" applyNumberFormat="0" applyFill="0" applyAlignment="0" applyProtection="0"/>
    <xf numFmtId="185" fontId="117" fillId="0" borderId="33" applyNumberFormat="0" applyFill="0" applyAlignment="0" applyProtection="0"/>
    <xf numFmtId="183" fontId="117" fillId="0" borderId="33" applyNumberFormat="0" applyFill="0" applyAlignment="0" applyProtection="0"/>
    <xf numFmtId="184" fontId="117" fillId="0" borderId="33" applyNumberFormat="0" applyFill="0" applyAlignment="0" applyProtection="0"/>
    <xf numFmtId="184" fontId="117" fillId="0" borderId="33" applyNumberFormat="0" applyFill="0" applyAlignment="0" applyProtection="0"/>
    <xf numFmtId="0" fontId="117" fillId="0" borderId="33" applyNumberFormat="0" applyFill="0" applyAlignment="0" applyProtection="0"/>
    <xf numFmtId="183" fontId="117" fillId="0" borderId="33" applyNumberFormat="0" applyFill="0" applyAlignment="0" applyProtection="0"/>
    <xf numFmtId="184" fontId="117" fillId="0" borderId="33" applyNumberFormat="0" applyFill="0" applyAlignment="0" applyProtection="0"/>
    <xf numFmtId="185" fontId="117" fillId="0" borderId="33" applyNumberFormat="0" applyFill="0" applyAlignment="0" applyProtection="0"/>
    <xf numFmtId="183" fontId="117" fillId="0" borderId="33" applyNumberFormat="0" applyFill="0" applyAlignment="0" applyProtection="0"/>
    <xf numFmtId="184" fontId="117" fillId="0" borderId="33" applyNumberFormat="0" applyFill="0" applyAlignment="0" applyProtection="0"/>
    <xf numFmtId="184" fontId="117" fillId="0" borderId="33" applyNumberFormat="0" applyFill="0" applyAlignment="0" applyProtection="0"/>
    <xf numFmtId="184" fontId="117" fillId="0" borderId="33" applyNumberFormat="0" applyFill="0" applyAlignment="0" applyProtection="0"/>
    <xf numFmtId="183" fontId="117" fillId="0" borderId="33" applyNumberFormat="0" applyFill="0" applyAlignment="0" applyProtection="0"/>
    <xf numFmtId="184" fontId="117" fillId="0" borderId="33" applyNumberFormat="0" applyFill="0" applyAlignment="0" applyProtection="0"/>
    <xf numFmtId="183" fontId="116" fillId="0" borderId="32" applyNumberFormat="0" applyFill="0" applyAlignment="0" applyProtection="0"/>
    <xf numFmtId="184" fontId="116" fillId="0" borderId="32" applyNumberFormat="0" applyFill="0" applyAlignment="0" applyProtection="0"/>
    <xf numFmtId="185" fontId="116" fillId="0" borderId="32" applyNumberFormat="0" applyFill="0" applyAlignment="0" applyProtection="0"/>
    <xf numFmtId="183" fontId="116" fillId="0" borderId="32" applyNumberFormat="0" applyFill="0" applyAlignment="0" applyProtection="0"/>
    <xf numFmtId="184" fontId="116" fillId="0" borderId="32" applyNumberFormat="0" applyFill="0" applyAlignment="0" applyProtection="0"/>
    <xf numFmtId="184" fontId="116" fillId="0" borderId="32" applyNumberFormat="0" applyFill="0" applyAlignment="0" applyProtection="0"/>
    <xf numFmtId="187" fontId="117" fillId="0" borderId="33" applyNumberFormat="0" applyFill="0" applyAlignment="0" applyProtection="0"/>
    <xf numFmtId="0" fontId="116" fillId="0" borderId="32" applyNumberFormat="0" applyFill="0" applyAlignment="0" applyProtection="0"/>
    <xf numFmtId="184" fontId="116" fillId="0" borderId="32" applyNumberFormat="0" applyFill="0" applyAlignment="0" applyProtection="0"/>
    <xf numFmtId="184" fontId="117" fillId="0" borderId="33" applyNumberFormat="0" applyFill="0" applyAlignment="0" applyProtection="0"/>
    <xf numFmtId="0" fontId="116" fillId="0" borderId="32" applyNumberFormat="0" applyFill="0" applyAlignment="0" applyProtection="0"/>
    <xf numFmtId="183" fontId="117" fillId="0" borderId="33" applyNumberFormat="0" applyFill="0" applyAlignment="0" applyProtection="0"/>
    <xf numFmtId="184" fontId="117" fillId="0" borderId="33" applyNumberFormat="0" applyFill="0" applyAlignment="0" applyProtection="0"/>
    <xf numFmtId="183" fontId="75" fillId="0" borderId="18" applyNumberFormat="0" applyFill="0" applyAlignment="0" applyProtection="0"/>
    <xf numFmtId="184" fontId="75" fillId="0" borderId="18" applyNumberFormat="0" applyFill="0" applyAlignment="0" applyProtection="0"/>
    <xf numFmtId="185" fontId="75" fillId="0" borderId="18" applyNumberFormat="0" applyFill="0" applyAlignment="0" applyProtection="0"/>
    <xf numFmtId="183" fontId="75" fillId="0" borderId="18" applyNumberFormat="0" applyFill="0" applyAlignment="0" applyProtection="0"/>
    <xf numFmtId="184" fontId="75" fillId="0" borderId="18" applyNumberFormat="0" applyFill="0" applyAlignment="0" applyProtection="0"/>
    <xf numFmtId="184" fontId="75" fillId="0" borderId="18" applyNumberFormat="0" applyFill="0" applyAlignment="0" applyProtection="0"/>
    <xf numFmtId="184" fontId="75" fillId="0" borderId="18" applyNumberFormat="0" applyFill="0" applyAlignment="0" applyProtection="0"/>
    <xf numFmtId="0" fontId="116" fillId="0" borderId="32" applyNumberFormat="0" applyFill="0" applyAlignment="0" applyProtection="0"/>
    <xf numFmtId="183" fontId="75" fillId="0" borderId="18" applyNumberFormat="0" applyFill="0" applyAlignment="0" applyProtection="0"/>
    <xf numFmtId="184" fontId="75" fillId="0" borderId="18" applyNumberFormat="0" applyFill="0" applyAlignment="0" applyProtection="0"/>
    <xf numFmtId="185" fontId="75" fillId="0" borderId="18" applyNumberFormat="0" applyFill="0" applyAlignment="0" applyProtection="0"/>
    <xf numFmtId="183" fontId="75" fillId="0" borderId="18" applyNumberFormat="0" applyFill="0" applyAlignment="0" applyProtection="0"/>
    <xf numFmtId="184" fontId="75" fillId="0" borderId="18" applyNumberFormat="0" applyFill="0" applyAlignment="0" applyProtection="0"/>
    <xf numFmtId="184" fontId="75" fillId="0" borderId="18" applyNumberFormat="0" applyFill="0" applyAlignment="0" applyProtection="0"/>
    <xf numFmtId="184" fontId="75" fillId="0" borderId="18" applyNumberFormat="0" applyFill="0" applyAlignment="0" applyProtection="0"/>
    <xf numFmtId="0" fontId="116" fillId="0" borderId="32" applyNumberFormat="0" applyFill="0" applyAlignment="0" applyProtection="0"/>
    <xf numFmtId="183" fontId="116" fillId="0" borderId="32" applyNumberFormat="0" applyFill="0" applyAlignment="0" applyProtection="0"/>
    <xf numFmtId="184" fontId="116" fillId="0" borderId="32" applyNumberFormat="0" applyFill="0" applyAlignment="0" applyProtection="0"/>
    <xf numFmtId="185" fontId="116" fillId="0" borderId="32" applyNumberFormat="0" applyFill="0" applyAlignment="0" applyProtection="0"/>
    <xf numFmtId="183" fontId="116" fillId="0" borderId="32" applyNumberFormat="0" applyFill="0" applyAlignment="0" applyProtection="0"/>
    <xf numFmtId="184" fontId="116" fillId="0" borderId="32" applyNumberFormat="0" applyFill="0" applyAlignment="0" applyProtection="0"/>
    <xf numFmtId="184" fontId="116" fillId="0" borderId="32" applyNumberFormat="0" applyFill="0" applyAlignment="0" applyProtection="0"/>
    <xf numFmtId="184" fontId="116" fillId="0" borderId="32" applyNumberFormat="0" applyFill="0" applyAlignment="0" applyProtection="0"/>
    <xf numFmtId="185" fontId="117" fillId="0" borderId="33" applyNumberFormat="0" applyFill="0" applyAlignment="0" applyProtection="0"/>
    <xf numFmtId="183" fontId="117" fillId="0" borderId="33" applyNumberFormat="0" applyFill="0" applyAlignment="0" applyProtection="0"/>
    <xf numFmtId="184" fontId="117" fillId="0" borderId="33" applyNumberFormat="0" applyFill="0" applyAlignment="0" applyProtection="0"/>
    <xf numFmtId="184" fontId="117" fillId="0" borderId="33" applyNumberFormat="0" applyFill="0" applyAlignment="0" applyProtection="0"/>
    <xf numFmtId="0" fontId="75" fillId="0" borderId="18" applyNumberFormat="0" applyFill="0" applyAlignment="0" applyProtection="0"/>
    <xf numFmtId="184" fontId="75" fillId="0" borderId="18" applyNumberFormat="0" applyFill="0" applyAlignment="0" applyProtection="0"/>
    <xf numFmtId="184" fontId="75" fillId="0" borderId="18" applyNumberFormat="0" applyFill="0" applyAlignment="0" applyProtection="0"/>
    <xf numFmtId="182" fontId="75" fillId="0" borderId="18"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84" fontId="118" fillId="0" borderId="34" applyNumberFormat="0" applyFill="0" applyAlignment="0" applyProtection="0"/>
    <xf numFmtId="184" fontId="118" fillId="0" borderId="34" applyNumberFormat="0" applyFill="0" applyAlignment="0" applyProtection="0"/>
    <xf numFmtId="182" fontId="119" fillId="0" borderId="35" applyNumberFormat="0" applyFill="0" applyAlignment="0" applyProtection="0"/>
    <xf numFmtId="0" fontId="76" fillId="0" borderId="19" applyNumberFormat="0" applyFill="0" applyAlignment="0" applyProtection="0"/>
    <xf numFmtId="183" fontId="76" fillId="0" borderId="19" applyNumberFormat="0" applyFill="0" applyAlignment="0" applyProtection="0"/>
    <xf numFmtId="184" fontId="76" fillId="0" borderId="19" applyNumberFormat="0" applyFill="0" applyAlignment="0" applyProtection="0"/>
    <xf numFmtId="185" fontId="76" fillId="0" borderId="19" applyNumberFormat="0" applyFill="0" applyAlignment="0" applyProtection="0"/>
    <xf numFmtId="183" fontId="76" fillId="0" borderId="19" applyNumberFormat="0" applyFill="0" applyAlignment="0" applyProtection="0"/>
    <xf numFmtId="184" fontId="76" fillId="0" borderId="19" applyNumberFormat="0" applyFill="0" applyAlignment="0" applyProtection="0"/>
    <xf numFmtId="184" fontId="76" fillId="0" borderId="19" applyNumberFormat="0" applyFill="0" applyAlignment="0" applyProtection="0"/>
    <xf numFmtId="184" fontId="76" fillId="0" borderId="19" applyNumberFormat="0" applyFill="0" applyAlignment="0" applyProtection="0"/>
    <xf numFmtId="0" fontId="119" fillId="0" borderId="34" applyNumberFormat="0" applyFill="0" applyAlignment="0" applyProtection="0"/>
    <xf numFmtId="183" fontId="119" fillId="0" borderId="34" applyNumberFormat="0" applyFill="0" applyAlignment="0" applyProtection="0"/>
    <xf numFmtId="184" fontId="119" fillId="0" borderId="34" applyNumberFormat="0" applyFill="0" applyAlignment="0" applyProtection="0"/>
    <xf numFmtId="185" fontId="119" fillId="0" borderId="34" applyNumberFormat="0" applyFill="0" applyAlignment="0" applyProtection="0"/>
    <xf numFmtId="183" fontId="119" fillId="0" borderId="34" applyNumberFormat="0" applyFill="0" applyAlignment="0" applyProtection="0"/>
    <xf numFmtId="184" fontId="119" fillId="0" borderId="34" applyNumberFormat="0" applyFill="0" applyAlignment="0" applyProtection="0"/>
    <xf numFmtId="184" fontId="119" fillId="0" borderId="34" applyNumberFormat="0" applyFill="0" applyAlignment="0" applyProtection="0"/>
    <xf numFmtId="184" fontId="119" fillId="0" borderId="34" applyNumberFormat="0" applyFill="0" applyAlignment="0" applyProtection="0"/>
    <xf numFmtId="185" fontId="119" fillId="0" borderId="34" applyNumberFormat="0" applyFill="0" applyAlignment="0" applyProtection="0"/>
    <xf numFmtId="183" fontId="119" fillId="0" borderId="34" applyNumberFormat="0" applyFill="0" applyAlignment="0" applyProtection="0"/>
    <xf numFmtId="184" fontId="119" fillId="0" borderId="34" applyNumberFormat="0" applyFill="0" applyAlignment="0" applyProtection="0"/>
    <xf numFmtId="184" fontId="119" fillId="0" borderId="34" applyNumberFormat="0" applyFill="0" applyAlignment="0" applyProtection="0"/>
    <xf numFmtId="0" fontId="119" fillId="0" borderId="34" applyNumberFormat="0" applyFill="0" applyAlignment="0" applyProtection="0"/>
    <xf numFmtId="183" fontId="119" fillId="0" borderId="34" applyNumberFormat="0" applyFill="0" applyAlignment="0" applyProtection="0"/>
    <xf numFmtId="184" fontId="119" fillId="0" borderId="34" applyNumberFormat="0" applyFill="0" applyAlignment="0" applyProtection="0"/>
    <xf numFmtId="185" fontId="119" fillId="0" borderId="34" applyNumberFormat="0" applyFill="0" applyAlignment="0" applyProtection="0"/>
    <xf numFmtId="183" fontId="119" fillId="0" borderId="34" applyNumberFormat="0" applyFill="0" applyAlignment="0" applyProtection="0"/>
    <xf numFmtId="184" fontId="119" fillId="0" borderId="34" applyNumberFormat="0" applyFill="0" applyAlignment="0" applyProtection="0"/>
    <xf numFmtId="184" fontId="119" fillId="0" borderId="34" applyNumberFormat="0" applyFill="0" applyAlignment="0" applyProtection="0"/>
    <xf numFmtId="184" fontId="119" fillId="0" borderId="34" applyNumberFormat="0" applyFill="0" applyAlignment="0" applyProtection="0"/>
    <xf numFmtId="0" fontId="119" fillId="0" borderId="35" applyNumberFormat="0" applyFill="0" applyAlignment="0" applyProtection="0"/>
    <xf numFmtId="183" fontId="119" fillId="0" borderId="34" applyNumberFormat="0" applyFill="0" applyAlignment="0" applyProtection="0"/>
    <xf numFmtId="184" fontId="119" fillId="0" borderId="34" applyNumberFormat="0" applyFill="0" applyAlignment="0" applyProtection="0"/>
    <xf numFmtId="183" fontId="119" fillId="0" borderId="35" applyNumberFormat="0" applyFill="0" applyAlignment="0" applyProtection="0"/>
    <xf numFmtId="184" fontId="119" fillId="0" borderId="35" applyNumberFormat="0" applyFill="0" applyAlignment="0" applyProtection="0"/>
    <xf numFmtId="184" fontId="119" fillId="0" borderId="35" applyNumberFormat="0" applyFill="0" applyAlignment="0" applyProtection="0"/>
    <xf numFmtId="183" fontId="118" fillId="0" borderId="34" applyNumberFormat="0" applyFill="0" applyAlignment="0" applyProtection="0"/>
    <xf numFmtId="184" fontId="118" fillId="0" borderId="34" applyNumberFormat="0" applyFill="0" applyAlignment="0" applyProtection="0"/>
    <xf numFmtId="185" fontId="118" fillId="0" borderId="34" applyNumberFormat="0" applyFill="0" applyAlignment="0" applyProtection="0"/>
    <xf numFmtId="183" fontId="118" fillId="0" borderId="34" applyNumberFormat="0" applyFill="0" applyAlignment="0" applyProtection="0"/>
    <xf numFmtId="184" fontId="118" fillId="0" borderId="34" applyNumberFormat="0" applyFill="0" applyAlignment="0" applyProtection="0"/>
    <xf numFmtId="184" fontId="118" fillId="0" borderId="34" applyNumberFormat="0" applyFill="0" applyAlignment="0" applyProtection="0"/>
    <xf numFmtId="187" fontId="119" fillId="0" borderId="34" applyNumberFormat="0" applyFill="0" applyAlignment="0" applyProtection="0"/>
    <xf numFmtId="0" fontId="118" fillId="0" borderId="34" applyNumberFormat="0" applyFill="0" applyAlignment="0" applyProtection="0"/>
    <xf numFmtId="184" fontId="118" fillId="0" borderId="34" applyNumberFormat="0" applyFill="0" applyAlignment="0" applyProtection="0"/>
    <xf numFmtId="184" fontId="119" fillId="0" borderId="34" applyNumberFormat="0" applyFill="0" applyAlignment="0" applyProtection="0"/>
    <xf numFmtId="0" fontId="118" fillId="0" borderId="34" applyNumberFormat="0" applyFill="0" applyAlignment="0" applyProtection="0"/>
    <xf numFmtId="183" fontId="119" fillId="0" borderId="34" applyNumberFormat="0" applyFill="0" applyAlignment="0" applyProtection="0"/>
    <xf numFmtId="184" fontId="119" fillId="0" borderId="34" applyNumberFormat="0" applyFill="0" applyAlignment="0" applyProtection="0"/>
    <xf numFmtId="183" fontId="76" fillId="0" borderId="19" applyNumberFormat="0" applyFill="0" applyAlignment="0" applyProtection="0"/>
    <xf numFmtId="184" fontId="76" fillId="0" borderId="19" applyNumberFormat="0" applyFill="0" applyAlignment="0" applyProtection="0"/>
    <xf numFmtId="185" fontId="76" fillId="0" borderId="19" applyNumberFormat="0" applyFill="0" applyAlignment="0" applyProtection="0"/>
    <xf numFmtId="183" fontId="76" fillId="0" borderId="19" applyNumberFormat="0" applyFill="0" applyAlignment="0" applyProtection="0"/>
    <xf numFmtId="184" fontId="76" fillId="0" borderId="19" applyNumberFormat="0" applyFill="0" applyAlignment="0" applyProtection="0"/>
    <xf numFmtId="184" fontId="76" fillId="0" borderId="19" applyNumberFormat="0" applyFill="0" applyAlignment="0" applyProtection="0"/>
    <xf numFmtId="184" fontId="76" fillId="0" borderId="19" applyNumberFormat="0" applyFill="0" applyAlignment="0" applyProtection="0"/>
    <xf numFmtId="0" fontId="118" fillId="0" borderId="34" applyNumberFormat="0" applyFill="0" applyAlignment="0" applyProtection="0"/>
    <xf numFmtId="183" fontId="76" fillId="0" borderId="19" applyNumberFormat="0" applyFill="0" applyAlignment="0" applyProtection="0"/>
    <xf numFmtId="184" fontId="76" fillId="0" borderId="19" applyNumberFormat="0" applyFill="0" applyAlignment="0" applyProtection="0"/>
    <xf numFmtId="185" fontId="76" fillId="0" borderId="19" applyNumberFormat="0" applyFill="0" applyAlignment="0" applyProtection="0"/>
    <xf numFmtId="183" fontId="76" fillId="0" borderId="19" applyNumberFormat="0" applyFill="0" applyAlignment="0" applyProtection="0"/>
    <xf numFmtId="184" fontId="76" fillId="0" borderId="19" applyNumberFormat="0" applyFill="0" applyAlignment="0" applyProtection="0"/>
    <xf numFmtId="184" fontId="76" fillId="0" borderId="19" applyNumberFormat="0" applyFill="0" applyAlignment="0" applyProtection="0"/>
    <xf numFmtId="184" fontId="76" fillId="0" borderId="19" applyNumberFormat="0" applyFill="0" applyAlignment="0" applyProtection="0"/>
    <xf numFmtId="0" fontId="118" fillId="0" borderId="34" applyNumberFormat="0" applyFill="0" applyAlignment="0" applyProtection="0"/>
    <xf numFmtId="183" fontId="118" fillId="0" borderId="34" applyNumberFormat="0" applyFill="0" applyAlignment="0" applyProtection="0"/>
    <xf numFmtId="184" fontId="118" fillId="0" borderId="34" applyNumberFormat="0" applyFill="0" applyAlignment="0" applyProtection="0"/>
    <xf numFmtId="185" fontId="118" fillId="0" borderId="34" applyNumberFormat="0" applyFill="0" applyAlignment="0" applyProtection="0"/>
    <xf numFmtId="183" fontId="118" fillId="0" borderId="34" applyNumberFormat="0" applyFill="0" applyAlignment="0" applyProtection="0"/>
    <xf numFmtId="184" fontId="118" fillId="0" borderId="34" applyNumberFormat="0" applyFill="0" applyAlignment="0" applyProtection="0"/>
    <xf numFmtId="184" fontId="118" fillId="0" borderId="34" applyNumberFormat="0" applyFill="0" applyAlignment="0" applyProtection="0"/>
    <xf numFmtId="184" fontId="118" fillId="0" borderId="34" applyNumberFormat="0" applyFill="0" applyAlignment="0" applyProtection="0"/>
    <xf numFmtId="185" fontId="119" fillId="0" borderId="34" applyNumberFormat="0" applyFill="0" applyAlignment="0" applyProtection="0"/>
    <xf numFmtId="183" fontId="119" fillId="0" borderId="34" applyNumberFormat="0" applyFill="0" applyAlignment="0" applyProtection="0"/>
    <xf numFmtId="184" fontId="119" fillId="0" borderId="34" applyNumberFormat="0" applyFill="0" applyAlignment="0" applyProtection="0"/>
    <xf numFmtId="184" fontId="119" fillId="0" borderId="34" applyNumberFormat="0" applyFill="0" applyAlignment="0" applyProtection="0"/>
    <xf numFmtId="0" fontId="76" fillId="0" borderId="19" applyNumberFormat="0" applyFill="0" applyAlignment="0" applyProtection="0"/>
    <xf numFmtId="184" fontId="76" fillId="0" borderId="19" applyNumberFormat="0" applyFill="0" applyAlignment="0" applyProtection="0"/>
    <xf numFmtId="184" fontId="76" fillId="0" borderId="19" applyNumberFormat="0" applyFill="0" applyAlignment="0" applyProtection="0"/>
    <xf numFmtId="182" fontId="76" fillId="0" borderId="19" applyNumberFormat="0" applyFill="0" applyAlignment="0" applyProtection="0"/>
    <xf numFmtId="0" fontId="120" fillId="0" borderId="36" applyNumberFormat="0" applyFill="0" applyAlignment="0" applyProtection="0"/>
    <xf numFmtId="0"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2" fontId="121" fillId="0" borderId="37" applyNumberFormat="0" applyFill="0" applyAlignment="0" applyProtection="0"/>
    <xf numFmtId="0" fontId="77" fillId="0" borderId="20"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5" fontId="77" fillId="0" borderId="20"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0"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0"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0" fontId="121" fillId="0" borderId="37"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3" fontId="121" fillId="0" borderId="37" applyNumberFormat="0" applyFill="0" applyAlignment="0" applyProtection="0"/>
    <xf numFmtId="184" fontId="121" fillId="0" borderId="37" applyNumberFormat="0" applyFill="0" applyAlignment="0" applyProtection="0"/>
    <xf numFmtId="184" fontId="121" fillId="0" borderId="37"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7" fontId="121" fillId="0" borderId="38" applyNumberFormat="0" applyFill="0" applyAlignment="0" applyProtection="0"/>
    <xf numFmtId="0" fontId="120" fillId="0" borderId="36" applyNumberFormat="0" applyFill="0" applyAlignment="0" applyProtection="0"/>
    <xf numFmtId="184" fontId="120" fillId="0" borderId="36" applyNumberFormat="0" applyFill="0" applyAlignment="0" applyProtection="0"/>
    <xf numFmtId="184" fontId="121" fillId="0" borderId="38" applyNumberFormat="0" applyFill="0" applyAlignment="0" applyProtection="0"/>
    <xf numFmtId="0" fontId="120" fillId="0" borderId="36"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5" fontId="77" fillId="0" borderId="20"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0" fontId="120" fillId="0" borderId="36"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5" fontId="77" fillId="0" borderId="20"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0"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182" fontId="77" fillId="0" borderId="20"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2" fontId="121" fillId="0" borderId="0" applyNumberFormat="0" applyFill="0" applyBorder="0" applyAlignment="0" applyProtection="0"/>
    <xf numFmtId="0"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7" fontId="121"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1" fillId="0" borderId="0" applyNumberFormat="0" applyFill="0" applyBorder="0" applyAlignment="0" applyProtection="0"/>
    <xf numFmtId="0" fontId="120"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2" fontId="77" fillId="0" borderId="0" applyNumberFormat="0" applyFill="0" applyBorder="0" applyAlignment="0" applyProtection="0"/>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0" fontId="122" fillId="0" borderId="39">
      <alignment horizontal="center"/>
    </xf>
    <xf numFmtId="0" fontId="122" fillId="0" borderId="39">
      <alignment horizontal="center"/>
    </xf>
    <xf numFmtId="183" fontId="122" fillId="0" borderId="39">
      <alignment horizontal="center"/>
    </xf>
    <xf numFmtId="184" fontId="122" fillId="0" borderId="39">
      <alignment horizontal="center"/>
    </xf>
    <xf numFmtId="185" fontId="122" fillId="0" borderId="39">
      <alignment horizontal="center"/>
    </xf>
    <xf numFmtId="183" fontId="122" fillId="0" borderId="39">
      <alignment horizontal="center"/>
    </xf>
    <xf numFmtId="184" fontId="122" fillId="0" borderId="39">
      <alignment horizontal="center"/>
    </xf>
    <xf numFmtId="184" fontId="122" fillId="0" borderId="39">
      <alignment horizontal="center"/>
    </xf>
    <xf numFmtId="184" fontId="122" fillId="0" borderId="39">
      <alignment horizontal="center"/>
    </xf>
    <xf numFmtId="185" fontId="122" fillId="0" borderId="39">
      <alignment horizontal="center"/>
    </xf>
    <xf numFmtId="183" fontId="122" fillId="0" borderId="39">
      <alignment horizontal="center"/>
    </xf>
    <xf numFmtId="184" fontId="122" fillId="0" borderId="39">
      <alignment horizontal="center"/>
    </xf>
    <xf numFmtId="184" fontId="122" fillId="0" borderId="39">
      <alignment horizontal="center"/>
    </xf>
    <xf numFmtId="185" fontId="122" fillId="0" borderId="39">
      <alignment horizontal="center"/>
    </xf>
    <xf numFmtId="183" fontId="122" fillId="0" borderId="39">
      <alignment horizontal="center"/>
    </xf>
    <xf numFmtId="184" fontId="122" fillId="0" borderId="39">
      <alignment horizontal="center"/>
    </xf>
    <xf numFmtId="184" fontId="122" fillId="0" borderId="39">
      <alignment horizontal="center"/>
    </xf>
    <xf numFmtId="183" fontId="122" fillId="0" borderId="39">
      <alignment horizontal="center"/>
    </xf>
    <xf numFmtId="184" fontId="122" fillId="0" borderId="39">
      <alignment horizontal="center"/>
    </xf>
    <xf numFmtId="187" fontId="122" fillId="0" borderId="39">
      <alignment horizontal="center"/>
    </xf>
    <xf numFmtId="184" fontId="122" fillId="0" borderId="39">
      <alignment horizontal="center"/>
    </xf>
    <xf numFmtId="184" fontId="122" fillId="0" borderId="39">
      <alignment horizontal="center"/>
    </xf>
    <xf numFmtId="0" fontId="122" fillId="0" borderId="0">
      <alignment horizontal="center"/>
    </xf>
    <xf numFmtId="0" fontId="122" fillId="0" borderId="0">
      <alignment horizontal="center"/>
    </xf>
    <xf numFmtId="183"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3" fontId="122" fillId="0" borderId="0">
      <alignment horizontal="center"/>
    </xf>
    <xf numFmtId="184" fontId="122" fillId="0" borderId="0">
      <alignment horizontal="center"/>
    </xf>
    <xf numFmtId="187" fontId="122" fillId="0" borderId="0">
      <alignment horizontal="center"/>
    </xf>
    <xf numFmtId="184" fontId="122" fillId="0" borderId="0">
      <alignment horizontal="center"/>
    </xf>
    <xf numFmtId="184" fontId="122" fillId="0" borderId="0">
      <alignment horizontal="center"/>
    </xf>
    <xf numFmtId="0" fontId="110" fillId="0" borderId="0" applyProtection="0">
      <alignment horizontal="right"/>
    </xf>
    <xf numFmtId="0" fontId="110" fillId="0" borderId="0" applyProtection="0">
      <alignment horizontal="right"/>
    </xf>
    <xf numFmtId="183"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3" fontId="110" fillId="0" borderId="0" applyProtection="0">
      <alignment horizontal="right"/>
    </xf>
    <xf numFmtId="184" fontId="110" fillId="0" borderId="0" applyProtection="0">
      <alignment horizontal="right"/>
    </xf>
    <xf numFmtId="187" fontId="110" fillId="0" borderId="0" applyProtection="0">
      <alignment horizontal="right"/>
    </xf>
    <xf numFmtId="184" fontId="110" fillId="0" borderId="0" applyProtection="0">
      <alignment horizontal="right"/>
    </xf>
    <xf numFmtId="184" fontId="110" fillId="0" borderId="0" applyProtection="0">
      <alignment horizontal="right"/>
    </xf>
    <xf numFmtId="198" fontId="20" fillId="0" borderId="0" applyFont="0" applyFill="0" applyBorder="0" applyAlignment="0" applyProtection="0"/>
    <xf numFmtId="198" fontId="20" fillId="0" borderId="0" applyFont="0" applyFill="0" applyBorder="0" applyAlignment="0" applyProtection="0"/>
    <xf numFmtId="0" fontId="123" fillId="0" borderId="40" applyNumberFormat="0" applyFill="0" applyAlignment="0" applyProtection="0"/>
    <xf numFmtId="185" fontId="123" fillId="0" borderId="40" applyNumberFormat="0" applyFill="0" applyAlignment="0" applyProtection="0"/>
    <xf numFmtId="0"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5"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7"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183" fontId="124" fillId="0" borderId="0" applyFill="0" applyBorder="0" applyAlignment="0" applyProtection="0">
      <alignment horizontal="right"/>
    </xf>
    <xf numFmtId="184" fontId="124" fillId="0" borderId="0" applyFill="0" applyBorder="0" applyAlignment="0" applyProtection="0">
      <alignment horizontal="right"/>
    </xf>
    <xf numFmtId="10" fontId="22" fillId="102" borderId="3" applyNumberFormat="0" applyBorder="0" applyAlignment="0" applyProtection="0"/>
    <xf numFmtId="10" fontId="22" fillId="102" borderId="3" applyNumberFormat="0" applyBorder="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0" fontId="81" fillId="41" borderId="21" applyNumberFormat="0" applyAlignment="0" applyProtection="0"/>
    <xf numFmtId="184" fontId="81" fillId="41" borderId="21"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182" fontId="81" fillId="41" borderId="21"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0"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0" fontId="125" fillId="21" borderId="30" applyNumberFormat="0" applyAlignment="0" applyProtection="0"/>
    <xf numFmtId="184" fontId="125" fillId="21" borderId="30" applyNumberFormat="0" applyAlignment="0" applyProtection="0"/>
    <xf numFmtId="184" fontId="126" fillId="74" borderId="29" applyNumberFormat="0" applyAlignment="0" applyProtection="0"/>
    <xf numFmtId="182" fontId="125" fillId="21" borderId="30" applyNumberFormat="0" applyAlignment="0" applyProtection="0"/>
    <xf numFmtId="0" fontId="81" fillId="41" borderId="21" applyNumberFormat="0" applyAlignment="0" applyProtection="0"/>
    <xf numFmtId="183" fontId="81" fillId="41" borderId="21" applyNumberFormat="0" applyAlignment="0" applyProtection="0"/>
    <xf numFmtId="184" fontId="81" fillId="41" borderId="21" applyNumberFormat="0" applyAlignment="0" applyProtection="0"/>
    <xf numFmtId="185" fontId="81" fillId="41" borderId="21" applyNumberFormat="0" applyAlignment="0" applyProtection="0"/>
    <xf numFmtId="183" fontId="81" fillId="41" borderId="21" applyNumberFormat="0" applyAlignment="0" applyProtection="0"/>
    <xf numFmtId="184" fontId="81" fillId="41" borderId="21" applyNumberFormat="0" applyAlignment="0" applyProtection="0"/>
    <xf numFmtId="184" fontId="81" fillId="41" borderId="21" applyNumberFormat="0" applyAlignment="0" applyProtection="0"/>
    <xf numFmtId="184" fontId="81" fillId="41" borderId="21" applyNumberFormat="0" applyAlignment="0" applyProtection="0"/>
    <xf numFmtId="0"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81" fillId="41" borderId="21" applyNumberFormat="0" applyAlignment="0" applyProtection="0"/>
    <xf numFmtId="183" fontId="81" fillId="41" borderId="21" applyNumberFormat="0" applyAlignment="0" applyProtection="0"/>
    <xf numFmtId="184" fontId="81" fillId="41" borderId="21" applyNumberFormat="0" applyAlignment="0" applyProtection="0"/>
    <xf numFmtId="185" fontId="81" fillId="41" borderId="21" applyNumberFormat="0" applyAlignment="0" applyProtection="0"/>
    <xf numFmtId="183" fontId="81" fillId="41" borderId="21" applyNumberFormat="0" applyAlignment="0" applyProtection="0"/>
    <xf numFmtId="184" fontId="81" fillId="41" borderId="21" applyNumberFormat="0" applyAlignment="0" applyProtection="0"/>
    <xf numFmtId="184" fontId="81" fillId="41" borderId="21" applyNumberFormat="0" applyAlignment="0" applyProtection="0"/>
    <xf numFmtId="184" fontId="81" fillId="41" borderId="21" applyNumberFormat="0" applyAlignment="0" applyProtection="0"/>
    <xf numFmtId="0" fontId="125" fillId="21" borderId="30"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7" fontId="81" fillId="41" borderId="21" applyNumberFormat="0" applyAlignment="0" applyProtection="0"/>
    <xf numFmtId="0"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81" fillId="41" borderId="21"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7" fontId="125" fillId="21" borderId="29" applyNumberFormat="0" applyAlignment="0" applyProtection="0"/>
    <xf numFmtId="187"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81" fillId="41" borderId="21" applyNumberFormat="0" applyAlignment="0" applyProtection="0"/>
    <xf numFmtId="183" fontId="81" fillId="41" borderId="21" applyNumberFormat="0" applyAlignment="0" applyProtection="0"/>
    <xf numFmtId="184" fontId="81" fillId="41" borderId="21" applyNumberFormat="0" applyAlignment="0" applyProtection="0"/>
    <xf numFmtId="185" fontId="81" fillId="41" borderId="21" applyNumberFormat="0" applyAlignment="0" applyProtection="0"/>
    <xf numFmtId="183" fontId="81" fillId="41" borderId="21" applyNumberFormat="0" applyAlignment="0" applyProtection="0"/>
    <xf numFmtId="184" fontId="81" fillId="41" borderId="21" applyNumberFormat="0" applyAlignment="0" applyProtection="0"/>
    <xf numFmtId="184" fontId="81" fillId="41" borderId="21" applyNumberFormat="0" applyAlignment="0" applyProtection="0"/>
    <xf numFmtId="184" fontId="81" fillId="41" borderId="21" applyNumberFormat="0" applyAlignment="0" applyProtection="0"/>
    <xf numFmtId="0"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0" fontId="81" fillId="41" borderId="21" applyNumberFormat="0" applyAlignment="0" applyProtection="0"/>
    <xf numFmtId="183" fontId="81" fillId="41" borderId="21" applyNumberFormat="0" applyAlignment="0" applyProtection="0"/>
    <xf numFmtId="184" fontId="81" fillId="41" borderId="21" applyNumberFormat="0" applyAlignment="0" applyProtection="0"/>
    <xf numFmtId="185" fontId="81" fillId="41" borderId="21" applyNumberFormat="0" applyAlignment="0" applyProtection="0"/>
    <xf numFmtId="183" fontId="81" fillId="41" borderId="21" applyNumberFormat="0" applyAlignment="0" applyProtection="0"/>
    <xf numFmtId="184" fontId="81" fillId="41" borderId="21" applyNumberFormat="0" applyAlignment="0" applyProtection="0"/>
    <xf numFmtId="184" fontId="81" fillId="41" borderId="21" applyNumberFormat="0" applyAlignment="0" applyProtection="0"/>
    <xf numFmtId="184" fontId="81" fillId="41" borderId="21" applyNumberFormat="0" applyAlignment="0" applyProtection="0"/>
    <xf numFmtId="0"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7" fontId="125" fillId="21" borderId="29" applyNumberFormat="0" applyAlignment="0" applyProtection="0"/>
    <xf numFmtId="187"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5" fillId="21" borderId="29" applyNumberFormat="0" applyAlignment="0" applyProtection="0"/>
    <xf numFmtId="0"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5" fillId="21" borderId="29" applyNumberFormat="0" applyAlignment="0" applyProtection="0"/>
    <xf numFmtId="0"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5" fillId="21" borderId="29" applyNumberFormat="0" applyAlignment="0" applyProtection="0"/>
    <xf numFmtId="0"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3"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0" fontId="125" fillId="21" borderId="30" applyNumberFormat="0" applyAlignment="0" applyProtection="0"/>
    <xf numFmtId="184" fontId="125" fillId="21" borderId="30" applyNumberFormat="0" applyAlignment="0" applyProtection="0"/>
    <xf numFmtId="184" fontId="125" fillId="21" borderId="30"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3" fontId="125" fillId="21" borderId="29" applyNumberFormat="0" applyAlignment="0" applyProtection="0"/>
    <xf numFmtId="183"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185" fontId="125" fillId="21" borderId="29" applyNumberFormat="0" applyAlignment="0" applyProtection="0"/>
    <xf numFmtId="184" fontId="125" fillId="21" borderId="29" applyNumberFormat="0" applyAlignment="0" applyProtection="0"/>
    <xf numFmtId="184" fontId="125" fillId="21"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3" fontId="126" fillId="74" borderId="29" applyNumberFormat="0" applyAlignment="0" applyProtection="0"/>
    <xf numFmtId="183"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0" fontId="126" fillId="74" borderId="29" applyNumberFormat="0" applyAlignment="0" applyProtection="0"/>
    <xf numFmtId="184" fontId="126" fillId="74" borderId="29" applyNumberFormat="0" applyAlignment="0" applyProtection="0"/>
    <xf numFmtId="184" fontId="126" fillId="74" borderId="29" applyNumberFormat="0" applyAlignment="0" applyProtection="0"/>
    <xf numFmtId="199" fontId="127" fillId="0" borderId="0" applyFont="0" applyFill="0" applyBorder="0" applyProtection="0">
      <alignment horizontal="center"/>
    </xf>
    <xf numFmtId="183" fontId="32" fillId="34" borderId="0" applyNumberFormat="0" applyFont="0" applyBorder="0" applyAlignment="0" applyProtection="0">
      <alignment horizontal="left"/>
    </xf>
    <xf numFmtId="184" fontId="32" fillId="34" borderId="0" applyNumberFormat="0" applyFont="0" applyBorder="0" applyAlignment="0" applyProtection="0">
      <alignment horizontal="left"/>
    </xf>
    <xf numFmtId="0" fontId="128" fillId="0" borderId="41" applyNumberFormat="0" applyFill="0" applyAlignment="0" applyProtection="0"/>
    <xf numFmtId="0" fontId="128" fillId="0" borderId="41" applyNumberFormat="0" applyFill="0" applyAlignment="0" applyProtection="0"/>
    <xf numFmtId="184" fontId="128" fillId="0" borderId="41" applyNumberFormat="0" applyFill="0" applyAlignment="0" applyProtection="0"/>
    <xf numFmtId="184" fontId="128" fillId="0" borderId="41" applyNumberFormat="0" applyFill="0" applyAlignment="0" applyProtection="0"/>
    <xf numFmtId="182" fontId="114" fillId="0" borderId="42" applyNumberFormat="0" applyFill="0" applyAlignment="0" applyProtection="0"/>
    <xf numFmtId="0" fontId="84" fillId="0" borderId="23" applyNumberFormat="0" applyFill="0" applyAlignment="0" applyProtection="0"/>
    <xf numFmtId="183" fontId="84" fillId="0" borderId="23" applyNumberFormat="0" applyFill="0" applyAlignment="0" applyProtection="0"/>
    <xf numFmtId="184" fontId="84" fillId="0" borderId="23" applyNumberFormat="0" applyFill="0" applyAlignment="0" applyProtection="0"/>
    <xf numFmtId="185" fontId="84" fillId="0" borderId="23" applyNumberFormat="0" applyFill="0" applyAlignment="0" applyProtection="0"/>
    <xf numFmtId="183" fontId="84" fillId="0" borderId="23" applyNumberFormat="0" applyFill="0" applyAlignment="0" applyProtection="0"/>
    <xf numFmtId="184" fontId="84" fillId="0" borderId="23" applyNumberFormat="0" applyFill="0" applyAlignment="0" applyProtection="0"/>
    <xf numFmtId="184" fontId="84" fillId="0" borderId="23" applyNumberFormat="0" applyFill="0" applyAlignment="0" applyProtection="0"/>
    <xf numFmtId="184" fontId="84" fillId="0" borderId="23" applyNumberFormat="0" applyFill="0" applyAlignment="0" applyProtection="0"/>
    <xf numFmtId="0"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0"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0" fontId="114" fillId="0" borderId="42"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3" fontId="114" fillId="0" borderId="42" applyNumberFormat="0" applyFill="0" applyAlignment="0" applyProtection="0"/>
    <xf numFmtId="184" fontId="114" fillId="0" borderId="42" applyNumberFormat="0" applyFill="0" applyAlignment="0" applyProtection="0"/>
    <xf numFmtId="184" fontId="114" fillId="0" borderId="42" applyNumberFormat="0" applyFill="0" applyAlignment="0" applyProtection="0"/>
    <xf numFmtId="183" fontId="128" fillId="0" borderId="41" applyNumberFormat="0" applyFill="0" applyAlignment="0" applyProtection="0"/>
    <xf numFmtId="184" fontId="128" fillId="0" borderId="41" applyNumberFormat="0" applyFill="0" applyAlignment="0" applyProtection="0"/>
    <xf numFmtId="185" fontId="128" fillId="0" borderId="41" applyNumberFormat="0" applyFill="0" applyAlignment="0" applyProtection="0"/>
    <xf numFmtId="183" fontId="128" fillId="0" borderId="41" applyNumberFormat="0" applyFill="0" applyAlignment="0" applyProtection="0"/>
    <xf numFmtId="184" fontId="128" fillId="0" borderId="41" applyNumberFormat="0" applyFill="0" applyAlignment="0" applyProtection="0"/>
    <xf numFmtId="184" fontId="128" fillId="0" borderId="41" applyNumberFormat="0" applyFill="0" applyAlignment="0" applyProtection="0"/>
    <xf numFmtId="187" fontId="129" fillId="0" borderId="43" applyNumberFormat="0" applyFill="0" applyAlignment="0" applyProtection="0"/>
    <xf numFmtId="0" fontId="128" fillId="0" borderId="41" applyNumberFormat="0" applyFill="0" applyAlignment="0" applyProtection="0"/>
    <xf numFmtId="184" fontId="128" fillId="0" borderId="41" applyNumberFormat="0" applyFill="0" applyAlignment="0" applyProtection="0"/>
    <xf numFmtId="184" fontId="129" fillId="0" borderId="43" applyNumberFormat="0" applyFill="0" applyAlignment="0" applyProtection="0"/>
    <xf numFmtId="0" fontId="128" fillId="0" borderId="41"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3" fontId="84" fillId="0" borderId="23" applyNumberFormat="0" applyFill="0" applyAlignment="0" applyProtection="0"/>
    <xf numFmtId="184" fontId="84" fillId="0" borderId="23" applyNumberFormat="0" applyFill="0" applyAlignment="0" applyProtection="0"/>
    <xf numFmtId="185" fontId="84" fillId="0" borderId="23" applyNumberFormat="0" applyFill="0" applyAlignment="0" applyProtection="0"/>
    <xf numFmtId="183" fontId="84" fillId="0" borderId="23" applyNumberFormat="0" applyFill="0" applyAlignment="0" applyProtection="0"/>
    <xf numFmtId="184" fontId="84" fillId="0" borderId="23" applyNumberFormat="0" applyFill="0" applyAlignment="0" applyProtection="0"/>
    <xf numFmtId="184" fontId="84" fillId="0" borderId="23" applyNumberFormat="0" applyFill="0" applyAlignment="0" applyProtection="0"/>
    <xf numFmtId="184" fontId="84" fillId="0" borderId="23" applyNumberFormat="0" applyFill="0" applyAlignment="0" applyProtection="0"/>
    <xf numFmtId="0" fontId="128" fillId="0" borderId="41" applyNumberFormat="0" applyFill="0" applyAlignment="0" applyProtection="0"/>
    <xf numFmtId="183" fontId="84" fillId="0" borderId="23" applyNumberFormat="0" applyFill="0" applyAlignment="0" applyProtection="0"/>
    <xf numFmtId="184" fontId="84" fillId="0" borderId="23" applyNumberFormat="0" applyFill="0" applyAlignment="0" applyProtection="0"/>
    <xf numFmtId="185" fontId="84" fillId="0" borderId="23" applyNumberFormat="0" applyFill="0" applyAlignment="0" applyProtection="0"/>
    <xf numFmtId="183" fontId="84" fillId="0" borderId="23" applyNumberFormat="0" applyFill="0" applyAlignment="0" applyProtection="0"/>
    <xf numFmtId="184" fontId="84" fillId="0" borderId="23" applyNumberFormat="0" applyFill="0" applyAlignment="0" applyProtection="0"/>
    <xf numFmtId="184" fontId="84" fillId="0" borderId="23" applyNumberFormat="0" applyFill="0" applyAlignment="0" applyProtection="0"/>
    <xf numFmtId="184" fontId="84" fillId="0" borderId="23" applyNumberFormat="0" applyFill="0" applyAlignment="0" applyProtection="0"/>
    <xf numFmtId="0" fontId="128" fillId="0" borderId="41" applyNumberFormat="0" applyFill="0" applyAlignment="0" applyProtection="0"/>
    <xf numFmtId="183" fontId="128" fillId="0" borderId="41" applyNumberFormat="0" applyFill="0" applyAlignment="0" applyProtection="0"/>
    <xf numFmtId="184" fontId="128" fillId="0" borderId="41" applyNumberFormat="0" applyFill="0" applyAlignment="0" applyProtection="0"/>
    <xf numFmtId="185" fontId="128" fillId="0" borderId="41" applyNumberFormat="0" applyFill="0" applyAlignment="0" applyProtection="0"/>
    <xf numFmtId="183" fontId="128" fillId="0" borderId="41" applyNumberFormat="0" applyFill="0" applyAlignment="0" applyProtection="0"/>
    <xf numFmtId="184" fontId="128" fillId="0" borderId="41" applyNumberFormat="0" applyFill="0" applyAlignment="0" applyProtection="0"/>
    <xf numFmtId="184" fontId="128" fillId="0" borderId="41" applyNumberFormat="0" applyFill="0" applyAlignment="0" applyProtection="0"/>
    <xf numFmtId="184" fontId="128" fillId="0" borderId="41"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0" fontId="84" fillId="0" borderId="23" applyNumberFormat="0" applyFill="0" applyAlignment="0" applyProtection="0"/>
    <xf numFmtId="184" fontId="84" fillId="0" borderId="23" applyNumberFormat="0" applyFill="0" applyAlignment="0" applyProtection="0"/>
    <xf numFmtId="184" fontId="84" fillId="0" borderId="23" applyNumberFormat="0" applyFill="0" applyAlignment="0" applyProtection="0"/>
    <xf numFmtId="182" fontId="84" fillId="0" borderId="23" applyNumberFormat="0" applyFill="0" applyAlignment="0" applyProtection="0"/>
    <xf numFmtId="183" fontId="130" fillId="103" borderId="0">
      <alignment horizontal="right"/>
    </xf>
    <xf numFmtId="184" fontId="130" fillId="103" borderId="0">
      <alignment horizontal="right"/>
    </xf>
    <xf numFmtId="17" fontId="131" fillId="0" borderId="0" applyFont="0" applyFill="0" applyBorder="0" applyAlignment="0" applyProtection="0">
      <alignment horizontal="centerContinuous"/>
      <protection locked="0"/>
    </xf>
    <xf numFmtId="0" fontId="132" fillId="25"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2" fontId="114"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7" fontId="132" fillId="21" borderId="0" applyNumberFormat="0" applyBorder="0" applyAlignment="0" applyProtection="0"/>
    <xf numFmtId="184" fontId="132" fillId="21" borderId="0" applyNumberFormat="0" applyBorder="0" applyAlignment="0" applyProtection="0"/>
    <xf numFmtId="184" fontId="80" fillId="40" borderId="0" applyNumberFormat="0" applyBorder="0" applyAlignment="0" applyProtection="0"/>
    <xf numFmtId="0"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14"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114" fillId="21" borderId="0" applyNumberFormat="0" applyBorder="0" applyAlignment="0" applyProtection="0"/>
    <xf numFmtId="184" fontId="114" fillId="21" borderId="0" applyNumberFormat="0" applyBorder="0" applyAlignment="0" applyProtection="0"/>
    <xf numFmtId="184" fontId="114" fillId="21"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7" fontId="80" fillId="40"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2" fontId="80" fillId="40" borderId="0" applyNumberFormat="0" applyBorder="0" applyAlignment="0" applyProtection="0"/>
    <xf numFmtId="37" fontId="133" fillId="0" borderId="0"/>
    <xf numFmtId="200" fontId="134" fillId="0" borderId="0"/>
    <xf numFmtId="201" fontId="20" fillId="0" borderId="0"/>
    <xf numFmtId="201" fontId="20"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183" fontId="20" fillId="0" borderId="0"/>
    <xf numFmtId="184" fontId="20" fillId="0" borderId="0"/>
    <xf numFmtId="184" fontId="20" fillId="0" borderId="0"/>
    <xf numFmtId="187" fontId="4" fillId="0" borderId="0"/>
    <xf numFmtId="0"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184" fontId="20" fillId="0" borderId="0"/>
    <xf numFmtId="182" fontId="22" fillId="104" borderId="0"/>
    <xf numFmtId="202" fontId="4" fillId="0" borderId="0"/>
    <xf numFmtId="0" fontId="4" fillId="0" borderId="0"/>
    <xf numFmtId="202"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184" fontId="20" fillId="0" borderId="0"/>
    <xf numFmtId="187" fontId="4" fillId="0" borderId="0"/>
    <xf numFmtId="0" fontId="20" fillId="0" borderId="0"/>
    <xf numFmtId="184" fontId="20" fillId="0" borderId="0"/>
    <xf numFmtId="184" fontId="4" fillId="0" borderId="0"/>
    <xf numFmtId="0" fontId="20" fillId="0" borderId="0"/>
    <xf numFmtId="184" fontId="20" fillId="0" borderId="0"/>
    <xf numFmtId="0"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4" fontId="20" fillId="0" borderId="0"/>
    <xf numFmtId="182" fontId="20" fillId="0" borderId="0"/>
    <xf numFmtId="202" fontId="4" fillId="0" borderId="0"/>
    <xf numFmtId="0" fontId="135"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135" fillId="0" borderId="0"/>
    <xf numFmtId="183" fontId="135" fillId="0" borderId="0"/>
    <xf numFmtId="184" fontId="135"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5" fillId="0" borderId="0"/>
    <xf numFmtId="185" fontId="135" fillId="0" borderId="0"/>
    <xf numFmtId="183" fontId="135" fillId="0" borderId="0"/>
    <xf numFmtId="183" fontId="135" fillId="0" borderId="0"/>
    <xf numFmtId="184" fontId="135" fillId="0" borderId="0"/>
    <xf numFmtId="0" fontId="4" fillId="0" borderId="0"/>
    <xf numFmtId="183" fontId="4" fillId="0" borderId="0"/>
    <xf numFmtId="184" fontId="4" fillId="0" borderId="0"/>
    <xf numFmtId="184" fontId="4" fillId="0" borderId="0"/>
    <xf numFmtId="184" fontId="135" fillId="0" borderId="0"/>
    <xf numFmtId="185" fontId="135" fillId="0" borderId="0"/>
    <xf numFmtId="183" fontId="135" fillId="0" borderId="0"/>
    <xf numFmtId="184" fontId="135" fillId="0" borderId="0"/>
    <xf numFmtId="184" fontId="135"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5" fillId="0" borderId="0"/>
    <xf numFmtId="0" fontId="135" fillId="0" borderId="0"/>
    <xf numFmtId="183" fontId="135" fillId="0" borderId="0"/>
    <xf numFmtId="184" fontId="135" fillId="0" borderId="0"/>
    <xf numFmtId="184" fontId="135" fillId="0" borderId="0"/>
    <xf numFmtId="184" fontId="135" fillId="0" borderId="0"/>
    <xf numFmtId="0"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20" fillId="0" borderId="0"/>
    <xf numFmtId="183" fontId="20" fillId="0" borderId="0"/>
    <xf numFmtId="184" fontId="20" fillId="0" borderId="0"/>
    <xf numFmtId="184" fontId="20" fillId="0" borderId="0"/>
    <xf numFmtId="187" fontId="20"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20" fillId="0" borderId="0"/>
    <xf numFmtId="202"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186" fontId="20" fillId="0" borderId="0">
      <alignment horizontal="left" wrapText="1"/>
    </xf>
    <xf numFmtId="0" fontId="22"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7" fontId="4" fillId="0" borderId="0"/>
    <xf numFmtId="184" fontId="4" fillId="0" borderId="0"/>
    <xf numFmtId="184"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2"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3"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0" fontId="52" fillId="0" borderId="0"/>
    <xf numFmtId="183" fontId="52" fillId="0" borderId="0"/>
    <xf numFmtId="184" fontId="52" fillId="0" borderId="0"/>
    <xf numFmtId="184" fontId="52" fillId="0" borderId="0"/>
    <xf numFmtId="0" fontId="4" fillId="0" borderId="0"/>
    <xf numFmtId="183" fontId="4" fillId="0" borderId="0"/>
    <xf numFmtId="184" fontId="4" fillId="0" borderId="0"/>
    <xf numFmtId="184" fontId="4" fillId="0" borderId="0"/>
    <xf numFmtId="184" fontId="52"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0" fontId="22" fillId="104" borderId="0"/>
    <xf numFmtId="183" fontId="22" fillId="104" borderId="0"/>
    <xf numFmtId="184" fontId="22" fillId="104" borderId="0"/>
    <xf numFmtId="184" fontId="22" fillId="104" borderId="0"/>
    <xf numFmtId="0"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3" fontId="22" fillId="104" borderId="0"/>
    <xf numFmtId="184" fontId="22" fillId="104" borderId="0"/>
    <xf numFmtId="184" fontId="22" fillId="104"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36" fillId="0" borderId="0"/>
    <xf numFmtId="187" fontId="4" fillId="0" borderId="0"/>
    <xf numFmtId="184" fontId="4" fillId="0" borderId="0"/>
    <xf numFmtId="184" fontId="20" fillId="0" borderId="0"/>
    <xf numFmtId="202" fontId="20" fillId="0" borderId="0"/>
    <xf numFmtId="182"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0" fontId="52" fillId="0" borderId="0"/>
    <xf numFmtId="183" fontId="52" fillId="0" borderId="0"/>
    <xf numFmtId="184" fontId="52" fillId="0" borderId="0"/>
    <xf numFmtId="184" fontId="52" fillId="0" borderId="0"/>
    <xf numFmtId="183" fontId="4" fillId="0" borderId="0"/>
    <xf numFmtId="184" fontId="4" fillId="0" borderId="0"/>
    <xf numFmtId="183" fontId="4" fillId="0" borderId="0"/>
    <xf numFmtId="184" fontId="4" fillId="0" borderId="0"/>
    <xf numFmtId="183"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3" fontId="4" fillId="0" borderId="0"/>
    <xf numFmtId="184" fontId="4" fillId="0" borderId="0"/>
    <xf numFmtId="0" fontId="4" fillId="0" borderId="0"/>
    <xf numFmtId="184" fontId="4"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52" fillId="0" borderId="0"/>
    <xf numFmtId="0" fontId="22" fillId="104" borderId="0"/>
    <xf numFmtId="184" fontId="22" fillId="104" borderId="0"/>
    <xf numFmtId="184" fontId="52" fillId="0" borderId="0"/>
    <xf numFmtId="0" fontId="22" fillId="104" borderId="0"/>
    <xf numFmtId="184" fontId="22" fillId="104"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0" fontId="20" fillId="0" borderId="0"/>
    <xf numFmtId="184" fontId="20"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22" fillId="104" borderId="0"/>
    <xf numFmtId="184" fontId="22" fillId="104" borderId="0"/>
    <xf numFmtId="0" fontId="4" fillId="0" borderId="0"/>
    <xf numFmtId="184" fontId="4" fillId="0"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184" fontId="4" fillId="0" borderId="0"/>
    <xf numFmtId="182" fontId="52" fillId="0" borderId="0"/>
    <xf numFmtId="182"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0" fontId="22" fillId="104" borderId="0"/>
    <xf numFmtId="202"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202" fontId="4" fillId="0" borderId="0"/>
    <xf numFmtId="202" fontId="4" fillId="0" borderId="0"/>
    <xf numFmtId="202" fontId="4" fillId="0" borderId="0"/>
    <xf numFmtId="202" fontId="4" fillId="0" borderId="0"/>
    <xf numFmtId="202" fontId="4" fillId="0" borderId="0"/>
    <xf numFmtId="183" fontId="4" fillId="0" borderId="0"/>
    <xf numFmtId="183" fontId="4" fillId="0" borderId="0"/>
    <xf numFmtId="183" fontId="4" fillId="0" borderId="0"/>
    <xf numFmtId="0" fontId="22" fillId="104" borderId="0"/>
    <xf numFmtId="0" fontId="22" fillId="104"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2" fillId="104" borderId="0"/>
    <xf numFmtId="0" fontId="4" fillId="0" borderId="0"/>
    <xf numFmtId="0"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4" fillId="0" borderId="0"/>
    <xf numFmtId="0" fontId="22" fillId="104" borderId="0"/>
    <xf numFmtId="0" fontId="22" fillId="104"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2" fillId="104" borderId="0"/>
    <xf numFmtId="0" fontId="22" fillId="104" borderId="0"/>
    <xf numFmtId="0" fontId="4" fillId="0" borderId="0"/>
    <xf numFmtId="0" fontId="22" fillId="104" borderId="0"/>
    <xf numFmtId="0" fontId="22" fillId="104" borderId="0"/>
    <xf numFmtId="202" fontId="4" fillId="0" borderId="0"/>
    <xf numFmtId="202"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0" fillId="0" borderId="0"/>
    <xf numFmtId="0" fontId="20" fillId="0" borderId="0"/>
    <xf numFmtId="0" fontId="20" fillId="0" borderId="0"/>
    <xf numFmtId="0"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6"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6"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96" fontId="20" fillId="0" borderId="0"/>
    <xf numFmtId="196"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2" fillId="105" borderId="0" applyBorder="0" applyAlignment="0">
      <alignment horizontal="left"/>
    </xf>
    <xf numFmtId="183" fontId="32" fillId="105" borderId="0" applyBorder="0" applyAlignment="0">
      <alignment horizontal="left"/>
    </xf>
    <xf numFmtId="184" fontId="32" fillId="105" borderId="0" applyBorder="0" applyAlignment="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32" fillId="105" borderId="0" applyBorder="0" applyAlignment="0">
      <alignment horizontal="left"/>
    </xf>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0" fontId="4" fillId="44" borderId="25" applyNumberFormat="0" applyFont="0" applyAlignment="0" applyProtection="0"/>
    <xf numFmtId="184" fontId="4" fillId="44" borderId="25"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4" fillId="44" borderId="25"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0" fontId="36" fillId="26" borderId="44" applyNumberFormat="0" applyFont="0" applyAlignment="0" applyProtection="0"/>
    <xf numFmtId="185"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4" fillId="0" borderId="0"/>
    <xf numFmtId="183" fontId="4" fillId="0" borderId="0"/>
    <xf numFmtId="184" fontId="4" fillId="0" borderId="0"/>
    <xf numFmtId="184" fontId="4" fillId="0" borderId="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20" borderId="44" applyNumberFormat="0" applyFont="0" applyAlignment="0" applyProtection="0"/>
    <xf numFmtId="187" fontId="20" fillId="20" borderId="44" applyNumberFormat="0" applyFont="0" applyAlignment="0" applyProtection="0"/>
    <xf numFmtId="187" fontId="20" fillId="20" borderId="44" applyNumberFormat="0" applyFont="0" applyAlignment="0" applyProtection="0"/>
    <xf numFmtId="187"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7"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7" fontId="20" fillId="20" borderId="44" applyNumberFormat="0" applyFont="0" applyAlignment="0" applyProtection="0"/>
    <xf numFmtId="187"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7"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0" fillId="26" borderId="44"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2" fontId="22" fillId="20" borderId="30"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44" borderId="25" applyNumberFormat="0" applyFont="0" applyAlignment="0" applyProtection="0"/>
    <xf numFmtId="183"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185" fontId="4" fillId="44" borderId="25" applyNumberFormat="0" applyFont="0" applyAlignment="0" applyProtection="0"/>
    <xf numFmtId="183"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185"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0"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20" fillId="20" borderId="44" applyNumberFormat="0" applyFont="0" applyAlignment="0" applyProtection="0"/>
    <xf numFmtId="184" fontId="20" fillId="20" borderId="44"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4" fillId="0" borderId="0"/>
    <xf numFmtId="183" fontId="4" fillId="0" borderId="0"/>
    <xf numFmtId="184" fontId="4" fillId="0" borderId="0"/>
    <xf numFmtId="184" fontId="4" fillId="0" borderId="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36" fillId="26" borderId="44" applyNumberFormat="0" applyFont="0" applyAlignment="0" applyProtection="0"/>
    <xf numFmtId="0" fontId="4" fillId="0" borderId="0"/>
    <xf numFmtId="183" fontId="4" fillId="0" borderId="0"/>
    <xf numFmtId="184" fontId="4" fillId="0" borderId="0"/>
    <xf numFmtId="184" fontId="4" fillId="0" borderId="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2" fontId="4" fillId="44" borderId="25"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44" borderId="25" applyNumberFormat="0" applyFont="0" applyAlignment="0" applyProtection="0"/>
    <xf numFmtId="183"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185" fontId="4" fillId="44" borderId="25" applyNumberFormat="0" applyFont="0" applyAlignment="0" applyProtection="0"/>
    <xf numFmtId="183"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185"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0"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4" fillId="0" borderId="0"/>
    <xf numFmtId="183" fontId="4" fillId="0" borderId="0"/>
    <xf numFmtId="184" fontId="4" fillId="0" borderId="0"/>
    <xf numFmtId="184" fontId="4" fillId="0" borderId="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4" fillId="0" borderId="0"/>
    <xf numFmtId="183" fontId="4" fillId="0" borderId="0"/>
    <xf numFmtId="184" fontId="4" fillId="0" borderId="0"/>
    <xf numFmtId="184" fontId="4" fillId="0" borderId="0"/>
    <xf numFmtId="0"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36" fillId="26" borderId="44"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44" borderId="25" applyNumberFormat="0" applyFont="0" applyAlignment="0" applyProtection="0"/>
    <xf numFmtId="183"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185" fontId="4" fillId="44" borderId="25" applyNumberFormat="0" applyFont="0" applyAlignment="0" applyProtection="0"/>
    <xf numFmtId="183"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185"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0" fontId="4" fillId="44" borderId="25" applyNumberFormat="0" applyFont="0" applyAlignment="0" applyProtection="0"/>
    <xf numFmtId="183" fontId="4" fillId="44" borderId="25" applyNumberFormat="0" applyFont="0" applyAlignment="0" applyProtection="0"/>
    <xf numFmtId="184" fontId="4" fillId="44" borderId="25" applyNumberFormat="0" applyFont="0" applyAlignment="0" applyProtection="0"/>
    <xf numFmtId="184" fontId="4"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3" fontId="36" fillId="44" borderId="25" applyNumberFormat="0" applyFont="0" applyAlignment="0" applyProtection="0"/>
    <xf numFmtId="183"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36" fillId="44" borderId="25" applyNumberFormat="0" applyFont="0" applyAlignment="0" applyProtection="0"/>
    <xf numFmtId="184" fontId="36" fillId="44" borderId="25" applyNumberFormat="0" applyFont="0" applyAlignment="0" applyProtection="0"/>
    <xf numFmtId="184" fontId="36" fillId="44" borderId="25"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6" fillId="44" borderId="25" applyNumberFormat="0" applyFont="0" applyAlignment="0" applyProtection="0"/>
    <xf numFmtId="184" fontId="36" fillId="44" borderId="25" applyNumberFormat="0" applyFont="0" applyAlignment="0" applyProtection="0"/>
    <xf numFmtId="0" fontId="36"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4" fillId="0" borderId="0"/>
    <xf numFmtId="183" fontId="4" fillId="0" borderId="0"/>
    <xf numFmtId="184" fontId="4" fillId="0" borderId="0"/>
    <xf numFmtId="184" fontId="4" fillId="0" borderId="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5"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183"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4" fontId="20" fillId="26" borderId="44" applyNumberFormat="0" applyFont="0" applyAlignment="0" applyProtection="0"/>
    <xf numFmtId="0" fontId="20" fillId="26" borderId="44" applyNumberFormat="0" applyFont="0" applyAlignment="0" applyProtection="0"/>
    <xf numFmtId="184" fontId="20" fillId="26" borderId="44" applyNumberFormat="0" applyFont="0" applyAlignment="0" applyProtection="0"/>
    <xf numFmtId="185"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5" fontId="20" fillId="20" borderId="44" applyNumberFormat="0" applyFont="0" applyAlignment="0" applyProtection="0"/>
    <xf numFmtId="184" fontId="20" fillId="20" borderId="44" applyNumberFormat="0" applyFont="0" applyAlignment="0" applyProtection="0"/>
    <xf numFmtId="184" fontId="20" fillId="20" borderId="44"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4" fillId="0" borderId="0"/>
    <xf numFmtId="183" fontId="4" fillId="0" borderId="0"/>
    <xf numFmtId="184" fontId="4" fillId="0" borderId="0"/>
    <xf numFmtId="184" fontId="4" fillId="0" borderId="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4" fillId="0" borderId="0"/>
    <xf numFmtId="183" fontId="4" fillId="0" borderId="0"/>
    <xf numFmtId="184" fontId="4" fillId="0" borderId="0"/>
    <xf numFmtId="184" fontId="4" fillId="0" borderId="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0"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183" fontId="22" fillId="20" borderId="30" applyNumberFormat="0" applyFont="0" applyAlignment="0" applyProtection="0"/>
    <xf numFmtId="184" fontId="22" fillId="20" borderId="30" applyNumberFormat="0" applyFont="0" applyAlignment="0" applyProtection="0"/>
    <xf numFmtId="184" fontId="22" fillId="20" borderId="30" applyNumberFormat="0" applyFont="0" applyAlignment="0" applyProtection="0"/>
    <xf numFmtId="203" fontId="136" fillId="0" borderId="45" applyFont="0" applyFill="0" applyBorder="0" applyAlignment="0" applyProtection="0">
      <alignment horizontal="center"/>
      <protection locked="0"/>
    </xf>
    <xf numFmtId="203" fontId="136" fillId="0" borderId="45"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2" fontId="82" fillId="42" borderId="22" applyNumberFormat="0" applyAlignment="0" applyProtection="0"/>
    <xf numFmtId="0" fontId="137" fillId="75"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37" fillId="97" borderId="46" applyNumberFormat="0" applyAlignment="0" applyProtection="0"/>
    <xf numFmtId="0" fontId="137" fillId="75" borderId="46" applyNumberFormat="0" applyAlignment="0" applyProtection="0"/>
    <xf numFmtId="0"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137" fillId="75" borderId="46" applyNumberFormat="0" applyAlignment="0" applyProtection="0"/>
    <xf numFmtId="184" fontId="137" fillId="75" borderId="46" applyNumberFormat="0" applyAlignment="0" applyProtection="0"/>
    <xf numFmtId="187"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137" fillId="75" borderId="46" applyNumberFormat="0" applyAlignment="0" applyProtection="0"/>
    <xf numFmtId="0" fontId="137" fillId="75" borderId="46" applyNumberFormat="0" applyAlignment="0" applyProtection="0"/>
    <xf numFmtId="184" fontId="137" fillId="75" borderId="46" applyNumberFormat="0" applyAlignment="0" applyProtection="0"/>
    <xf numFmtId="0" fontId="137" fillId="96" borderId="46" applyNumberFormat="0" applyAlignment="0" applyProtection="0"/>
    <xf numFmtId="184" fontId="137" fillId="96" borderId="46" applyNumberFormat="0" applyAlignment="0" applyProtection="0"/>
    <xf numFmtId="184" fontId="137" fillId="75" borderId="46" applyNumberFormat="0" applyAlignment="0" applyProtection="0"/>
    <xf numFmtId="182" fontId="137" fillId="96" borderId="46" applyNumberFormat="0" applyAlignment="0" applyProtection="0"/>
    <xf numFmtId="0" fontId="82" fillId="42" borderId="22" applyNumberFormat="0" applyAlignment="0" applyProtection="0"/>
    <xf numFmtId="183"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2" applyNumberFormat="0" applyAlignment="0" applyProtection="0"/>
    <xf numFmtId="0"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2" applyNumberFormat="0" applyAlignment="0" applyProtection="0"/>
    <xf numFmtId="0"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137" fillId="96" borderId="46" applyNumberFormat="0" applyAlignment="0" applyProtection="0"/>
    <xf numFmtId="183"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3" fontId="137" fillId="96" borderId="46" applyNumberFormat="0" applyAlignment="0" applyProtection="0"/>
    <xf numFmtId="183" fontId="137" fillId="96" borderId="46" applyNumberFormat="0" applyAlignment="0" applyProtection="0"/>
    <xf numFmtId="183" fontId="137" fillId="96" borderId="46" applyNumberFormat="0" applyAlignment="0" applyProtection="0"/>
    <xf numFmtId="184" fontId="137" fillId="96" borderId="46" applyNumberFormat="0" applyAlignment="0" applyProtection="0"/>
    <xf numFmtId="184" fontId="137" fillId="96" borderId="46" applyNumberFormat="0" applyAlignment="0" applyProtection="0"/>
    <xf numFmtId="0" fontId="4" fillId="0" borderId="0"/>
    <xf numFmtId="183" fontId="4" fillId="0" borderId="0"/>
    <xf numFmtId="184" fontId="4" fillId="0" borderId="0"/>
    <xf numFmtId="184" fontId="4" fillId="0" borderId="0"/>
    <xf numFmtId="183" fontId="137" fillId="96" borderId="46" applyNumberFormat="0" applyAlignment="0" applyProtection="0"/>
    <xf numFmtId="184" fontId="137" fillId="96" borderId="46" applyNumberFormat="0" applyAlignment="0" applyProtection="0"/>
    <xf numFmtId="184" fontId="137" fillId="96" borderId="46" applyNumberFormat="0" applyAlignment="0" applyProtection="0"/>
    <xf numFmtId="0" fontId="137" fillId="96" borderId="46" applyNumberFormat="0" applyAlignment="0" applyProtection="0"/>
    <xf numFmtId="183" fontId="137" fillId="96" borderId="46" applyNumberFormat="0" applyAlignment="0" applyProtection="0"/>
    <xf numFmtId="183" fontId="137" fillId="96" borderId="46" applyNumberFormat="0" applyAlignment="0" applyProtection="0"/>
    <xf numFmtId="184" fontId="137" fillId="96" borderId="46" applyNumberFormat="0" applyAlignment="0" applyProtection="0"/>
    <xf numFmtId="184" fontId="137" fillId="96" borderId="46" applyNumberFormat="0" applyAlignment="0" applyProtection="0"/>
    <xf numFmtId="0" fontId="137" fillId="96" borderId="46" applyNumberFormat="0" applyAlignment="0" applyProtection="0"/>
    <xf numFmtId="184" fontId="137" fillId="96" borderId="46" applyNumberFormat="0" applyAlignment="0" applyProtection="0"/>
    <xf numFmtId="184" fontId="137" fillId="96"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7" fillId="96" borderId="46" applyNumberFormat="0" applyAlignment="0" applyProtection="0"/>
    <xf numFmtId="184" fontId="137" fillId="96" borderId="46" applyNumberFormat="0" applyAlignment="0" applyProtection="0"/>
    <xf numFmtId="184" fontId="137" fillId="96" borderId="46" applyNumberFormat="0" applyAlignment="0" applyProtection="0"/>
    <xf numFmtId="183"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185"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4" fillId="0" borderId="0"/>
    <xf numFmtId="183" fontId="4" fillId="0" borderId="0"/>
    <xf numFmtId="184" fontId="4" fillId="0" borderId="0"/>
    <xf numFmtId="184" fontId="4" fillId="0" borderId="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185"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185"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137" fillId="75" borderId="46" applyNumberFormat="0" applyAlignment="0" applyProtection="0"/>
    <xf numFmtId="183"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3"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2" applyNumberFormat="0" applyAlignment="0" applyProtection="0"/>
    <xf numFmtId="0"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2" applyNumberFormat="0" applyAlignment="0" applyProtection="0"/>
    <xf numFmtId="0" fontId="137" fillId="75" borderId="46" applyNumberFormat="0" applyAlignment="0" applyProtection="0"/>
    <xf numFmtId="183"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2" applyNumberFormat="0" applyAlignment="0" applyProtection="0"/>
    <xf numFmtId="0"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2" applyNumberFormat="0" applyAlignment="0" applyProtection="0"/>
    <xf numFmtId="0"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185"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4" fillId="0" borderId="0"/>
    <xf numFmtId="183" fontId="4" fillId="0" borderId="0"/>
    <xf numFmtId="184" fontId="4" fillId="0" borderId="0"/>
    <xf numFmtId="184" fontId="4" fillId="0" borderId="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185"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185"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137" fillId="75" borderId="46" applyNumberFormat="0" applyAlignment="0" applyProtection="0"/>
    <xf numFmtId="183" fontId="137" fillId="75" borderId="46" applyNumberFormat="0" applyAlignment="0" applyProtection="0"/>
    <xf numFmtId="183"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7" fillId="75" borderId="46" applyNumberFormat="0" applyAlignment="0" applyProtection="0"/>
    <xf numFmtId="184" fontId="137" fillId="75" borderId="46" applyNumberFormat="0" applyAlignment="0" applyProtection="0"/>
    <xf numFmtId="184" fontId="137" fillId="75" borderId="46" applyNumberFormat="0" applyAlignment="0" applyProtection="0"/>
    <xf numFmtId="185"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3" fontId="137" fillId="97" borderId="46" applyNumberFormat="0" applyAlignment="0" applyProtection="0"/>
    <xf numFmtId="183"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185"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97" borderId="46" applyNumberFormat="0" applyAlignment="0" applyProtection="0"/>
    <xf numFmtId="184" fontId="137" fillId="97" borderId="46" applyNumberFormat="0" applyAlignment="0" applyProtection="0"/>
    <xf numFmtId="184" fontId="137" fillId="97" borderId="46" applyNumberFormat="0" applyAlignment="0" applyProtection="0"/>
    <xf numFmtId="0" fontId="82" fillId="42" borderId="22" applyNumberFormat="0" applyAlignment="0" applyProtection="0"/>
    <xf numFmtId="184" fontId="82" fillId="42" borderId="22" applyNumberFormat="0" applyAlignment="0" applyProtection="0"/>
    <xf numFmtId="0" fontId="137" fillId="96" borderId="46" applyNumberFormat="0" applyAlignment="0" applyProtection="0"/>
    <xf numFmtId="184" fontId="137" fillId="96" borderId="46" applyNumberFormat="0" applyAlignment="0" applyProtection="0"/>
    <xf numFmtId="184" fontId="82" fillId="42" borderId="22" applyNumberFormat="0" applyAlignment="0" applyProtection="0"/>
    <xf numFmtId="10" fontId="138" fillId="0" borderId="47" applyFont="0" applyFill="0" applyBorder="0" applyAlignment="0" applyProtection="0">
      <alignment horizontal="center"/>
      <protection locked="0"/>
    </xf>
    <xf numFmtId="10" fontId="138" fillId="0" borderId="47"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39" fillId="0" borderId="0" applyFont="0" applyFill="0" applyBorder="0" applyProtection="0">
      <alignment horizontal="center"/>
    </xf>
    <xf numFmtId="190" fontId="139" fillId="0" borderId="0" applyFont="0" applyFill="0" applyBorder="0" applyProtection="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29" fillId="0" borderId="0">
      <alignment horizontal="center" wrapText="1"/>
      <protection locked="0"/>
    </xf>
    <xf numFmtId="14" fontId="29" fillId="0" borderId="0">
      <alignment horizontal="center" wrapText="1"/>
      <protection locked="0"/>
    </xf>
    <xf numFmtId="14" fontId="29"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29"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204" fontId="20" fillId="0" borderId="0" applyFont="0" applyFill="0" applyBorder="0" applyAlignment="0" applyProtection="0"/>
    <xf numFmtId="204"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2" fillId="0" borderId="0" applyFont="0" applyFill="0" applyBorder="0" applyAlignment="0" applyProtection="0"/>
    <xf numFmtId="9" fontId="52" fillId="0" borderId="0" applyFont="0" applyFill="0" applyBorder="0" applyAlignment="0" applyProtection="0"/>
    <xf numFmtId="0" fontId="4" fillId="0" borderId="0"/>
    <xf numFmtId="183" fontId="4" fillId="0" borderId="0"/>
    <xf numFmtId="184" fontId="4" fillId="0" borderId="0"/>
    <xf numFmtId="184" fontId="4" fillId="0" borderId="0"/>
    <xf numFmtId="9" fontId="52" fillId="0" borderId="0" applyFont="0" applyFill="0" applyBorder="0" applyAlignment="0" applyProtection="0"/>
    <xf numFmtId="9" fontId="52" fillId="0" borderId="0" applyFont="0" applyFill="0" applyBorder="0" applyAlignment="0" applyProtection="0"/>
    <xf numFmtId="0" fontId="4" fillId="0" borderId="0"/>
    <xf numFmtId="183" fontId="4" fillId="0" borderId="0"/>
    <xf numFmtId="184" fontId="4" fillId="0" borderId="0"/>
    <xf numFmtId="184" fontId="4" fillId="0" borderId="0"/>
    <xf numFmtId="9" fontId="52" fillId="0" borderId="0" applyFont="0" applyFill="0" applyBorder="0" applyAlignment="0" applyProtection="0"/>
    <xf numFmtId="9" fontId="52" fillId="0" borderId="0" applyFont="0" applyFill="0" applyBorder="0" applyAlignment="0" applyProtection="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6"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6" fillId="0" borderId="0" applyFont="0" applyFill="0" applyBorder="0" applyAlignment="0" applyProtection="0"/>
    <xf numFmtId="9" fontId="135"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35"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6"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4" fillId="0" borderId="0"/>
    <xf numFmtId="183" fontId="4" fillId="0" borderId="0"/>
    <xf numFmtId="184" fontId="4" fillId="0" borderId="0"/>
    <xf numFmtId="184" fontId="4" fillId="0" borderId="0"/>
    <xf numFmtId="9" fontId="39"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4" fillId="0" borderId="0"/>
    <xf numFmtId="183" fontId="4" fillId="0" borderId="0"/>
    <xf numFmtId="184" fontId="4" fillId="0" borderId="0"/>
    <xf numFmtId="184" fontId="4" fillId="0" borderId="0"/>
    <xf numFmtId="9" fontId="39"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xf numFmtId="10" fontId="140" fillId="0" borderId="48" applyFont="0" applyFill="0" applyBorder="0" applyAlignment="0" applyProtection="0">
      <alignment horizontal="center"/>
      <protection locked="0"/>
    </xf>
    <xf numFmtId="10" fontId="140" fillId="0" borderId="48"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2" fillId="0" borderId="0" applyFont="0" applyAlignment="0">
      <alignment horizontal="center" wrapText="1"/>
    </xf>
    <xf numFmtId="9" fontId="32" fillId="0" borderId="0" applyFont="0" applyAlignment="0">
      <alignment horizontal="center"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41" fillId="0" borderId="0" applyNumberFormat="0" applyFill="0" applyBorder="0" applyProtection="0">
      <alignment horizontal="right"/>
    </xf>
    <xf numFmtId="9" fontId="141" fillId="0" borderId="0" applyNumberFormat="0" applyFill="0" applyBorder="0" applyProtection="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2" fillId="0" borderId="0" applyNumberFormat="0" applyFont="0" applyFill="0" applyBorder="0" applyAlignment="0" applyProtection="0">
      <alignment horizontal="left"/>
    </xf>
    <xf numFmtId="185"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184" fontId="42" fillId="0" borderId="0" applyNumberFormat="0" applyFont="0" applyFill="0" applyBorder="0" applyAlignment="0" applyProtection="0">
      <alignment horizontal="left"/>
    </xf>
    <xf numFmtId="185"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2" fillId="0" borderId="0" applyNumberFormat="0" applyFont="0" applyFill="0" applyBorder="0" applyAlignment="0" applyProtection="0">
      <alignment horizontal="left"/>
    </xf>
    <xf numFmtId="0"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2" fillId="0" borderId="0" applyNumberFormat="0" applyFont="0" applyFill="0" applyBorder="0" applyAlignment="0" applyProtection="0">
      <alignment horizontal="left"/>
    </xf>
    <xf numFmtId="185"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2" fillId="0" borderId="0" applyNumberFormat="0" applyFont="0" applyFill="0" applyBorder="0" applyAlignment="0" applyProtection="0">
      <alignment horizontal="left"/>
    </xf>
    <xf numFmtId="185"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2" fillId="0" borderId="0" applyNumberFormat="0" applyFont="0" applyFill="0" applyBorder="0" applyAlignment="0" applyProtection="0">
      <alignment horizontal="left"/>
    </xf>
    <xf numFmtId="185"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2" fillId="0" borderId="0" applyNumberFormat="0" applyFont="0" applyFill="0" applyBorder="0" applyAlignment="0" applyProtection="0">
      <alignment horizontal="left"/>
    </xf>
    <xf numFmtId="185"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2" fillId="0" borderId="0" applyNumberFormat="0" applyFont="0" applyFill="0" applyBorder="0" applyAlignment="0" applyProtection="0">
      <alignment horizontal="left"/>
    </xf>
    <xf numFmtId="0" fontId="42" fillId="0" borderId="0" applyNumberFormat="0" applyFont="0" applyFill="0" applyBorder="0" applyAlignment="0" applyProtection="0">
      <alignment horizontal="left"/>
    </xf>
    <xf numFmtId="183"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2" fillId="0" borderId="0" applyNumberFormat="0" applyFont="0" applyFill="0" applyBorder="0" applyAlignment="0" applyProtection="0">
      <alignment horizontal="left"/>
    </xf>
    <xf numFmtId="184" fontId="42" fillId="0" borderId="0" applyNumberFormat="0" applyFont="0" applyFill="0" applyBorder="0" applyAlignment="0" applyProtection="0">
      <alignment horizontal="left"/>
    </xf>
    <xf numFmtId="15" fontId="42" fillId="0" borderId="0" applyFont="0" applyFill="0" applyBorder="0" applyAlignment="0" applyProtection="0"/>
    <xf numFmtId="15" fontId="42" fillId="0" borderId="0" applyFont="0" applyFill="0" applyBorder="0" applyAlignment="0" applyProtection="0"/>
    <xf numFmtId="15" fontId="42"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5" fontId="42"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0" borderId="0" applyFont="0" applyFill="0" applyBorder="0" applyAlignment="0" applyProtection="0"/>
    <xf numFmtId="4" fontId="42" fillId="0" borderId="0" applyFont="0" applyFill="0" applyBorder="0" applyAlignment="0" applyProtection="0"/>
    <xf numFmtId="4" fontId="42"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2"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2" fillId="106" borderId="0" applyNumberFormat="0" applyFont="0" applyBorder="0" applyAlignment="0">
      <alignment horizontal="center"/>
    </xf>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2" fillId="106" borderId="0" applyNumberFormat="0" applyFont="0" applyBorder="0" applyAlignment="0">
      <alignment horizontal="center"/>
    </xf>
    <xf numFmtId="184" fontId="142" fillId="106" borderId="0" applyNumberFormat="0" applyFont="0" applyBorder="0" applyAlignment="0">
      <alignment horizontal="center"/>
    </xf>
    <xf numFmtId="205" fontId="143" fillId="0" borderId="0" applyNumberFormat="0" applyFill="0" applyBorder="0" applyAlignment="0" applyProtection="0">
      <alignment horizontal="left"/>
    </xf>
    <xf numFmtId="205" fontId="143" fillId="0" borderId="0" applyNumberForma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4" fontId="22" fillId="25" borderId="30" applyNumberFormat="0" applyProtection="0">
      <alignment vertical="center"/>
    </xf>
    <xf numFmtId="4" fontId="22" fillId="25" borderId="30" applyNumberFormat="0" applyProtection="0">
      <alignment vertical="center"/>
    </xf>
    <xf numFmtId="0" fontId="20" fillId="0" borderId="0"/>
    <xf numFmtId="184" fontId="20" fillId="0" borderId="0"/>
    <xf numFmtId="4" fontId="22" fillId="25" borderId="30" applyNumberFormat="0" applyProtection="0">
      <alignment vertical="center"/>
    </xf>
    <xf numFmtId="184" fontId="20" fillId="0" borderId="0"/>
    <xf numFmtId="4" fontId="41" fillId="25" borderId="1"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0" fontId="4" fillId="0" borderId="0"/>
    <xf numFmtId="183" fontId="4" fillId="0" borderId="0"/>
    <xf numFmtId="184" fontId="4" fillId="0" borderId="0"/>
    <xf numFmtId="184" fontId="4" fillId="0" borderId="0"/>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22" fillId="25" borderId="30" applyNumberFormat="0" applyProtection="0">
      <alignment vertical="center"/>
    </xf>
    <xf numFmtId="4" fontId="41" fillId="25" borderId="1" applyNumberFormat="0" applyProtection="0">
      <alignment vertical="center"/>
    </xf>
    <xf numFmtId="4" fontId="41"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1"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44" fillId="107" borderId="30" applyNumberFormat="0" applyProtection="0">
      <alignment vertical="center"/>
    </xf>
    <xf numFmtId="184" fontId="20" fillId="0" borderId="0"/>
    <xf numFmtId="4" fontId="43" fillId="25" borderId="1"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0" fontId="4" fillId="0" borderId="0"/>
    <xf numFmtId="183" fontId="4" fillId="0" borderId="0"/>
    <xf numFmtId="184" fontId="4" fillId="0" borderId="0"/>
    <xf numFmtId="184" fontId="4" fillId="0" borderId="0"/>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144" fillId="107" borderId="30"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7" borderId="30" applyNumberFormat="0" applyProtection="0">
      <alignment horizontal="left" vertical="center" indent="1"/>
    </xf>
    <xf numFmtId="4" fontId="22" fillId="107" borderId="30" applyNumberFormat="0" applyProtection="0">
      <alignment horizontal="left" vertical="center" indent="1"/>
    </xf>
    <xf numFmtId="0" fontId="20" fillId="0" borderId="0"/>
    <xf numFmtId="184" fontId="20" fillId="0" borderId="0"/>
    <xf numFmtId="4" fontId="22" fillId="107" borderId="30" applyNumberFormat="0" applyProtection="0">
      <alignment horizontal="left" vertical="center" indent="1"/>
    </xf>
    <xf numFmtId="184" fontId="20" fillId="0" borderId="0"/>
    <xf numFmtId="4" fontId="41" fillId="25" borderId="1"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0" fontId="4" fillId="0" borderId="0"/>
    <xf numFmtId="183" fontId="4" fillId="0" borderId="0"/>
    <xf numFmtId="184" fontId="4" fillId="0" borderId="0"/>
    <xf numFmtId="184" fontId="4" fillId="0" borderId="0"/>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22" fillId="107" borderId="30" applyNumberFormat="0" applyProtection="0">
      <alignment horizontal="left" vertical="center" indent="1"/>
    </xf>
    <xf numFmtId="4" fontId="41" fillId="25" borderId="1" applyNumberFormat="0" applyProtection="0">
      <alignment horizontal="left" vertical="center" indent="1"/>
    </xf>
    <xf numFmtId="4" fontId="41" fillId="25"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1" fillId="25"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1" fillId="25" borderId="1" applyNumberFormat="0" applyProtection="0">
      <alignment horizontal="left" vertical="top" indent="1"/>
    </xf>
    <xf numFmtId="0" fontId="20" fillId="0" borderId="0"/>
    <xf numFmtId="184" fontId="20" fillId="0" borderId="0"/>
    <xf numFmtId="187"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20" fillId="0" borderId="0"/>
    <xf numFmtId="184" fontId="20" fillId="0" borderId="0"/>
    <xf numFmtId="0" fontId="20" fillId="0" borderId="0"/>
    <xf numFmtId="184" fontId="20"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20" fillId="0" borderId="0"/>
    <xf numFmtId="182" fontId="145" fillId="25" borderId="1" applyNumberFormat="0" applyProtection="0">
      <alignment horizontal="left" vertical="top" indent="1"/>
    </xf>
    <xf numFmtId="0"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5"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5"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5"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5"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5"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5"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5"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5"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5"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1" fillId="25" borderId="1" applyNumberFormat="0" applyProtection="0">
      <alignment horizontal="left" vertical="top" indent="1"/>
    </xf>
    <xf numFmtId="184" fontId="41" fillId="25" borderId="1" applyNumberFormat="0" applyProtection="0">
      <alignment horizontal="left" vertical="top" indent="1"/>
    </xf>
    <xf numFmtId="184" fontId="41" fillId="25"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22" fillId="78" borderId="30" applyNumberFormat="0" applyProtection="0">
      <alignment horizontal="left" vertical="center" indent="1"/>
    </xf>
    <xf numFmtId="4" fontId="41"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0" fontId="20" fillId="0" borderId="0"/>
    <xf numFmtId="184" fontId="20" fillId="0" borderId="0"/>
    <xf numFmtId="4" fontId="22" fillId="2" borderId="30" applyNumberFormat="0" applyProtection="0">
      <alignment horizontal="right" vertical="center"/>
    </xf>
    <xf numFmtId="4" fontId="22" fillId="2" borderId="30" applyNumberFormat="0" applyProtection="0">
      <alignment horizontal="right" vertical="center"/>
    </xf>
    <xf numFmtId="0" fontId="20" fillId="0" borderId="0"/>
    <xf numFmtId="184" fontId="20" fillId="0" borderId="0"/>
    <xf numFmtId="4" fontId="22" fillId="2" borderId="30" applyNumberFormat="0" applyProtection="0">
      <alignment horizontal="right" vertical="center"/>
    </xf>
    <xf numFmtId="184" fontId="20" fillId="0" borderId="0"/>
    <xf numFmtId="4" fontId="39" fillId="2" borderId="1"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0" fontId="4" fillId="0" borderId="0"/>
    <xf numFmtId="183" fontId="4" fillId="0" borderId="0"/>
    <xf numFmtId="184" fontId="4" fillId="0" borderId="0"/>
    <xf numFmtId="184" fontId="4" fillId="0" borderId="0"/>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22" fillId="2" borderId="30" applyNumberFormat="0" applyProtection="0">
      <alignment horizontal="right" vertical="center"/>
    </xf>
    <xf numFmtId="4" fontId="39" fillId="2" borderId="1" applyNumberFormat="0" applyProtection="0">
      <alignment horizontal="right" vertical="center"/>
    </xf>
    <xf numFmtId="4" fontId="39" fillId="2" borderId="1" applyNumberFormat="0" applyProtection="0">
      <alignment horizontal="right" vertical="center"/>
    </xf>
    <xf numFmtId="4" fontId="39" fillId="2" borderId="1" applyNumberFormat="0" applyProtection="0">
      <alignment horizontal="right" vertical="center"/>
    </xf>
    <xf numFmtId="4" fontId="39" fillId="2"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2" borderId="1" applyNumberFormat="0" applyProtection="0">
      <alignment horizontal="right" vertical="center"/>
    </xf>
    <xf numFmtId="4" fontId="39" fillId="2" borderId="1" applyNumberFormat="0" applyProtection="0">
      <alignment horizontal="right" vertical="center"/>
    </xf>
    <xf numFmtId="4" fontId="39" fillId="2"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8" borderId="30" applyNumberFormat="0" applyProtection="0">
      <alignment horizontal="right" vertical="center"/>
    </xf>
    <xf numFmtId="4" fontId="22" fillId="108" borderId="30" applyNumberFormat="0" applyProtection="0">
      <alignment horizontal="right" vertical="center"/>
    </xf>
    <xf numFmtId="0" fontId="20" fillId="0" borderId="0"/>
    <xf numFmtId="184" fontId="20" fillId="0" borderId="0"/>
    <xf numFmtId="4" fontId="22" fillId="108" borderId="30" applyNumberFormat="0" applyProtection="0">
      <alignment horizontal="right" vertical="center"/>
    </xf>
    <xf numFmtId="184" fontId="20" fillId="0" borderId="0"/>
    <xf numFmtId="4" fontId="39" fillId="4" borderId="1"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0" fontId="4" fillId="0" borderId="0"/>
    <xf numFmtId="183" fontId="4" fillId="0" borderId="0"/>
    <xf numFmtId="184" fontId="4" fillId="0" borderId="0"/>
    <xf numFmtId="184" fontId="4" fillId="0" borderId="0"/>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22" fillId="108" borderId="30" applyNumberFormat="0" applyProtection="0">
      <alignment horizontal="right" vertical="center"/>
    </xf>
    <xf numFmtId="4" fontId="39" fillId="4" borderId="1" applyNumberFormat="0" applyProtection="0">
      <alignment horizontal="right" vertical="center"/>
    </xf>
    <xf numFmtId="4" fontId="39" fillId="4" borderId="1" applyNumberFormat="0" applyProtection="0">
      <alignment horizontal="right" vertical="center"/>
    </xf>
    <xf numFmtId="4" fontId="39" fillId="4" borderId="1" applyNumberFormat="0" applyProtection="0">
      <alignment horizontal="right" vertical="center"/>
    </xf>
    <xf numFmtId="4" fontId="39" fillId="4"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4" borderId="1" applyNumberFormat="0" applyProtection="0">
      <alignment horizontal="right" vertical="center"/>
    </xf>
    <xf numFmtId="4" fontId="39" fillId="4" borderId="1" applyNumberFormat="0" applyProtection="0">
      <alignment horizontal="right" vertical="center"/>
    </xf>
    <xf numFmtId="4" fontId="39" fillId="4"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1" borderId="49" applyNumberFormat="0" applyProtection="0">
      <alignment horizontal="right" vertical="center"/>
    </xf>
    <xf numFmtId="4" fontId="22" fillId="11" borderId="49" applyNumberFormat="0" applyProtection="0">
      <alignment horizontal="right" vertical="center"/>
    </xf>
    <xf numFmtId="0" fontId="20" fillId="0" borderId="0"/>
    <xf numFmtId="184" fontId="20" fillId="0" borderId="0"/>
    <xf numFmtId="184" fontId="20" fillId="0" borderId="0"/>
    <xf numFmtId="4" fontId="39" fillId="11" borderId="1"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0" fontId="4" fillId="0" borderId="0"/>
    <xf numFmtId="183" fontId="4" fillId="0" borderId="0"/>
    <xf numFmtId="184" fontId="4" fillId="0" borderId="0"/>
    <xf numFmtId="184" fontId="4" fillId="0" borderId="0"/>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22" fillId="11" borderId="49" applyNumberFormat="0" applyProtection="0">
      <alignment horizontal="right" vertical="center"/>
    </xf>
    <xf numFmtId="4" fontId="39" fillId="11" borderId="1" applyNumberFormat="0" applyProtection="0">
      <alignment horizontal="right" vertical="center"/>
    </xf>
    <xf numFmtId="4" fontId="39" fillId="11" borderId="1" applyNumberFormat="0" applyProtection="0">
      <alignment horizontal="right" vertical="center"/>
    </xf>
    <xf numFmtId="4" fontId="39" fillId="11" borderId="1" applyNumberFormat="0" applyProtection="0">
      <alignment horizontal="right" vertical="center"/>
    </xf>
    <xf numFmtId="4" fontId="39" fillId="11"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11" borderId="1" applyNumberFormat="0" applyProtection="0">
      <alignment horizontal="right" vertical="center"/>
    </xf>
    <xf numFmtId="4" fontId="39" fillId="11" borderId="1" applyNumberFormat="0" applyProtection="0">
      <alignment horizontal="right" vertical="center"/>
    </xf>
    <xf numFmtId="4" fontId="39" fillId="11"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6" borderId="30" applyNumberFormat="0" applyProtection="0">
      <alignment horizontal="right" vertical="center"/>
    </xf>
    <xf numFmtId="4" fontId="22" fillId="6" borderId="30" applyNumberFormat="0" applyProtection="0">
      <alignment horizontal="right" vertical="center"/>
    </xf>
    <xf numFmtId="0" fontId="20" fillId="0" borderId="0"/>
    <xf numFmtId="184" fontId="20" fillId="0" borderId="0"/>
    <xf numFmtId="4" fontId="22" fillId="6" borderId="30" applyNumberFormat="0" applyProtection="0">
      <alignment horizontal="right" vertical="center"/>
    </xf>
    <xf numFmtId="184" fontId="20" fillId="0" borderId="0"/>
    <xf numFmtId="4" fontId="39" fillId="6" borderId="1"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0" fontId="4" fillId="0" borderId="0"/>
    <xf numFmtId="183" fontId="4" fillId="0" borderId="0"/>
    <xf numFmtId="184" fontId="4" fillId="0" borderId="0"/>
    <xf numFmtId="184" fontId="4" fillId="0" borderId="0"/>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22" fillId="6" borderId="30" applyNumberFormat="0" applyProtection="0">
      <alignment horizontal="right" vertical="center"/>
    </xf>
    <xf numFmtId="4" fontId="39" fillId="6" borderId="1" applyNumberFormat="0" applyProtection="0">
      <alignment horizontal="right" vertical="center"/>
    </xf>
    <xf numFmtId="4" fontId="39" fillId="6" borderId="1" applyNumberFormat="0" applyProtection="0">
      <alignment horizontal="right" vertical="center"/>
    </xf>
    <xf numFmtId="4" fontId="39" fillId="6" borderId="1" applyNumberFormat="0" applyProtection="0">
      <alignment horizontal="right" vertical="center"/>
    </xf>
    <xf numFmtId="4" fontId="39" fillId="6"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6" borderId="1" applyNumberFormat="0" applyProtection="0">
      <alignment horizontal="right" vertical="center"/>
    </xf>
    <xf numFmtId="4" fontId="39" fillId="6" borderId="1" applyNumberFormat="0" applyProtection="0">
      <alignment horizontal="right" vertical="center"/>
    </xf>
    <xf numFmtId="4" fontId="39" fillId="6"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7" borderId="30" applyNumberFormat="0" applyProtection="0">
      <alignment horizontal="right" vertical="center"/>
    </xf>
    <xf numFmtId="4" fontId="22" fillId="7" borderId="30" applyNumberFormat="0" applyProtection="0">
      <alignment horizontal="right" vertical="center"/>
    </xf>
    <xf numFmtId="0" fontId="20" fillId="0" borderId="0"/>
    <xf numFmtId="184" fontId="20" fillId="0" borderId="0"/>
    <xf numFmtId="4" fontId="22" fillId="7" borderId="30" applyNumberFormat="0" applyProtection="0">
      <alignment horizontal="right" vertical="center"/>
    </xf>
    <xf numFmtId="184" fontId="20" fillId="0" borderId="0"/>
    <xf numFmtId="4" fontId="39" fillId="7" borderId="1"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0" fontId="4" fillId="0" borderId="0"/>
    <xf numFmtId="183" fontId="4" fillId="0" borderId="0"/>
    <xf numFmtId="184" fontId="4" fillId="0" borderId="0"/>
    <xf numFmtId="184" fontId="4" fillId="0" borderId="0"/>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22" fillId="7" borderId="30" applyNumberFormat="0" applyProtection="0">
      <alignment horizontal="right" vertical="center"/>
    </xf>
    <xf numFmtId="4" fontId="39" fillId="7" borderId="1" applyNumberFormat="0" applyProtection="0">
      <alignment horizontal="right" vertical="center"/>
    </xf>
    <xf numFmtId="4" fontId="39" fillId="7" borderId="1" applyNumberFormat="0" applyProtection="0">
      <alignment horizontal="right" vertical="center"/>
    </xf>
    <xf numFmtId="4" fontId="39" fillId="7" borderId="1" applyNumberFormat="0" applyProtection="0">
      <alignment horizontal="right" vertical="center"/>
    </xf>
    <xf numFmtId="4" fontId="39" fillId="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7" borderId="1" applyNumberFormat="0" applyProtection="0">
      <alignment horizontal="right" vertical="center"/>
    </xf>
    <xf numFmtId="4" fontId="39" fillId="7" borderId="1" applyNumberFormat="0" applyProtection="0">
      <alignment horizontal="right" vertical="center"/>
    </xf>
    <xf numFmtId="4" fontId="39" fillId="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9" borderId="30" applyNumberFormat="0" applyProtection="0">
      <alignment horizontal="right" vertical="center"/>
    </xf>
    <xf numFmtId="4" fontId="22" fillId="19" borderId="30" applyNumberFormat="0" applyProtection="0">
      <alignment horizontal="right" vertical="center"/>
    </xf>
    <xf numFmtId="0" fontId="20" fillId="0" borderId="0"/>
    <xf numFmtId="184" fontId="20" fillId="0" borderId="0"/>
    <xf numFmtId="4" fontId="22" fillId="19" borderId="30" applyNumberFormat="0" applyProtection="0">
      <alignment horizontal="right" vertical="center"/>
    </xf>
    <xf numFmtId="184" fontId="20" fillId="0" borderId="0"/>
    <xf numFmtId="4" fontId="39" fillId="19" borderId="1"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0" fontId="4" fillId="0" borderId="0"/>
    <xf numFmtId="183" fontId="4" fillId="0" borderId="0"/>
    <xf numFmtId="184" fontId="4" fillId="0" borderId="0"/>
    <xf numFmtId="184" fontId="4" fillId="0" borderId="0"/>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22" fillId="19" borderId="30" applyNumberFormat="0" applyProtection="0">
      <alignment horizontal="right" vertical="center"/>
    </xf>
    <xf numFmtId="4" fontId="39" fillId="19" borderId="1" applyNumberFormat="0" applyProtection="0">
      <alignment horizontal="right" vertical="center"/>
    </xf>
    <xf numFmtId="4" fontId="39" fillId="19" borderId="1" applyNumberFormat="0" applyProtection="0">
      <alignment horizontal="right" vertical="center"/>
    </xf>
    <xf numFmtId="4" fontId="39" fillId="19" borderId="1" applyNumberFormat="0" applyProtection="0">
      <alignment horizontal="right" vertical="center"/>
    </xf>
    <xf numFmtId="4" fontId="39" fillId="19"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19" borderId="1" applyNumberFormat="0" applyProtection="0">
      <alignment horizontal="right" vertical="center"/>
    </xf>
    <xf numFmtId="4" fontId="39" fillId="19" borderId="1" applyNumberFormat="0" applyProtection="0">
      <alignment horizontal="right" vertical="center"/>
    </xf>
    <xf numFmtId="4" fontId="39" fillId="19"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5" borderId="30" applyNumberFormat="0" applyProtection="0">
      <alignment horizontal="right" vertical="center"/>
    </xf>
    <xf numFmtId="4" fontId="22" fillId="15" borderId="30" applyNumberFormat="0" applyProtection="0">
      <alignment horizontal="right" vertical="center"/>
    </xf>
    <xf numFmtId="0" fontId="20" fillId="0" borderId="0"/>
    <xf numFmtId="184" fontId="20" fillId="0" borderId="0"/>
    <xf numFmtId="4" fontId="22" fillId="15" borderId="30" applyNumberFormat="0" applyProtection="0">
      <alignment horizontal="right" vertical="center"/>
    </xf>
    <xf numFmtId="184" fontId="20" fillId="0" borderId="0"/>
    <xf numFmtId="4" fontId="39" fillId="15" borderId="1"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0" fontId="4" fillId="0" borderId="0"/>
    <xf numFmtId="183" fontId="4" fillId="0" borderId="0"/>
    <xf numFmtId="184" fontId="4" fillId="0" borderId="0"/>
    <xf numFmtId="184" fontId="4" fillId="0" borderId="0"/>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22" fillId="15" borderId="30" applyNumberFormat="0" applyProtection="0">
      <alignment horizontal="right" vertical="center"/>
    </xf>
    <xf numFmtId="4" fontId="39" fillId="15" borderId="1" applyNumberFormat="0" applyProtection="0">
      <alignment horizontal="right" vertical="center"/>
    </xf>
    <xf numFmtId="4" fontId="39" fillId="15" borderId="1" applyNumberFormat="0" applyProtection="0">
      <alignment horizontal="right" vertical="center"/>
    </xf>
    <xf numFmtId="4" fontId="39" fillId="15" borderId="1" applyNumberFormat="0" applyProtection="0">
      <alignment horizontal="right" vertical="center"/>
    </xf>
    <xf numFmtId="4" fontId="39" fillId="1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15" borderId="1" applyNumberFormat="0" applyProtection="0">
      <alignment horizontal="right" vertical="center"/>
    </xf>
    <xf numFmtId="4" fontId="39" fillId="15" borderId="1" applyNumberFormat="0" applyProtection="0">
      <alignment horizontal="right" vertical="center"/>
    </xf>
    <xf numFmtId="4" fontId="39" fillId="1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8" borderId="30" applyNumberFormat="0" applyProtection="0">
      <alignment horizontal="right" vertical="center"/>
    </xf>
    <xf numFmtId="4" fontId="22" fillId="28" borderId="30" applyNumberFormat="0" applyProtection="0">
      <alignment horizontal="right" vertical="center"/>
    </xf>
    <xf numFmtId="0" fontId="20" fillId="0" borderId="0"/>
    <xf numFmtId="184" fontId="20" fillId="0" borderId="0"/>
    <xf numFmtId="4" fontId="22" fillId="28" borderId="30" applyNumberFormat="0" applyProtection="0">
      <alignment horizontal="right" vertical="center"/>
    </xf>
    <xf numFmtId="184" fontId="20" fillId="0" borderId="0"/>
    <xf numFmtId="4" fontId="39" fillId="28" borderId="1"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0" fontId="4" fillId="0" borderId="0"/>
    <xf numFmtId="183" fontId="4" fillId="0" borderId="0"/>
    <xf numFmtId="184" fontId="4" fillId="0" borderId="0"/>
    <xf numFmtId="184" fontId="4" fillId="0" borderId="0"/>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22" fillId="28" borderId="30" applyNumberFormat="0" applyProtection="0">
      <alignment horizontal="right" vertical="center"/>
    </xf>
    <xf numFmtId="4" fontId="39" fillId="28" borderId="1" applyNumberFormat="0" applyProtection="0">
      <alignment horizontal="right" vertical="center"/>
    </xf>
    <xf numFmtId="4" fontId="39" fillId="28" borderId="1" applyNumberFormat="0" applyProtection="0">
      <alignment horizontal="right" vertical="center"/>
    </xf>
    <xf numFmtId="4" fontId="39" fillId="28" borderId="1" applyNumberFormat="0" applyProtection="0">
      <alignment horizontal="right" vertical="center"/>
    </xf>
    <xf numFmtId="4" fontId="39" fillId="28"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28" borderId="1" applyNumberFormat="0" applyProtection="0">
      <alignment horizontal="right" vertical="center"/>
    </xf>
    <xf numFmtId="4" fontId="39" fillId="28" borderId="1" applyNumberFormat="0" applyProtection="0">
      <alignment horizontal="right" vertical="center"/>
    </xf>
    <xf numFmtId="4" fontId="39" fillId="28"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5" borderId="30" applyNumberFormat="0" applyProtection="0">
      <alignment horizontal="right" vertical="center"/>
    </xf>
    <xf numFmtId="4" fontId="22" fillId="5" borderId="30" applyNumberFormat="0" applyProtection="0">
      <alignment horizontal="right" vertical="center"/>
    </xf>
    <xf numFmtId="0" fontId="20" fillId="0" borderId="0"/>
    <xf numFmtId="184" fontId="20" fillId="0" borderId="0"/>
    <xf numFmtId="4" fontId="22" fillId="5" borderId="30" applyNumberFormat="0" applyProtection="0">
      <alignment horizontal="right" vertical="center"/>
    </xf>
    <xf numFmtId="184" fontId="20" fillId="0" borderId="0"/>
    <xf numFmtId="4" fontId="39" fillId="5" borderId="1"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0" fontId="4" fillId="0" borderId="0"/>
    <xf numFmtId="183" fontId="4" fillId="0" borderId="0"/>
    <xf numFmtId="184" fontId="4" fillId="0" borderId="0"/>
    <xf numFmtId="184" fontId="4" fillId="0" borderId="0"/>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22" fillId="5" borderId="30" applyNumberFormat="0" applyProtection="0">
      <alignment horizontal="right" vertical="center"/>
    </xf>
    <xf numFmtId="4" fontId="39" fillId="5" borderId="1" applyNumberFormat="0" applyProtection="0">
      <alignment horizontal="right" vertical="center"/>
    </xf>
    <xf numFmtId="4" fontId="39" fillId="5" borderId="1" applyNumberFormat="0" applyProtection="0">
      <alignment horizontal="right" vertical="center"/>
    </xf>
    <xf numFmtId="4" fontId="39" fillId="5" borderId="1" applyNumberFormat="0" applyProtection="0">
      <alignment horizontal="right" vertical="center"/>
    </xf>
    <xf numFmtId="4" fontId="39" fillId="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5" borderId="1" applyNumberFormat="0" applyProtection="0">
      <alignment horizontal="right" vertical="center"/>
    </xf>
    <xf numFmtId="4" fontId="39" fillId="5" borderId="1" applyNumberFormat="0" applyProtection="0">
      <alignment horizontal="right" vertical="center"/>
    </xf>
    <xf numFmtId="4" fontId="39" fillId="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9" borderId="49" applyNumberFormat="0" applyProtection="0">
      <alignment horizontal="left" vertical="center" indent="1"/>
    </xf>
    <xf numFmtId="4" fontId="22" fillId="29" borderId="49" applyNumberFormat="0" applyProtection="0">
      <alignment horizontal="left" vertical="center" indent="1"/>
    </xf>
    <xf numFmtId="0" fontId="20" fillId="0" borderId="0"/>
    <xf numFmtId="184" fontId="20" fillId="0" borderId="0"/>
    <xf numFmtId="184" fontId="20" fillId="0" borderId="0"/>
    <xf numFmtId="4" fontId="41" fillId="29" borderId="2"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0" fontId="4" fillId="0" borderId="0"/>
    <xf numFmtId="183" fontId="4" fillId="0" borderId="0"/>
    <xf numFmtId="184" fontId="4" fillId="0" borderId="0"/>
    <xf numFmtId="184" fontId="4" fillId="0" borderId="0"/>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22" fillId="29" borderId="49" applyNumberFormat="0" applyProtection="0">
      <alignment horizontal="left" vertical="center" indent="1"/>
    </xf>
    <xf numFmtId="4" fontId="41" fillId="29" borderId="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39" fillId="30" borderId="0"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39" fillId="30" borderId="0" applyNumberFormat="0" applyProtection="0">
      <alignment horizontal="left" vertical="center" indent="1"/>
    </xf>
    <xf numFmtId="4" fontId="39"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4" fillId="31" borderId="0"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20" fillId="31" borderId="49" applyNumberFormat="0" applyProtection="0">
      <alignment horizontal="left" vertical="center" indent="1"/>
    </xf>
    <xf numFmtId="4" fontId="44" fillId="31"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30" applyNumberFormat="0" applyProtection="0">
      <alignment horizontal="right" vertical="center"/>
    </xf>
    <xf numFmtId="4" fontId="22" fillId="27" borderId="30" applyNumberFormat="0" applyProtection="0">
      <alignment horizontal="right" vertical="center"/>
    </xf>
    <xf numFmtId="0" fontId="20" fillId="0" borderId="0"/>
    <xf numFmtId="184" fontId="20" fillId="0" borderId="0"/>
    <xf numFmtId="4" fontId="22" fillId="27" borderId="30" applyNumberFormat="0" applyProtection="0">
      <alignment horizontal="right" vertical="center"/>
    </xf>
    <xf numFmtId="184" fontId="20" fillId="0" borderId="0"/>
    <xf numFmtId="4" fontId="39" fillId="27" borderId="1"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0" fontId="4" fillId="0" borderId="0"/>
    <xf numFmtId="183" fontId="4" fillId="0" borderId="0"/>
    <xf numFmtId="184" fontId="4" fillId="0" borderId="0"/>
    <xf numFmtId="184" fontId="4" fillId="0" borderId="0"/>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22" fillId="27" borderId="30" applyNumberFormat="0" applyProtection="0">
      <alignment horizontal="right" vertical="center"/>
    </xf>
    <xf numFmtId="4" fontId="39" fillId="27" borderId="1" applyNumberFormat="0" applyProtection="0">
      <alignment horizontal="right" vertical="center"/>
    </xf>
    <xf numFmtId="4" fontId="39" fillId="27" borderId="1" applyNumberFormat="0" applyProtection="0">
      <alignment horizontal="right" vertical="center"/>
    </xf>
    <xf numFmtId="4" fontId="39" fillId="27" borderId="1" applyNumberFormat="0" applyProtection="0">
      <alignment horizontal="right" vertical="center"/>
    </xf>
    <xf numFmtId="4" fontId="39" fillId="2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27" borderId="1" applyNumberFormat="0" applyProtection="0">
      <alignment horizontal="right" vertical="center"/>
    </xf>
    <xf numFmtId="4" fontId="39" fillId="27" borderId="1" applyNumberFormat="0" applyProtection="0">
      <alignment horizontal="right" vertical="center"/>
    </xf>
    <xf numFmtId="4" fontId="39" fillId="2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30" borderId="49" applyNumberFormat="0" applyProtection="0">
      <alignment horizontal="left" vertical="center" indent="1"/>
    </xf>
    <xf numFmtId="4" fontId="22" fillId="30" borderId="49" applyNumberFormat="0" applyProtection="0">
      <alignment horizontal="left" vertical="center" indent="1"/>
    </xf>
    <xf numFmtId="0" fontId="20" fillId="0" borderId="0"/>
    <xf numFmtId="184" fontId="20" fillId="0" borderId="0"/>
    <xf numFmtId="184" fontId="20" fillId="0" borderId="0"/>
    <xf numFmtId="4" fontId="39" fillId="30" borderId="0"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0" fontId="4" fillId="0" borderId="0"/>
    <xf numFmtId="183" fontId="4" fillId="0" borderId="0"/>
    <xf numFmtId="184" fontId="4" fillId="0" borderId="0"/>
    <xf numFmtId="184" fontId="4" fillId="0" borderId="0"/>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22" fillId="30" borderId="49" applyNumberFormat="0" applyProtection="0">
      <alignment horizontal="left" vertical="center" indent="1"/>
    </xf>
    <xf numFmtId="4" fontId="39" fillId="30" borderId="0" applyNumberFormat="0" applyProtection="0">
      <alignment horizontal="left" vertical="center" indent="1"/>
    </xf>
    <xf numFmtId="4" fontId="39"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30" borderId="0" applyNumberFormat="0" applyProtection="0">
      <alignment horizontal="left" vertical="center" indent="1"/>
    </xf>
    <xf numFmtId="4" fontId="39" fillId="30" borderId="0" applyNumberFormat="0" applyProtection="0">
      <alignment horizontal="left" vertical="center" indent="1"/>
    </xf>
    <xf numFmtId="4" fontId="39" fillId="30" borderId="0" applyNumberFormat="0" applyProtection="0">
      <alignment horizontal="left" vertical="center" indent="1"/>
    </xf>
    <xf numFmtId="4" fontId="39"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49" applyNumberFormat="0" applyProtection="0">
      <alignment horizontal="left" vertical="center" indent="1"/>
    </xf>
    <xf numFmtId="4" fontId="22" fillId="27" borderId="49" applyNumberFormat="0" applyProtection="0">
      <alignment horizontal="left" vertical="center" indent="1"/>
    </xf>
    <xf numFmtId="0" fontId="20" fillId="0" borderId="0"/>
    <xf numFmtId="184" fontId="20" fillId="0" borderId="0"/>
    <xf numFmtId="184" fontId="20" fillId="0" borderId="0"/>
    <xf numFmtId="4" fontId="39" fillId="27" borderId="0"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0" fontId="4" fillId="0" borderId="0"/>
    <xf numFmtId="183" fontId="4" fillId="0" borderId="0"/>
    <xf numFmtId="184" fontId="4" fillId="0" borderId="0"/>
    <xf numFmtId="184" fontId="4" fillId="0" borderId="0"/>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22" fillId="27" borderId="49" applyNumberFormat="0" applyProtection="0">
      <alignment horizontal="left" vertical="center" indent="1"/>
    </xf>
    <xf numFmtId="4" fontId="39" fillId="27" borderId="0" applyNumberFormat="0" applyProtection="0">
      <alignment horizontal="left" vertical="center" indent="1"/>
    </xf>
    <xf numFmtId="4" fontId="39"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27" borderId="0" applyNumberFormat="0" applyProtection="0">
      <alignment horizontal="left" vertical="center" indent="1"/>
    </xf>
    <xf numFmtId="4" fontId="39" fillId="27" borderId="0" applyNumberFormat="0" applyProtection="0">
      <alignment horizontal="left" vertical="center" indent="1"/>
    </xf>
    <xf numFmtId="4" fontId="39" fillId="27" borderId="0" applyNumberFormat="0" applyProtection="0">
      <alignment horizontal="left" vertical="center" indent="1"/>
    </xf>
    <xf numFmtId="4" fontId="39"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27"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20" fillId="31" borderId="1" applyNumberFormat="0" applyProtection="0">
      <alignment horizontal="left" vertical="center" indent="1"/>
    </xf>
    <xf numFmtId="0" fontId="20" fillId="0" borderId="0"/>
    <xf numFmtId="184" fontId="20" fillId="0" borderId="0"/>
    <xf numFmtId="187"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0" borderId="0"/>
    <xf numFmtId="184" fontId="20" fillId="0" borderId="0"/>
    <xf numFmtId="0"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0" fontId="20" fillId="0" borderId="0"/>
    <xf numFmtId="184" fontId="20" fillId="0" borderId="0"/>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0" fillId="0" borderId="0"/>
    <xf numFmtId="182" fontId="22" fillId="75" borderId="30"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3"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3"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0"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4" fillId="0" borderId="0"/>
    <xf numFmtId="183" fontId="4" fillId="0" borderId="0"/>
    <xf numFmtId="184" fontId="4" fillId="0" borderId="0"/>
    <xf numFmtId="184" fontId="4" fillId="0" borderId="0"/>
    <xf numFmtId="0" fontId="22" fillId="75" borderId="30" applyNumberFormat="0" applyProtection="0">
      <alignment horizontal="left" vertical="center" indent="1"/>
    </xf>
    <xf numFmtId="0"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75" borderId="30" applyNumberFormat="0" applyProtection="0">
      <alignment horizontal="left" vertical="center" indent="1"/>
    </xf>
    <xf numFmtId="187" fontId="22" fillId="75" borderId="30" applyNumberFormat="0" applyProtection="0">
      <alignment horizontal="left" vertical="center" indent="1"/>
    </xf>
    <xf numFmtId="187" fontId="22" fillId="75" borderId="30" applyNumberFormat="0" applyProtection="0">
      <alignment horizontal="left" vertical="center" indent="1"/>
    </xf>
    <xf numFmtId="187"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7"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7" fontId="22" fillId="75" borderId="30" applyNumberFormat="0" applyProtection="0">
      <alignment horizontal="left" vertical="center" indent="1"/>
    </xf>
    <xf numFmtId="187"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7"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75" borderId="30" applyNumberFormat="0" applyProtection="0">
      <alignment horizontal="left" vertical="center" indent="1"/>
    </xf>
    <xf numFmtId="0" fontId="22" fillId="75" borderId="30" applyNumberFormat="0" applyProtection="0">
      <alignment horizontal="left" vertical="center" indent="1"/>
    </xf>
    <xf numFmtId="0"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0" fontId="22" fillId="75" borderId="30" applyNumberFormat="0" applyProtection="0">
      <alignment horizontal="left" vertical="center" indent="1"/>
    </xf>
    <xf numFmtId="184" fontId="22" fillId="75" borderId="30" applyNumberFormat="0" applyProtection="0">
      <alignment horizontal="left" vertical="center" indent="1"/>
    </xf>
    <xf numFmtId="184" fontId="22" fillId="75" borderId="30"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2"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27" borderId="1" applyNumberFormat="0" applyProtection="0">
      <alignment horizontal="left" vertical="center" indent="1"/>
    </xf>
    <xf numFmtId="0" fontId="20" fillId="0" borderId="0"/>
    <xf numFmtId="184" fontId="20" fillId="0" borderId="0"/>
    <xf numFmtId="187"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0" borderId="0"/>
    <xf numFmtId="184" fontId="20" fillId="0" borderId="0"/>
    <xf numFmtId="0"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0" fontId="20" fillId="0" borderId="0"/>
    <xf numFmtId="184" fontId="20" fillId="0" borderId="0"/>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0" fillId="0" borderId="0"/>
    <xf numFmtId="182" fontId="22" fillId="109" borderId="30"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3"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3"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0"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4" fillId="0" borderId="0"/>
    <xf numFmtId="183" fontId="4" fillId="0" borderId="0"/>
    <xf numFmtId="184" fontId="4" fillId="0" borderId="0"/>
    <xf numFmtId="184" fontId="4" fillId="0" borderId="0"/>
    <xf numFmtId="0" fontId="22" fillId="109" borderId="30" applyNumberFormat="0" applyProtection="0">
      <alignment horizontal="left" vertical="center" indent="1"/>
    </xf>
    <xf numFmtId="0"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09" borderId="30" applyNumberFormat="0" applyProtection="0">
      <alignment horizontal="left" vertical="center" indent="1"/>
    </xf>
    <xf numFmtId="187" fontId="22" fillId="109" borderId="30" applyNumberFormat="0" applyProtection="0">
      <alignment horizontal="left" vertical="center" indent="1"/>
    </xf>
    <xf numFmtId="187" fontId="22" fillId="109" borderId="30" applyNumberFormat="0" applyProtection="0">
      <alignment horizontal="left" vertical="center" indent="1"/>
    </xf>
    <xf numFmtId="187"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7"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7" fontId="22" fillId="109" borderId="30" applyNumberFormat="0" applyProtection="0">
      <alignment horizontal="left" vertical="center" indent="1"/>
    </xf>
    <xf numFmtId="187"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7"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109" borderId="30" applyNumberFormat="0" applyProtection="0">
      <alignment horizontal="left" vertical="center" indent="1"/>
    </xf>
    <xf numFmtId="0" fontId="22" fillId="109" borderId="30" applyNumberFormat="0" applyProtection="0">
      <alignment horizontal="left" vertical="center" indent="1"/>
    </xf>
    <xf numFmtId="0"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0" fontId="22" fillId="109" borderId="30" applyNumberFormat="0" applyProtection="0">
      <alignment horizontal="left" vertical="center" indent="1"/>
    </xf>
    <xf numFmtId="184" fontId="22" fillId="109" borderId="30" applyNumberFormat="0" applyProtection="0">
      <alignment horizontal="left" vertical="center" indent="1"/>
    </xf>
    <xf numFmtId="184" fontId="22" fillId="109" borderId="30"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4" fontId="20" fillId="0" borderId="0"/>
    <xf numFmtId="182"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 borderId="1" applyNumberFormat="0" applyProtection="0">
      <alignment horizontal="left" vertical="center" indent="1"/>
    </xf>
    <xf numFmtId="0" fontId="20" fillId="0" borderId="0"/>
    <xf numFmtId="184" fontId="20" fillId="0" borderId="0"/>
    <xf numFmtId="187"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0" borderId="0"/>
    <xf numFmtId="184" fontId="20" fillId="0" borderId="0"/>
    <xf numFmtId="0" fontId="22" fillId="3" borderId="30" applyNumberFormat="0" applyProtection="0">
      <alignment horizontal="left" vertical="center" indent="1"/>
    </xf>
    <xf numFmtId="0" fontId="22" fillId="3" borderId="30" applyNumberFormat="0" applyProtection="0">
      <alignment horizontal="left" vertical="center" indent="1"/>
    </xf>
    <xf numFmtId="184" fontId="22" fillId="3" borderId="30" applyNumberFormat="0" applyProtection="0">
      <alignment horizontal="left" vertical="center" indent="1"/>
    </xf>
    <xf numFmtId="0" fontId="20" fillId="0" borderId="0"/>
    <xf numFmtId="184" fontId="20" fillId="0" borderId="0"/>
    <xf numFmtId="0" fontId="22" fillId="3" borderId="30" applyNumberFormat="0" applyProtection="0">
      <alignment horizontal="left" vertical="center" indent="1"/>
    </xf>
    <xf numFmtId="184" fontId="22" fillId="3" borderId="30" applyNumberFormat="0" applyProtection="0">
      <alignment horizontal="left" vertical="center" indent="1"/>
    </xf>
    <xf numFmtId="184" fontId="20" fillId="0" borderId="0"/>
    <xf numFmtId="182" fontId="22" fillId="3" borderId="30"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183"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183"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22" fillId="3" borderId="30" applyNumberFormat="0" applyProtection="0">
      <alignment horizontal="left" vertical="center" indent="1"/>
    </xf>
    <xf numFmtId="0" fontId="22" fillId="3" borderId="30" applyNumberFormat="0" applyProtection="0">
      <alignment horizontal="left" vertical="center" indent="1"/>
    </xf>
    <xf numFmtId="0"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22" fillId="3" borderId="30" applyNumberFormat="0" applyProtection="0">
      <alignment horizontal="left" vertical="center" indent="1"/>
    </xf>
    <xf numFmtId="0"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4" fillId="0" borderId="0"/>
    <xf numFmtId="183" fontId="4" fillId="0" borderId="0"/>
    <xf numFmtId="184" fontId="4" fillId="0" borderId="0"/>
    <xf numFmtId="184" fontId="4" fillId="0" borderId="0"/>
    <xf numFmtId="0" fontId="22" fillId="3" borderId="30" applyNumberFormat="0" applyProtection="0">
      <alignment horizontal="left" vertical="center" indent="1"/>
    </xf>
    <xf numFmtId="0" fontId="22" fillId="3" borderId="30" applyNumberFormat="0" applyProtection="0">
      <alignment horizontal="left" vertical="center" indent="1"/>
    </xf>
    <xf numFmtId="0"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22" fillId="3" borderId="30" applyNumberFormat="0" applyProtection="0">
      <alignment horizontal="left" vertical="center" indent="1"/>
    </xf>
    <xf numFmtId="0"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22" fillId="3" borderId="30" applyNumberFormat="0" applyProtection="0">
      <alignment horizontal="left" vertical="center" indent="1"/>
    </xf>
    <xf numFmtId="184" fontId="22" fillId="3" borderId="30" applyNumberFormat="0" applyProtection="0">
      <alignment horizontal="left" vertical="center" indent="1"/>
    </xf>
    <xf numFmtId="184" fontId="22" fillId="3" borderId="30"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4" fontId="20" fillId="0" borderId="0"/>
    <xf numFmtId="182"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0" borderId="1" applyNumberFormat="0" applyProtection="0">
      <alignment horizontal="left" vertical="center" indent="1"/>
    </xf>
    <xf numFmtId="0" fontId="20" fillId="0" borderId="0"/>
    <xf numFmtId="184" fontId="20" fillId="0" borderId="0"/>
    <xf numFmtId="187"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0" borderId="0"/>
    <xf numFmtId="184" fontId="20" fillId="0" borderId="0"/>
    <xf numFmtId="0" fontId="22" fillId="30" borderId="30" applyNumberFormat="0" applyProtection="0">
      <alignment horizontal="left" vertical="center" indent="1"/>
    </xf>
    <xf numFmtId="0" fontId="22" fillId="30" borderId="30" applyNumberFormat="0" applyProtection="0">
      <alignment horizontal="left" vertical="center" indent="1"/>
    </xf>
    <xf numFmtId="184" fontId="22" fillId="30" borderId="30" applyNumberFormat="0" applyProtection="0">
      <alignment horizontal="left" vertical="center" indent="1"/>
    </xf>
    <xf numFmtId="0" fontId="20" fillId="0" borderId="0"/>
    <xf numFmtId="184" fontId="20" fillId="0" borderId="0"/>
    <xf numFmtId="0" fontId="22" fillId="30" borderId="30" applyNumberFormat="0" applyProtection="0">
      <alignment horizontal="left" vertical="center" indent="1"/>
    </xf>
    <xf numFmtId="184" fontId="22" fillId="30" borderId="30" applyNumberFormat="0" applyProtection="0">
      <alignment horizontal="left" vertical="center" indent="1"/>
    </xf>
    <xf numFmtId="184" fontId="20" fillId="0" borderId="0"/>
    <xf numFmtId="182" fontId="22" fillId="30" borderId="30"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183"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183"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22" fillId="30" borderId="30" applyNumberFormat="0" applyProtection="0">
      <alignment horizontal="left" vertical="center" indent="1"/>
    </xf>
    <xf numFmtId="0" fontId="22" fillId="30" borderId="30" applyNumberFormat="0" applyProtection="0">
      <alignment horizontal="left" vertical="center" indent="1"/>
    </xf>
    <xf numFmtId="0"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22" fillId="30" borderId="30" applyNumberFormat="0" applyProtection="0">
      <alignment horizontal="left" vertical="center" indent="1"/>
    </xf>
    <xf numFmtId="0"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4" fillId="0" borderId="0"/>
    <xf numFmtId="183" fontId="4" fillId="0" borderId="0"/>
    <xf numFmtId="184" fontId="4" fillId="0" borderId="0"/>
    <xf numFmtId="184" fontId="4" fillId="0" borderId="0"/>
    <xf numFmtId="0" fontId="22" fillId="30" borderId="30" applyNumberFormat="0" applyProtection="0">
      <alignment horizontal="left" vertical="center" indent="1"/>
    </xf>
    <xf numFmtId="0" fontId="22" fillId="30" borderId="30" applyNumberFormat="0" applyProtection="0">
      <alignment horizontal="left" vertical="center" indent="1"/>
    </xf>
    <xf numFmtId="0"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22" fillId="30" borderId="30" applyNumberFormat="0" applyProtection="0">
      <alignment horizontal="left" vertical="center" indent="1"/>
    </xf>
    <xf numFmtId="0"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22" fillId="30" borderId="30" applyNumberFormat="0" applyProtection="0">
      <alignment horizontal="left" vertical="center" indent="1"/>
    </xf>
    <xf numFmtId="184" fontId="22" fillId="30" borderId="30" applyNumberFormat="0" applyProtection="0">
      <alignment horizontal="left" vertical="center" indent="1"/>
    </xf>
    <xf numFmtId="184" fontId="22" fillId="30" borderId="30"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4" fontId="20" fillId="0" borderId="0"/>
    <xf numFmtId="182"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2" borderId="50" applyNumberFormat="0">
      <protection locked="0"/>
    </xf>
    <xf numFmtId="184" fontId="22" fillId="32" borderId="50" applyNumberFormat="0">
      <protection locked="0"/>
    </xf>
    <xf numFmtId="0" fontId="20" fillId="0" borderId="0"/>
    <xf numFmtId="184" fontId="20" fillId="0" borderId="0"/>
    <xf numFmtId="187" fontId="20" fillId="32" borderId="3" applyNumberFormat="0">
      <protection locked="0"/>
    </xf>
    <xf numFmtId="0" fontId="20" fillId="0" borderId="0"/>
    <xf numFmtId="184" fontId="20" fillId="0" borderId="0"/>
    <xf numFmtId="184" fontId="20" fillId="32" borderId="3" applyNumberFormat="0">
      <protection locked="0"/>
    </xf>
    <xf numFmtId="0" fontId="20" fillId="0" borderId="0"/>
    <xf numFmtId="184" fontId="20" fillId="0" borderId="0"/>
    <xf numFmtId="0" fontId="22" fillId="32" borderId="50" applyNumberFormat="0">
      <protection locked="0"/>
    </xf>
    <xf numFmtId="184" fontId="22" fillId="32" borderId="50" applyNumberFormat="0">
      <protection locked="0"/>
    </xf>
    <xf numFmtId="0" fontId="20" fillId="0" borderId="0"/>
    <xf numFmtId="184" fontId="20" fillId="0" borderId="0"/>
    <xf numFmtId="184" fontId="20" fillId="0" borderId="0"/>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2" fillId="32" borderId="50" applyNumberFormat="0">
      <protection locked="0"/>
    </xf>
    <xf numFmtId="183" fontId="22" fillId="32" borderId="50" applyNumberFormat="0">
      <protection locked="0"/>
    </xf>
    <xf numFmtId="183" fontId="22" fillId="32" borderId="50" applyNumberFormat="0">
      <protection locked="0"/>
    </xf>
    <xf numFmtId="184" fontId="22" fillId="32" borderId="50" applyNumberFormat="0">
      <protection locked="0"/>
    </xf>
    <xf numFmtId="0" fontId="4" fillId="0" borderId="0"/>
    <xf numFmtId="183" fontId="4" fillId="0" borderId="0"/>
    <xf numFmtId="184" fontId="4" fillId="0" borderId="0"/>
    <xf numFmtId="184" fontId="4" fillId="0" borderId="0"/>
    <xf numFmtId="184" fontId="22" fillId="32" borderId="50" applyNumberFormat="0">
      <protection locked="0"/>
    </xf>
    <xf numFmtId="0" fontId="22" fillId="32" borderId="50" applyNumberFormat="0">
      <protection locked="0"/>
    </xf>
    <xf numFmtId="183" fontId="22" fillId="32" borderId="50" applyNumberFormat="0">
      <protection locked="0"/>
    </xf>
    <xf numFmtId="184" fontId="22" fillId="32" borderId="50" applyNumberFormat="0">
      <protection locked="0"/>
    </xf>
    <xf numFmtId="184" fontId="22" fillId="32" borderId="50" applyNumberFormat="0">
      <protection locked="0"/>
    </xf>
    <xf numFmtId="0" fontId="4" fillId="0" borderId="0"/>
    <xf numFmtId="183" fontId="4" fillId="0" borderId="0"/>
    <xf numFmtId="184" fontId="4" fillId="0" borderId="0"/>
    <xf numFmtId="184" fontId="4" fillId="0" borderId="0"/>
    <xf numFmtId="184" fontId="22" fillId="32" borderId="50"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2" fontId="22" fillId="32" borderId="50" applyNumberFormat="0">
      <protection locked="0"/>
    </xf>
    <xf numFmtId="0" fontId="22" fillId="32" borderId="50" applyNumberFormat="0">
      <protection locked="0"/>
    </xf>
    <xf numFmtId="0" fontId="22" fillId="32" borderId="50"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2" borderId="50" applyNumberFormat="0">
      <protection locked="0"/>
    </xf>
    <xf numFmtId="183" fontId="22" fillId="32" borderId="50" applyNumberFormat="0">
      <protection locked="0"/>
    </xf>
    <xf numFmtId="184" fontId="22" fillId="32" borderId="50" applyNumberFormat="0">
      <protection locked="0"/>
    </xf>
    <xf numFmtId="0" fontId="4" fillId="0" borderId="0"/>
    <xf numFmtId="183" fontId="4" fillId="0" borderId="0"/>
    <xf numFmtId="184" fontId="4" fillId="0" borderId="0"/>
    <xf numFmtId="184" fontId="4" fillId="0" borderId="0"/>
    <xf numFmtId="184" fontId="22" fillId="32" borderId="50" applyNumberFormat="0">
      <protection locked="0"/>
    </xf>
    <xf numFmtId="0" fontId="22" fillId="32" borderId="50" applyNumberFormat="0">
      <protection locked="0"/>
    </xf>
    <xf numFmtId="0" fontId="22" fillId="32" borderId="50" applyNumberFormat="0">
      <protection locked="0"/>
    </xf>
    <xf numFmtId="183" fontId="22" fillId="32" borderId="50" applyNumberFormat="0">
      <protection locked="0"/>
    </xf>
    <xf numFmtId="184" fontId="22" fillId="32" borderId="50" applyNumberFormat="0">
      <protection locked="0"/>
    </xf>
    <xf numFmtId="184" fontId="22" fillId="32" borderId="50" applyNumberFormat="0">
      <protection locked="0"/>
    </xf>
    <xf numFmtId="0" fontId="22" fillId="32" borderId="50" applyNumberFormat="0">
      <protection locked="0"/>
    </xf>
    <xf numFmtId="0" fontId="22" fillId="32" borderId="50" applyNumberFormat="0">
      <protection locked="0"/>
    </xf>
    <xf numFmtId="183" fontId="22" fillId="32" borderId="50" applyNumberFormat="0">
      <protection locked="0"/>
    </xf>
    <xf numFmtId="184" fontId="22" fillId="32" borderId="50" applyNumberFormat="0">
      <protection locked="0"/>
    </xf>
    <xf numFmtId="184" fontId="22" fillId="32" borderId="50" applyNumberFormat="0">
      <protection locked="0"/>
    </xf>
    <xf numFmtId="183" fontId="22" fillId="32" borderId="50" applyNumberFormat="0">
      <protection locked="0"/>
    </xf>
    <xf numFmtId="184" fontId="22" fillId="32" borderId="50" applyNumberFormat="0">
      <protection locked="0"/>
    </xf>
    <xf numFmtId="184" fontId="22" fillId="32" borderId="50" applyNumberFormat="0">
      <protection locked="0"/>
    </xf>
    <xf numFmtId="0" fontId="4" fillId="0" borderId="0"/>
    <xf numFmtId="183" fontId="4" fillId="0" borderId="0"/>
    <xf numFmtId="184" fontId="4" fillId="0" borderId="0"/>
    <xf numFmtId="184" fontId="4" fillId="0" borderId="0"/>
    <xf numFmtId="183" fontId="22" fillId="32" borderId="50" applyNumberFormat="0">
      <protection locked="0"/>
    </xf>
    <xf numFmtId="184" fontId="22" fillId="32" borderId="50" applyNumberFormat="0">
      <protection locked="0"/>
    </xf>
    <xf numFmtId="184" fontId="22" fillId="32" borderId="50" applyNumberFormat="0">
      <protection locked="0"/>
    </xf>
    <xf numFmtId="182" fontId="146" fillId="31" borderId="51" applyBorder="0"/>
    <xf numFmtId="184" fontId="146" fillId="31" borderId="51" applyBorder="0"/>
    <xf numFmtId="182" fontId="146" fillId="31" borderId="51" applyBorder="0"/>
    <xf numFmtId="0" fontId="146" fillId="31" borderId="51" applyBorder="0"/>
    <xf numFmtId="183" fontId="146" fillId="31" borderId="51" applyBorder="0"/>
    <xf numFmtId="183" fontId="146" fillId="31" borderId="51" applyBorder="0"/>
    <xf numFmtId="183" fontId="146" fillId="31" borderId="51" applyBorder="0"/>
    <xf numFmtId="184" fontId="146" fillId="31" borderId="51" applyBorder="0"/>
    <xf numFmtId="184" fontId="146" fillId="31" borderId="51"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6" fillId="31" borderId="51" applyBorder="0"/>
    <xf numFmtId="184" fontId="146" fillId="31" borderId="51" applyBorder="0"/>
    <xf numFmtId="184" fontId="146" fillId="31" borderId="51" applyBorder="0"/>
    <xf numFmtId="185" fontId="146" fillId="31" borderId="51" applyBorder="0"/>
    <xf numFmtId="183" fontId="146" fillId="31" borderId="51" applyBorder="0"/>
    <xf numFmtId="183" fontId="146" fillId="31" borderId="51" applyBorder="0"/>
    <xf numFmtId="183" fontId="146" fillId="31" borderId="51" applyBorder="0"/>
    <xf numFmtId="184" fontId="146" fillId="31" borderId="51" applyBorder="0"/>
    <xf numFmtId="184" fontId="146" fillId="31" borderId="51" applyBorder="0"/>
    <xf numFmtId="0" fontId="4" fillId="0" borderId="0"/>
    <xf numFmtId="183" fontId="4" fillId="0" borderId="0"/>
    <xf numFmtId="184" fontId="4" fillId="0" borderId="0"/>
    <xf numFmtId="184" fontId="4" fillId="0" borderId="0"/>
    <xf numFmtId="183" fontId="146" fillId="31" borderId="51" applyBorder="0"/>
    <xf numFmtId="184" fontId="146" fillId="31" borderId="51" applyBorder="0"/>
    <xf numFmtId="184" fontId="146" fillId="31" borderId="51" applyBorder="0"/>
    <xf numFmtId="185" fontId="146" fillId="31" borderId="51" applyBorder="0"/>
    <xf numFmtId="183" fontId="146" fillId="31" borderId="51" applyBorder="0"/>
    <xf numFmtId="183" fontId="146" fillId="31" borderId="51" applyBorder="0"/>
    <xf numFmtId="184" fontId="146" fillId="31" borderId="51" applyBorder="0"/>
    <xf numFmtId="184" fontId="146" fillId="31" borderId="51" applyBorder="0"/>
    <xf numFmtId="185" fontId="146" fillId="31" borderId="51" applyBorder="0"/>
    <xf numFmtId="184" fontId="146" fillId="31" borderId="51" applyBorder="0"/>
    <xf numFmtId="184" fontId="146" fillId="31" borderId="51"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6" fillId="31" borderId="51" applyBorder="0"/>
    <xf numFmtId="184" fontId="146" fillId="31" borderId="51" applyBorder="0"/>
    <xf numFmtId="184" fontId="146" fillId="31" borderId="51" applyBorder="0"/>
    <xf numFmtId="0" fontId="146" fillId="31" borderId="51" applyBorder="0"/>
    <xf numFmtId="183" fontId="146" fillId="31" borderId="51" applyBorder="0"/>
    <xf numFmtId="183" fontId="146" fillId="31" borderId="51" applyBorder="0"/>
    <xf numFmtId="184" fontId="146" fillId="31" borderId="51" applyBorder="0"/>
    <xf numFmtId="184" fontId="146" fillId="31" borderId="51" applyBorder="0"/>
    <xf numFmtId="0" fontId="146" fillId="31" borderId="51" applyBorder="0"/>
    <xf numFmtId="184" fontId="146" fillId="31" borderId="51" applyBorder="0"/>
    <xf numFmtId="184" fontId="146" fillId="31" borderId="51"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6" fillId="31" borderId="51" applyBorder="0"/>
    <xf numFmtId="184" fontId="146" fillId="31" borderId="51" applyBorder="0"/>
    <xf numFmtId="184" fontId="146" fillId="31" borderId="51" applyBorder="0"/>
    <xf numFmtId="185" fontId="146" fillId="31" borderId="51" applyBorder="0"/>
    <xf numFmtId="183" fontId="146" fillId="31" borderId="51" applyBorder="0"/>
    <xf numFmtId="183" fontId="146" fillId="31" borderId="51" applyBorder="0"/>
    <xf numFmtId="183" fontId="146" fillId="31" borderId="51" applyBorder="0"/>
    <xf numFmtId="184" fontId="146" fillId="31" borderId="51" applyBorder="0"/>
    <xf numFmtId="184" fontId="146" fillId="31" borderId="51"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6" fillId="31" borderId="51" applyBorder="0"/>
    <xf numFmtId="184" fontId="146" fillId="31" borderId="51" applyBorder="0"/>
    <xf numFmtId="184" fontId="146" fillId="31" borderId="51" applyBorder="0"/>
    <xf numFmtId="185" fontId="146" fillId="31" borderId="51" applyBorder="0"/>
    <xf numFmtId="183" fontId="146" fillId="31" borderId="51" applyBorder="0"/>
    <xf numFmtId="183" fontId="146" fillId="31" borderId="51" applyBorder="0"/>
    <xf numFmtId="184" fontId="146" fillId="31" borderId="51" applyBorder="0"/>
    <xf numFmtId="184" fontId="146" fillId="31" borderId="51" applyBorder="0"/>
    <xf numFmtId="185" fontId="146" fillId="31" borderId="51" applyBorder="0"/>
    <xf numFmtId="184" fontId="146" fillId="31" borderId="51" applyBorder="0"/>
    <xf numFmtId="184" fontId="146" fillId="31" borderId="51"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6" fillId="31" borderId="51" applyBorder="0"/>
    <xf numFmtId="184" fontId="146" fillId="31" borderId="51" applyBorder="0"/>
    <xf numFmtId="184" fontId="146" fillId="31" borderId="51" applyBorder="0"/>
    <xf numFmtId="183" fontId="146" fillId="31" borderId="51" applyBorder="0"/>
    <xf numFmtId="183" fontId="146" fillId="31" borderId="51" applyBorder="0"/>
    <xf numFmtId="183" fontId="146" fillId="31" borderId="51" applyBorder="0"/>
    <xf numFmtId="184" fontId="146" fillId="31" borderId="51" applyBorder="0"/>
    <xf numFmtId="184" fontId="146" fillId="31" borderId="51"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6" fillId="31" borderId="51" applyBorder="0"/>
    <xf numFmtId="184" fontId="146" fillId="31" borderId="51" applyBorder="0"/>
    <xf numFmtId="184" fontId="146" fillId="31" borderId="51" applyBorder="0"/>
    <xf numFmtId="0" fontId="146" fillId="31" borderId="51" applyBorder="0"/>
    <xf numFmtId="183" fontId="146" fillId="31" borderId="51" applyBorder="0"/>
    <xf numFmtId="183" fontId="146" fillId="31" borderId="51" applyBorder="0"/>
    <xf numFmtId="184" fontId="146" fillId="31" borderId="51" applyBorder="0"/>
    <xf numFmtId="184" fontId="146" fillId="31" borderId="51" applyBorder="0"/>
    <xf numFmtId="0" fontId="146" fillId="31" borderId="51" applyBorder="0"/>
    <xf numFmtId="184" fontId="146" fillId="31" borderId="51" applyBorder="0"/>
    <xf numFmtId="184" fontId="146" fillId="31" borderId="51"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6" fillId="31" borderId="51" applyBorder="0"/>
    <xf numFmtId="187" fontId="146" fillId="31" borderId="51" applyBorder="0"/>
    <xf numFmtId="184" fontId="146" fillId="31" borderId="51" applyBorder="0"/>
    <xf numFmtId="184" fontId="146" fillId="31" borderId="51" applyBorder="0"/>
    <xf numFmtId="0" fontId="146" fillId="31" borderId="51" applyBorder="0"/>
    <xf numFmtId="184" fontId="146" fillId="31" borderId="51" applyBorder="0"/>
    <xf numFmtId="0" fontId="20" fillId="0" borderId="0"/>
    <xf numFmtId="184" fontId="20" fillId="0" borderId="0"/>
    <xf numFmtId="0" fontId="20" fillId="0" borderId="0"/>
    <xf numFmtId="184" fontId="20" fillId="0" borderId="0"/>
    <xf numFmtId="4" fontId="138" fillId="26" borderId="1" applyNumberFormat="0" applyProtection="0">
      <alignment vertical="center"/>
    </xf>
    <xf numFmtId="184" fontId="20" fillId="0" borderId="0"/>
    <xf numFmtId="4" fontId="39"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0" fontId="4" fillId="0" borderId="0"/>
    <xf numFmtId="183" fontId="4" fillId="0" borderId="0"/>
    <xf numFmtId="184" fontId="4" fillId="0" borderId="0"/>
    <xf numFmtId="184" fontId="4" fillId="0" borderId="0"/>
    <xf numFmtId="4" fontId="138" fillId="26" borderId="1" applyNumberFormat="0" applyProtection="0">
      <alignment vertical="center"/>
    </xf>
    <xf numFmtId="4" fontId="39" fillId="26" borderId="1" applyNumberFormat="0" applyProtection="0">
      <alignment vertical="center"/>
    </xf>
    <xf numFmtId="4" fontId="39" fillId="26" borderId="1" applyNumberFormat="0" applyProtection="0">
      <alignment vertical="center"/>
    </xf>
    <xf numFmtId="4" fontId="39" fillId="26" borderId="1" applyNumberFormat="0" applyProtection="0">
      <alignment vertical="center"/>
    </xf>
    <xf numFmtId="4" fontId="39"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26" borderId="1" applyNumberFormat="0" applyProtection="0">
      <alignment vertical="center"/>
    </xf>
    <xf numFmtId="4" fontId="39" fillId="26" borderId="1" applyNumberFormat="0" applyProtection="0">
      <alignment vertical="center"/>
    </xf>
    <xf numFmtId="4" fontId="39"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5" fillId="26" borderId="1" applyNumberFormat="0" applyProtection="0">
      <alignment vertical="center"/>
    </xf>
    <xf numFmtId="4" fontId="144" fillId="102" borderId="3" applyNumberFormat="0" applyProtection="0">
      <alignment vertical="center"/>
    </xf>
    <xf numFmtId="4" fontId="144" fillId="102" borderId="3" applyNumberFormat="0" applyProtection="0">
      <alignment vertical="center"/>
    </xf>
    <xf numFmtId="0" fontId="4" fillId="0" borderId="0"/>
    <xf numFmtId="183" fontId="4" fillId="0" borderId="0"/>
    <xf numFmtId="184" fontId="4" fillId="0" borderId="0"/>
    <xf numFmtId="184" fontId="4" fillId="0" borderId="0"/>
    <xf numFmtId="4" fontId="45" fillId="26" borderId="1" applyNumberFormat="0" applyProtection="0">
      <alignment vertical="center"/>
    </xf>
    <xf numFmtId="4" fontId="45"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5"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38" fillId="75" borderId="1" applyNumberFormat="0" applyProtection="0">
      <alignment horizontal="left" vertical="center" indent="1"/>
    </xf>
    <xf numFmtId="184" fontId="20" fillId="0" borderId="0"/>
    <xf numFmtId="4" fontId="39" fillId="26"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0" fontId="4" fillId="0" borderId="0"/>
    <xf numFmtId="183" fontId="4" fillId="0" borderId="0"/>
    <xf numFmtId="184" fontId="4" fillId="0" borderId="0"/>
    <xf numFmtId="184" fontId="4" fillId="0" borderId="0"/>
    <xf numFmtId="4" fontId="138" fillId="75" borderId="1" applyNumberFormat="0" applyProtection="0">
      <alignment horizontal="left" vertical="center" indent="1"/>
    </xf>
    <xf numFmtId="4" fontId="39" fillId="26" borderId="1" applyNumberFormat="0" applyProtection="0">
      <alignment horizontal="left" vertical="center" indent="1"/>
    </xf>
    <xf numFmtId="4" fontId="39" fillId="26" borderId="1" applyNumberFormat="0" applyProtection="0">
      <alignment horizontal="left" vertical="center" indent="1"/>
    </xf>
    <xf numFmtId="4" fontId="39" fillId="26" borderId="1" applyNumberFormat="0" applyProtection="0">
      <alignment horizontal="left" vertical="center" indent="1"/>
    </xf>
    <xf numFmtId="4" fontId="39" fillId="26"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26" borderId="1" applyNumberFormat="0" applyProtection="0">
      <alignment horizontal="left" vertical="center" indent="1"/>
    </xf>
    <xf numFmtId="4" fontId="39" fillId="26" borderId="1" applyNumberFormat="0" applyProtection="0">
      <alignment horizontal="left" vertical="center" indent="1"/>
    </xf>
    <xf numFmtId="4" fontId="39" fillId="26"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39" fillId="26" borderId="1" applyNumberFormat="0" applyProtection="0">
      <alignment horizontal="left" vertical="top" indent="1"/>
    </xf>
    <xf numFmtId="0" fontId="20" fillId="0" borderId="0"/>
    <xf numFmtId="184" fontId="20" fillId="0" borderId="0"/>
    <xf numFmtId="187"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20" fillId="0" borderId="0"/>
    <xf numFmtId="182" fontId="138" fillId="26" borderId="1" applyNumberFormat="0" applyProtection="0">
      <alignment horizontal="left" vertical="top" indent="1"/>
    </xf>
    <xf numFmtId="0"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39" fillId="26" borderId="1" applyNumberFormat="0" applyProtection="0">
      <alignment horizontal="left" vertical="top" indent="1"/>
    </xf>
    <xf numFmtId="0"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26" borderId="1" applyNumberFormat="0" applyProtection="0">
      <alignment horizontal="left" vertical="top" indent="1"/>
    </xf>
    <xf numFmtId="0"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5"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39" fillId="26" borderId="1" applyNumberFormat="0" applyProtection="0">
      <alignment horizontal="left" vertical="top" indent="1"/>
    </xf>
    <xf numFmtId="0"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26" borderId="1" applyNumberFormat="0" applyProtection="0">
      <alignment horizontal="left" vertical="top" indent="1"/>
    </xf>
    <xf numFmtId="0"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39" fillId="26" borderId="1" applyNumberFormat="0" applyProtection="0">
      <alignment horizontal="left" vertical="top" indent="1"/>
    </xf>
    <xf numFmtId="184" fontId="39" fillId="26" borderId="1" applyNumberFormat="0" applyProtection="0">
      <alignment horizontal="left" vertical="top" indent="1"/>
    </xf>
    <xf numFmtId="184" fontId="39" fillId="26"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39" fillId="30" borderId="1" applyNumberFormat="0" applyProtection="0">
      <alignment horizontal="right" vertical="center"/>
    </xf>
    <xf numFmtId="4" fontId="39" fillId="30" borderId="1" applyNumberFormat="0" applyProtection="0">
      <alignment horizontal="right" vertical="center"/>
    </xf>
    <xf numFmtId="4" fontId="39" fillId="30" borderId="1" applyNumberFormat="0" applyProtection="0">
      <alignment horizontal="right" vertical="center"/>
    </xf>
    <xf numFmtId="4" fontId="39" fillId="30" borderId="1" applyNumberFormat="0" applyProtection="0">
      <alignment horizontal="right" vertical="center"/>
    </xf>
    <xf numFmtId="4" fontId="39"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30" borderId="1" applyNumberFormat="0" applyProtection="0">
      <alignment horizontal="right" vertical="center"/>
    </xf>
    <xf numFmtId="4" fontId="39" fillId="30" borderId="1"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39" fillId="30" borderId="1"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22" fillId="0" borderId="30" applyNumberFormat="0" applyProtection="0">
      <alignment horizontal="right" vertical="center"/>
    </xf>
    <xf numFmtId="4" fontId="45" fillId="30" borderId="1" applyNumberFormat="0" applyProtection="0">
      <alignment horizontal="right" vertical="center"/>
    </xf>
    <xf numFmtId="4" fontId="45" fillId="30" borderId="1" applyNumberFormat="0" applyProtection="0">
      <alignment horizontal="right" vertical="center"/>
    </xf>
    <xf numFmtId="4" fontId="45"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5" fillId="30" borderId="1"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144" fillId="110" borderId="30" applyNumberFormat="0" applyProtection="0">
      <alignment horizontal="right" vertical="center"/>
    </xf>
    <xf numFmtId="4" fontId="22" fillId="78" borderId="30" applyNumberFormat="0" applyProtection="0">
      <alignment horizontal="left" vertical="center" indent="1"/>
    </xf>
    <xf numFmtId="4" fontId="39" fillId="27" borderId="1" applyNumberFormat="0" applyProtection="0">
      <alignment horizontal="left" vertical="center" indent="1"/>
    </xf>
    <xf numFmtId="4" fontId="39" fillId="27" borderId="1" applyNumberFormat="0" applyProtection="0">
      <alignment horizontal="left" vertical="center" indent="1"/>
    </xf>
    <xf numFmtId="4" fontId="39" fillId="27" borderId="1" applyNumberFormat="0" applyProtection="0">
      <alignment horizontal="left" vertical="center" indent="1"/>
    </xf>
    <xf numFmtId="4" fontId="39"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39" fillId="27" borderId="1" applyNumberFormat="0" applyProtection="0">
      <alignment horizontal="left" vertical="center" indent="1"/>
    </xf>
    <xf numFmtId="4" fontId="39" fillId="27" borderId="1"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39" fillId="27" borderId="1"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4" fontId="22" fillId="78" borderId="30" applyNumberFormat="0" applyProtection="0">
      <alignment horizontal="left" vertical="center" indent="1"/>
    </xf>
    <xf numFmtId="0" fontId="4" fillId="0" borderId="0"/>
    <xf numFmtId="183" fontId="4" fillId="0" borderId="0"/>
    <xf numFmtId="184" fontId="4" fillId="0" borderId="0"/>
    <xf numFmtId="184" fontId="4" fillId="0" borderId="0"/>
    <xf numFmtId="0" fontId="20" fillId="0" borderId="0"/>
    <xf numFmtId="184" fontId="20" fillId="0" borderId="0"/>
    <xf numFmtId="187" fontId="39" fillId="27" borderId="1" applyNumberFormat="0" applyProtection="0">
      <alignment horizontal="left" vertical="top" indent="1"/>
    </xf>
    <xf numFmtId="0" fontId="20" fillId="0" borderId="0"/>
    <xf numFmtId="184" fontId="20" fillId="0" borderId="0"/>
    <xf numFmtId="187"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20" fillId="0" borderId="0"/>
    <xf numFmtId="182" fontId="138" fillId="27" borderId="1" applyNumberFormat="0" applyProtection="0">
      <alignment horizontal="left" vertical="top" indent="1"/>
    </xf>
    <xf numFmtId="0"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39" fillId="27" borderId="1" applyNumberFormat="0" applyProtection="0">
      <alignment horizontal="left" vertical="top" indent="1"/>
    </xf>
    <xf numFmtId="0"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27" borderId="1" applyNumberFormat="0" applyProtection="0">
      <alignment horizontal="left" vertical="top" indent="1"/>
    </xf>
    <xf numFmtId="0"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5"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39" fillId="27" borderId="1" applyNumberFormat="0" applyProtection="0">
      <alignment horizontal="left" vertical="top" indent="1"/>
    </xf>
    <xf numFmtId="0"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27" borderId="1" applyNumberFormat="0" applyProtection="0">
      <alignment horizontal="left" vertical="top" indent="1"/>
    </xf>
    <xf numFmtId="0"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39" fillId="27" borderId="1" applyNumberFormat="0" applyProtection="0">
      <alignment horizontal="left" vertical="top" indent="1"/>
    </xf>
    <xf numFmtId="184" fontId="39" fillId="27" borderId="1" applyNumberFormat="0" applyProtection="0">
      <alignment horizontal="left" vertical="top" indent="1"/>
    </xf>
    <xf numFmtId="184" fontId="39"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4" fontId="20" fillId="0" borderId="0"/>
    <xf numFmtId="4" fontId="46" fillId="33" borderId="0"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0" fontId="4" fillId="0" borderId="0"/>
    <xf numFmtId="183" fontId="4" fillId="0" borderId="0"/>
    <xf numFmtId="184" fontId="4" fillId="0" borderId="0"/>
    <xf numFmtId="184" fontId="4" fillId="0" borderId="0"/>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147" fillId="33" borderId="49" applyNumberFormat="0" applyProtection="0">
      <alignment horizontal="left" vertical="center" indent="1"/>
    </xf>
    <xf numFmtId="4" fontId="46" fillId="33"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2" fontId="22" fillId="111" borderId="3"/>
    <xf numFmtId="184" fontId="22" fillId="111" borderId="3"/>
    <xf numFmtId="182" fontId="22" fillId="111" borderId="3"/>
    <xf numFmtId="0"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11" borderId="3"/>
    <xf numFmtId="184" fontId="22" fillId="111" borderId="3"/>
    <xf numFmtId="0" fontId="22" fillId="111" borderId="3"/>
    <xf numFmtId="184" fontId="22" fillId="111" borderId="3"/>
    <xf numFmtId="0" fontId="20" fillId="0" borderId="0"/>
    <xf numFmtId="184" fontId="20" fillId="0" borderId="0"/>
    <xf numFmtId="0" fontId="20" fillId="0" borderId="0"/>
    <xf numFmtId="184" fontId="20" fillId="0" borderId="0"/>
    <xf numFmtId="4" fontId="148" fillId="32" borderId="30" applyNumberFormat="0" applyProtection="0">
      <alignment horizontal="right" vertical="center"/>
    </xf>
    <xf numFmtId="184" fontId="20" fillId="0" borderId="0"/>
    <xf numFmtId="4" fontId="40" fillId="30" borderId="1"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0" fontId="4" fillId="0" borderId="0"/>
    <xf numFmtId="183" fontId="4" fillId="0" borderId="0"/>
    <xf numFmtId="184" fontId="4" fillId="0" borderId="0"/>
    <xf numFmtId="184" fontId="4" fillId="0" borderId="0"/>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148" fillId="32" borderId="30"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2" fontId="47" fillId="0" borderId="0" applyNumberFormat="0" applyFill="0" applyBorder="0" applyAlignment="0" applyProtection="0"/>
    <xf numFmtId="0"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0"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0"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149" fillId="0" borderId="0" applyNumberFormat="0" applyFill="0" applyBorder="0" applyAlignment="0">
      <alignment horizontal="center"/>
    </xf>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9" fillId="0" borderId="0" applyNumberFormat="0" applyFill="0" applyBorder="0" applyAlignment="0">
      <alignment horizontal="center"/>
    </xf>
    <xf numFmtId="184" fontId="149" fillId="0" borderId="0" applyNumberFormat="0" applyFill="0" applyBorder="0" applyAlignment="0">
      <alignment horizontal="center"/>
    </xf>
    <xf numFmtId="183" fontId="150" fillId="0" borderId="0">
      <alignment horizontal="right"/>
    </xf>
    <xf numFmtId="183" fontId="150" fillId="0" borderId="0">
      <alignment horizontal="right"/>
    </xf>
    <xf numFmtId="184" fontId="150" fillId="0" borderId="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lignment horizontal="right"/>
    </xf>
    <xf numFmtId="186" fontId="20" fillId="0" borderId="0">
      <alignment horizontal="left" wrapText="1"/>
    </xf>
    <xf numFmtId="186" fontId="20" fillId="0" borderId="0">
      <alignment horizontal="left" wrapText="1"/>
    </xf>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0" fontId="151" fillId="0" borderId="0" applyBorder="0">
      <alignment horizontal="right"/>
    </xf>
    <xf numFmtId="40" fontId="151" fillId="0" borderId="0" applyBorder="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9" fontId="152" fillId="0" borderId="0">
      <alignment horizontal="left"/>
    </xf>
    <xf numFmtId="49" fontId="152" fillId="0" borderId="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53" fillId="112" borderId="0" applyNumberFormat="0" applyBorder="0" applyAlignment="0" applyProtection="0">
      <protection locked="0"/>
    </xf>
    <xf numFmtId="183" fontId="153" fillId="112" borderId="0" applyNumberFormat="0" applyBorder="0" applyAlignment="0" applyProtection="0">
      <protection locked="0"/>
    </xf>
    <xf numFmtId="184" fontId="153" fillId="112" borderId="0" applyNumberFormat="0" applyBorder="0" applyAlignment="0" applyProtection="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3" fillId="112" borderId="0" applyNumberFormat="0" applyBorder="0" applyAlignment="0" applyProtection="0">
      <protection locked="0"/>
    </xf>
    <xf numFmtId="0"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7"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47" fillId="0" borderId="0" applyNumberFormat="0" applyFill="0" applyBorder="0" applyAlignment="0" applyProtection="0"/>
    <xf numFmtId="184" fontId="15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0"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0"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0"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154"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15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5" fontId="47" fillId="0" borderId="0" applyNumberFormat="0" applyFill="0" applyBorder="0" applyAlignment="0" applyProtection="0"/>
    <xf numFmtId="183" fontId="47" fillId="0" borderId="0" applyNumberFormat="0" applyFill="0" applyBorder="0" applyAlignment="0" applyProtection="0"/>
    <xf numFmtId="184" fontId="47" fillId="0" borderId="0" applyNumberFormat="0" applyFill="0" applyBorder="0" applyAlignment="0" applyProtection="0"/>
    <xf numFmtId="184" fontId="4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7" fillId="0" borderId="0" applyNumberFormat="0" applyFill="0" applyBorder="0" applyAlignment="0" applyProtection="0"/>
    <xf numFmtId="184" fontId="74" fillId="0" borderId="0" applyNumberFormat="0" applyFill="0" applyBorder="0" applyAlignment="0" applyProtection="0"/>
    <xf numFmtId="182" fontId="74" fillId="0" borderId="0" applyNumberFormat="0" applyFill="0" applyBorder="0" applyAlignment="0" applyProtection="0"/>
    <xf numFmtId="182" fontId="50" fillId="0" borderId="26" applyNumberFormat="0" applyFill="0" applyAlignment="0" applyProtection="0"/>
    <xf numFmtId="0" fontId="38" fillId="0" borderId="52"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38" fillId="0" borderId="53" applyNumberFormat="0" applyFill="0" applyAlignment="0" applyProtection="0"/>
    <xf numFmtId="0" fontId="38" fillId="0" borderId="52" applyNumberFormat="0" applyFill="0" applyAlignment="0" applyProtection="0"/>
    <xf numFmtId="0"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38" fillId="0" borderId="52" applyNumberFormat="0" applyFill="0" applyAlignment="0" applyProtection="0"/>
    <xf numFmtId="184" fontId="38" fillId="0" borderId="52" applyNumberFormat="0" applyFill="0" applyAlignment="0" applyProtection="0"/>
    <xf numFmtId="187"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38" fillId="0" borderId="52" applyNumberFormat="0" applyFill="0" applyAlignment="0" applyProtection="0"/>
    <xf numFmtId="0" fontId="38" fillId="0" borderId="52" applyNumberFormat="0" applyFill="0" applyAlignment="0" applyProtection="0"/>
    <xf numFmtId="184" fontId="38" fillId="0" borderId="52" applyNumberFormat="0" applyFill="0" applyAlignment="0" applyProtection="0"/>
    <xf numFmtId="0" fontId="38" fillId="0" borderId="53" applyNumberFormat="0" applyFill="0" applyAlignment="0" applyProtection="0"/>
    <xf numFmtId="184" fontId="38" fillId="0" borderId="53" applyNumberFormat="0" applyFill="0" applyAlignment="0" applyProtection="0"/>
    <xf numFmtId="184" fontId="38" fillId="0" borderId="52" applyNumberFormat="0" applyFill="0" applyAlignment="0" applyProtection="0"/>
    <xf numFmtId="182" fontId="38" fillId="0" borderId="53" applyNumberFormat="0" applyFill="0" applyAlignment="0" applyProtection="0"/>
    <xf numFmtId="0" fontId="50" fillId="0" borderId="26" applyNumberFormat="0" applyFill="0" applyAlignment="0" applyProtection="0"/>
    <xf numFmtId="183"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185" fontId="50" fillId="0" borderId="26" applyNumberFormat="0" applyFill="0" applyAlignment="0" applyProtection="0"/>
    <xf numFmtId="183"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185"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0"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0"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185"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4" fillId="0" borderId="0"/>
    <xf numFmtId="183" fontId="4" fillId="0" borderId="0"/>
    <xf numFmtId="184" fontId="4" fillId="0" borderId="0"/>
    <xf numFmtId="184" fontId="4" fillId="0" borderId="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185"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185"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38" fillId="0" borderId="52"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3"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185" fontId="50" fillId="0" borderId="26" applyNumberFormat="0" applyFill="0" applyAlignment="0" applyProtection="0"/>
    <xf numFmtId="183"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185"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0"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0" fontId="38" fillId="0" borderId="52" applyNumberFormat="0" applyFill="0" applyAlignment="0" applyProtection="0"/>
    <xf numFmtId="183"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185" fontId="50" fillId="0" borderId="26" applyNumberFormat="0" applyFill="0" applyAlignment="0" applyProtection="0"/>
    <xf numFmtId="183"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185"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0" fontId="50" fillId="0" borderId="26" applyNumberFormat="0" applyFill="0" applyAlignment="0" applyProtection="0"/>
    <xf numFmtId="183" fontId="50" fillId="0" borderId="26" applyNumberFormat="0" applyFill="0" applyAlignment="0" applyProtection="0"/>
    <xf numFmtId="184" fontId="50" fillId="0" borderId="26" applyNumberFormat="0" applyFill="0" applyAlignment="0" applyProtection="0"/>
    <xf numFmtId="184" fontId="50" fillId="0" borderId="26"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0" fillId="0" borderId="26" applyNumberFormat="0" applyFill="0" applyAlignment="0" applyProtection="0"/>
    <xf numFmtId="0"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185"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4" fillId="0" borderId="0"/>
    <xf numFmtId="183" fontId="4" fillId="0" borderId="0"/>
    <xf numFmtId="184" fontId="4" fillId="0" borderId="0"/>
    <xf numFmtId="184" fontId="4" fillId="0" borderId="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185"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185"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38" fillId="0" borderId="52" applyNumberFormat="0" applyFill="0" applyAlignment="0" applyProtection="0"/>
    <xf numFmtId="183" fontId="38" fillId="0" borderId="52" applyNumberFormat="0" applyFill="0" applyAlignment="0" applyProtection="0"/>
    <xf numFmtId="183"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8" fillId="0" borderId="52" applyNumberFormat="0" applyFill="0" applyAlignment="0" applyProtection="0"/>
    <xf numFmtId="184" fontId="38" fillId="0" borderId="52" applyNumberFormat="0" applyFill="0" applyAlignment="0" applyProtection="0"/>
    <xf numFmtId="184" fontId="38" fillId="0" borderId="52" applyNumberFormat="0" applyFill="0" applyAlignment="0" applyProtection="0"/>
    <xf numFmtId="197" fontId="20" fillId="0" borderId="16">
      <protection locked="0"/>
    </xf>
    <xf numFmtId="185"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3" fontId="38" fillId="0" borderId="53" applyNumberFormat="0" applyFill="0" applyAlignment="0" applyProtection="0"/>
    <xf numFmtId="183"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85"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8" fillId="0" borderId="53" applyNumberFormat="0" applyFill="0" applyAlignment="0" applyProtection="0"/>
    <xf numFmtId="184" fontId="38" fillId="0" borderId="53" applyNumberFormat="0" applyFill="0" applyAlignment="0" applyProtection="0"/>
    <xf numFmtId="184" fontId="38" fillId="0" borderId="53" applyNumberFormat="0" applyFill="0" applyAlignment="0" applyProtection="0"/>
    <xf numFmtId="197" fontId="20" fillId="0" borderId="16">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50" fillId="0" borderId="26" applyNumberFormat="0" applyFill="0" applyAlignment="0" applyProtection="0"/>
    <xf numFmtId="184" fontId="50" fillId="0" borderId="26" applyNumberFormat="0" applyFill="0" applyAlignment="0" applyProtection="0"/>
    <xf numFmtId="0" fontId="38" fillId="0" borderId="53" applyNumberFormat="0" applyFill="0" applyAlignment="0" applyProtection="0"/>
    <xf numFmtId="184" fontId="38" fillId="0" borderId="53" applyNumberFormat="0" applyFill="0" applyAlignment="0" applyProtection="0"/>
    <xf numFmtId="184" fontId="50" fillId="0" borderId="26" applyNumberFormat="0" applyFill="0" applyAlignment="0" applyProtection="0"/>
    <xf numFmtId="37" fontId="22" fillId="107" borderId="0" applyNumberFormat="0" applyBorder="0" applyAlignment="0" applyProtection="0"/>
    <xf numFmtId="37" fontId="22" fillId="107" borderId="0" applyNumberFormat="0" applyBorder="0" applyAlignment="0" applyProtection="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69" borderId="0" applyNumberFormat="0" applyBorder="0" applyAlignment="0" applyProtection="0"/>
    <xf numFmtId="3" fontId="155" fillId="0" borderId="40" applyProtection="0"/>
    <xf numFmtId="3" fontId="155" fillId="0" borderId="4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182" fontId="157"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0" fontId="157"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0"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9" fontId="158" fillId="110" borderId="54" applyNumberFormat="0" applyFill="0" applyBorder="0" applyAlignment="0" applyProtection="0">
      <alignment horizontal="center"/>
      <protection locked="0"/>
    </xf>
    <xf numFmtId="9" fontId="158" fillId="110" borderId="54" applyNumberForma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99" fillId="0" borderId="0" applyNumberFormat="0" applyFont="0" applyFill="0" applyBorder="0" applyProtection="0">
      <alignment wrapText="1"/>
    </xf>
    <xf numFmtId="190" fontId="99" fillId="0" borderId="0" applyNumberFormat="0" applyFont="0" applyFill="0" applyBorder="0" applyProtection="0">
      <alignmen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5" applyNumberFormat="0" applyFont="0" applyAlignment="0" applyProtection="0"/>
    <xf numFmtId="0" fontId="1" fillId="0" borderId="0"/>
    <xf numFmtId="43" fontId="1" fillId="0" borderId="0" applyFont="0" applyFill="0" applyBorder="0" applyAlignment="0" applyProtection="0"/>
    <xf numFmtId="196" fontId="164" fillId="0" borderId="0"/>
    <xf numFmtId="39" fontId="143" fillId="0" borderId="0"/>
  </cellStyleXfs>
  <cellXfs count="1307">
    <xf numFmtId="0" fontId="0" fillId="0" borderId="0" xfId="0"/>
    <xf numFmtId="0" fontId="21" fillId="0" borderId="0" xfId="0" applyFont="1"/>
    <xf numFmtId="0" fontId="24" fillId="0" borderId="0" xfId="0" applyFont="1" applyAlignment="1">
      <alignment horizontal="center"/>
    </xf>
    <xf numFmtId="0" fontId="21"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5" fillId="35" borderId="0" xfId="0" applyFont="1" applyFill="1"/>
    <xf numFmtId="0" fontId="26" fillId="35" borderId="0" xfId="0" applyFont="1" applyFill="1"/>
    <xf numFmtId="0" fontId="0" fillId="0" borderId="0" xfId="0" applyFill="1"/>
    <xf numFmtId="0" fontId="0" fillId="0" borderId="0" xfId="0" applyAlignment="1">
      <alignment horizontal="left" indent="1"/>
    </xf>
    <xf numFmtId="0" fontId="21" fillId="0" borderId="0" xfId="28" applyNumberFormat="1" applyFont="1" applyFill="1" applyBorder="1" applyAlignment="1">
      <alignment horizontal="left"/>
    </xf>
    <xf numFmtId="0" fontId="24" fillId="0" borderId="0" xfId="28" applyFont="1" applyBorder="1" applyAlignment="1">
      <alignment horizontal="center"/>
    </xf>
    <xf numFmtId="0" fontId="21" fillId="0" borderId="0" xfId="28" applyFont="1" applyAlignment="1">
      <alignment horizontal="center"/>
    </xf>
    <xf numFmtId="0" fontId="24" fillId="0" borderId="0" xfId="28" applyFont="1" applyFill="1" applyBorder="1" applyAlignment="1">
      <alignment horizontal="center"/>
    </xf>
    <xf numFmtId="0" fontId="24" fillId="0" borderId="0" xfId="28" applyFont="1" applyAlignment="1">
      <alignment horizontal="center"/>
    </xf>
    <xf numFmtId="165" fontId="27" fillId="0" borderId="0" xfId="20" applyNumberFormat="1" applyFont="1" applyFill="1" applyBorder="1" applyAlignment="1">
      <alignment horizontal="right"/>
    </xf>
    <xf numFmtId="0" fontId="0" fillId="0" borderId="0" xfId="0" applyAlignment="1">
      <alignment horizontal="right"/>
    </xf>
    <xf numFmtId="0" fontId="25" fillId="35" borderId="0" xfId="0" applyFont="1" applyFill="1" applyBorder="1"/>
    <xf numFmtId="0" fontId="26" fillId="35" borderId="0" xfId="0" applyFont="1" applyFill="1" applyBorder="1"/>
    <xf numFmtId="0" fontId="21" fillId="0" borderId="0" xfId="0" applyFont="1" applyFill="1" applyBorder="1"/>
    <xf numFmtId="0" fontId="23" fillId="0" borderId="0" xfId="0" applyFont="1" applyFill="1" applyBorder="1"/>
    <xf numFmtId="10" fontId="0" fillId="0" borderId="0" xfId="0" applyNumberFormat="1"/>
    <xf numFmtId="0" fontId="0" fillId="34" borderId="0" xfId="0" applyFill="1"/>
    <xf numFmtId="0" fontId="21" fillId="0" borderId="0" xfId="0" applyFont="1" applyFill="1"/>
    <xf numFmtId="0" fontId="27" fillId="0" borderId="0" xfId="0" applyFont="1" applyFill="1"/>
    <xf numFmtId="165" fontId="27" fillId="0" borderId="0" xfId="0" applyNumberFormat="1" applyFont="1" applyFill="1"/>
    <xf numFmtId="0" fontId="24" fillId="0" borderId="0" xfId="0" applyFont="1"/>
    <xf numFmtId="0" fontId="0" fillId="0" borderId="0" xfId="0" quotePrefix="1"/>
    <xf numFmtId="0" fontId="24" fillId="0" borderId="0" xfId="0" applyFont="1" applyAlignment="1">
      <alignment horizontal="left"/>
    </xf>
    <xf numFmtId="0" fontId="0" fillId="0" borderId="0" xfId="0" quotePrefix="1" applyAlignment="1">
      <alignment horizontal="center"/>
    </xf>
    <xf numFmtId="0" fontId="21" fillId="0" borderId="0" xfId="0" applyFont="1" applyAlignment="1">
      <alignment horizontal="left" indent="2"/>
    </xf>
    <xf numFmtId="0" fontId="0" fillId="0" borderId="0" xfId="0" applyAlignment="1">
      <alignment horizontal="right" indent="1"/>
    </xf>
    <xf numFmtId="164" fontId="27" fillId="0" borderId="0" xfId="0" applyNumberFormat="1" applyFont="1" applyAlignment="1">
      <alignment horizontal="right"/>
    </xf>
    <xf numFmtId="0" fontId="0" fillId="0" borderId="0" xfId="0" applyBorder="1"/>
    <xf numFmtId="0" fontId="24" fillId="0" borderId="0" xfId="0" applyFont="1" applyBorder="1" applyAlignment="1">
      <alignment horizontal="center"/>
    </xf>
    <xf numFmtId="164" fontId="0" fillId="0" borderId="0" xfId="0" applyNumberFormat="1" applyFill="1"/>
    <xf numFmtId="0" fontId="0" fillId="0" borderId="0" xfId="0" applyAlignment="1">
      <alignment horizontal="left"/>
    </xf>
    <xf numFmtId="165" fontId="0" fillId="0" borderId="0" xfId="0" applyNumberFormat="1" applyFill="1"/>
    <xf numFmtId="0" fontId="21" fillId="0" borderId="0" xfId="0" applyFont="1" applyAlignment="1">
      <alignment horizontal="right"/>
    </xf>
    <xf numFmtId="0" fontId="21" fillId="0" borderId="0" xfId="0" applyFont="1" applyAlignment="1">
      <alignment horizontal="left" indent="1"/>
    </xf>
    <xf numFmtId="166" fontId="0" fillId="0" borderId="0" xfId="0" applyNumberFormat="1"/>
    <xf numFmtId="164" fontId="21" fillId="0" borderId="0" xfId="0" applyNumberFormat="1" applyFont="1"/>
    <xf numFmtId="167" fontId="21" fillId="0" borderId="0" xfId="20" applyNumberFormat="1" applyFont="1" applyFill="1" applyBorder="1" applyAlignment="1">
      <alignment horizontal="center"/>
    </xf>
    <xf numFmtId="0" fontId="27" fillId="0" borderId="0" xfId="0" applyFont="1"/>
    <xf numFmtId="0" fontId="27" fillId="0" borderId="0" xfId="0" applyFont="1" applyAlignment="1">
      <alignment horizontal="left"/>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3" fontId="0" fillId="0" borderId="0" xfId="0" applyNumberFormat="1" applyAlignment="1">
      <alignment horizontal="center"/>
    </xf>
    <xf numFmtId="0" fontId="21" fillId="0" borderId="0" xfId="0" applyFont="1" applyAlignment="1">
      <alignment horizontal="left"/>
    </xf>
    <xf numFmtId="0" fontId="24" fillId="0" borderId="0" xfId="0" quotePrefix="1" applyFont="1" applyAlignment="1">
      <alignment horizontal="center"/>
    </xf>
    <xf numFmtId="172" fontId="0" fillId="34" borderId="0" xfId="0" applyNumberFormat="1" applyFill="1"/>
    <xf numFmtId="0" fontId="21" fillId="0" borderId="0" xfId="0" applyFont="1" applyAlignment="1">
      <alignment wrapText="1"/>
    </xf>
    <xf numFmtId="164" fontId="27" fillId="0" borderId="0" xfId="0" applyNumberFormat="1" applyFont="1"/>
    <xf numFmtId="173" fontId="0" fillId="0" borderId="0" xfId="0" applyNumberFormat="1"/>
    <xf numFmtId="169" fontId="0" fillId="0" borderId="0" xfId="0" applyNumberFormat="1"/>
    <xf numFmtId="0" fontId="0" fillId="36" borderId="0" xfId="0" applyFill="1"/>
    <xf numFmtId="2" fontId="0" fillId="0" borderId="0" xfId="0" applyNumberFormat="1"/>
    <xf numFmtId="3" fontId="0" fillId="0" borderId="0" xfId="0" applyNumberFormat="1"/>
    <xf numFmtId="3" fontId="27" fillId="36" borderId="0" xfId="0" applyNumberFormat="1" applyFont="1" applyFill="1"/>
    <xf numFmtId="0" fontId="21" fillId="0" borderId="0" xfId="0" applyFont="1" applyAlignment="1">
      <alignment horizontal="left" indent="3"/>
    </xf>
    <xf numFmtId="164" fontId="27" fillId="34" borderId="0" xfId="0" applyNumberFormat="1" applyFont="1" applyFill="1"/>
    <xf numFmtId="0" fontId="21" fillId="0" borderId="0" xfId="0" applyFont="1" applyFill="1" applyAlignment="1">
      <alignment horizontal="center"/>
    </xf>
    <xf numFmtId="164" fontId="27" fillId="0" borderId="0" xfId="0" applyNumberFormat="1" applyFont="1" applyFill="1"/>
    <xf numFmtId="3" fontId="0" fillId="0" borderId="0" xfId="0" applyNumberFormat="1" applyFill="1"/>
    <xf numFmtId="0" fontId="0" fillId="0" borderId="0" xfId="0" applyFill="1" applyAlignment="1">
      <alignment horizontal="left" indent="1"/>
    </xf>
    <xf numFmtId="164" fontId="27" fillId="36" borderId="0" xfId="0" applyNumberFormat="1" applyFont="1" applyFill="1"/>
    <xf numFmtId="0" fontId="27" fillId="0" borderId="0" xfId="0" applyFont="1" applyAlignment="1">
      <alignment horizontal="center"/>
    </xf>
    <xf numFmtId="0" fontId="0" fillId="37" borderId="0" xfId="0" applyFill="1"/>
    <xf numFmtId="0" fontId="24" fillId="0" borderId="0" xfId="0" applyFont="1" applyFill="1" applyBorder="1" applyAlignment="1">
      <alignment horizontal="center"/>
    </xf>
    <xf numFmtId="0" fontId="25" fillId="0" borderId="0" xfId="0" applyFont="1" applyFill="1" applyBorder="1"/>
    <xf numFmtId="0" fontId="26" fillId="0" borderId="0" xfId="0" applyFont="1" applyFill="1" applyBorder="1"/>
    <xf numFmtId="0" fontId="24" fillId="0" borderId="0" xfId="0" applyFont="1" applyFill="1" applyAlignment="1">
      <alignment horizontal="center"/>
    </xf>
    <xf numFmtId="0" fontId="30" fillId="0" borderId="0" xfId="34" applyFont="1"/>
    <xf numFmtId="167" fontId="30" fillId="0" borderId="0" xfId="19" applyNumberFormat="1" applyFont="1" applyBorder="1"/>
    <xf numFmtId="0" fontId="30" fillId="0" borderId="0" xfId="34" applyFont="1" applyBorder="1" applyAlignment="1">
      <alignment horizontal="left"/>
    </xf>
    <xf numFmtId="0" fontId="30" fillId="0" borderId="0" xfId="34" applyFont="1" applyBorder="1"/>
    <xf numFmtId="10" fontId="30" fillId="0" borderId="0" xfId="37" applyNumberFormat="1" applyFont="1" applyBorder="1" applyAlignment="1">
      <alignment horizontal="left" indent="3"/>
    </xf>
    <xf numFmtId="0" fontId="30" fillId="0" borderId="0" xfId="34" applyFont="1" applyBorder="1" applyAlignment="1">
      <alignment horizontal="right" wrapText="1"/>
    </xf>
    <xf numFmtId="42" fontId="30" fillId="0" borderId="0" xfId="34" applyNumberFormat="1" applyFont="1"/>
    <xf numFmtId="175" fontId="30" fillId="0" borderId="0" xfId="34" applyNumberFormat="1" applyFont="1"/>
    <xf numFmtId="0" fontId="31" fillId="0" borderId="0" xfId="34" applyFont="1"/>
    <xf numFmtId="0" fontId="31" fillId="0" borderId="0" xfId="34" applyFont="1" applyBorder="1" applyAlignment="1">
      <alignment vertical="center" wrapText="1"/>
    </xf>
    <xf numFmtId="42" fontId="31" fillId="0" borderId="0" xfId="19" applyNumberFormat="1" applyFont="1" applyBorder="1" applyAlignment="1">
      <alignment vertical="center"/>
    </xf>
    <xf numFmtId="171" fontId="31" fillId="0" borderId="0" xfId="37" applyNumberFormat="1" applyFont="1" applyBorder="1" applyAlignment="1">
      <alignment horizontal="center" vertical="center"/>
    </xf>
    <xf numFmtId="164" fontId="30" fillId="0" borderId="0" xfId="19" applyNumberFormat="1" applyFont="1" applyBorder="1"/>
    <xf numFmtId="0" fontId="30" fillId="0" borderId="0" xfId="28" applyFont="1"/>
    <xf numFmtId="164" fontId="0" fillId="0" borderId="0" xfId="0" applyNumberFormat="1" applyAlignment="1">
      <alignment horizontal="right" indent="1"/>
    </xf>
    <xf numFmtId="164" fontId="0" fillId="0" borderId="0" xfId="0" applyNumberFormat="1" applyAlignment="1"/>
    <xf numFmtId="165" fontId="32" fillId="0" borderId="0" xfId="0" applyNumberFormat="1" applyFont="1"/>
    <xf numFmtId="165" fontId="33" fillId="0" borderId="0" xfId="0" applyNumberFormat="1" applyFont="1"/>
    <xf numFmtId="166" fontId="0" fillId="0" borderId="0" xfId="0" applyNumberFormat="1" applyFill="1"/>
    <xf numFmtId="0" fontId="0" fillId="36" borderId="0" xfId="0" quotePrefix="1" applyFill="1" applyAlignment="1">
      <alignment horizontal="center"/>
    </xf>
    <xf numFmtId="0" fontId="0" fillId="36" borderId="0" xfId="0" applyFill="1" applyAlignment="1">
      <alignment horizontal="center"/>
    </xf>
    <xf numFmtId="0" fontId="21" fillId="0" borderId="0" xfId="0" quotePrefix="1" applyFont="1" applyAlignment="1">
      <alignment horizontal="right"/>
    </xf>
    <xf numFmtId="165" fontId="27" fillId="0" borderId="0" xfId="0" applyNumberFormat="1" applyFont="1"/>
    <xf numFmtId="164" fontId="27" fillId="36" borderId="0" xfId="19" applyNumberFormat="1" applyFont="1" applyFill="1" applyBorder="1"/>
    <xf numFmtId="10" fontId="27" fillId="0" borderId="0" xfId="37" applyNumberFormat="1" applyFont="1" applyBorder="1" applyAlignment="1">
      <alignment horizontal="center"/>
    </xf>
    <xf numFmtId="164" fontId="21" fillId="0" borderId="0" xfId="19" applyNumberFormat="1" applyFont="1" applyBorder="1" applyAlignment="1">
      <alignment vertical="center"/>
    </xf>
    <xf numFmtId="10" fontId="21" fillId="0" borderId="0" xfId="37" applyNumberFormat="1" applyFont="1" applyBorder="1" applyAlignment="1">
      <alignment horizontal="center" vertical="center"/>
    </xf>
    <xf numFmtId="0" fontId="24" fillId="0" borderId="0" xfId="34" applyFont="1" applyAlignment="1">
      <alignment horizontal="center"/>
    </xf>
    <xf numFmtId="0" fontId="21" fillId="0" borderId="0" xfId="34" applyFont="1" applyBorder="1"/>
    <xf numFmtId="0" fontId="21" fillId="0" borderId="0" xfId="34" applyFont="1" applyBorder="1" applyAlignment="1">
      <alignment horizontal="left"/>
    </xf>
    <xf numFmtId="0" fontId="21" fillId="0" borderId="0" xfId="34" applyFont="1" applyBorder="1" applyAlignment="1">
      <alignment horizontal="left" wrapText="1"/>
    </xf>
    <xf numFmtId="0" fontId="21" fillId="0" borderId="0" xfId="34" applyFont="1" applyBorder="1" applyAlignment="1">
      <alignment vertical="center" wrapText="1"/>
    </xf>
    <xf numFmtId="0" fontId="21" fillId="0" borderId="0" xfId="34" applyFont="1"/>
    <xf numFmtId="0" fontId="21" fillId="0" borderId="0" xfId="34" applyFont="1" applyAlignment="1">
      <alignment horizontal="center"/>
    </xf>
    <xf numFmtId="0" fontId="24" fillId="0" borderId="0" xfId="34" applyFont="1" applyFill="1" applyAlignment="1">
      <alignment horizontal="center"/>
    </xf>
    <xf numFmtId="5" fontId="27" fillId="36" borderId="0" xfId="19" applyNumberFormat="1" applyFont="1" applyFill="1" applyBorder="1"/>
    <xf numFmtId="10" fontId="27" fillId="0" borderId="0" xfId="37" applyNumberFormat="1" applyFont="1" applyFill="1" applyBorder="1" applyAlignment="1">
      <alignment horizontal="center"/>
    </xf>
    <xf numFmtId="0" fontId="21" fillId="0" borderId="0" xfId="34" applyFont="1" applyBorder="1" applyAlignment="1">
      <alignment horizontal="left" vertical="center" wrapText="1"/>
    </xf>
    <xf numFmtId="0" fontId="51" fillId="36" borderId="0" xfId="34" applyFont="1" applyFill="1"/>
    <xf numFmtId="0" fontId="24" fillId="36" borderId="0" xfId="0" applyFont="1" applyFill="1" applyAlignment="1">
      <alignment horizontal="center"/>
    </xf>
    <xf numFmtId="0" fontId="21" fillId="0" borderId="0" xfId="28" applyFont="1" applyFill="1" applyBorder="1" applyAlignment="1">
      <alignment horizontal="left"/>
    </xf>
    <xf numFmtId="0" fontId="21" fillId="0" borderId="0" xfId="0"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NumberFormat="1" applyFont="1" applyBorder="1" applyAlignment="1">
      <alignment horizontal="center" wrapText="1"/>
    </xf>
    <xf numFmtId="0" fontId="21" fillId="0" borderId="3" xfId="0" applyNumberFormat="1" applyFont="1" applyBorder="1" applyAlignment="1">
      <alignment wrapText="1"/>
    </xf>
    <xf numFmtId="0" fontId="21" fillId="0" borderId="3" xfId="0" applyFont="1" applyFill="1" applyBorder="1" applyAlignment="1">
      <alignment horizontal="center" wrapText="1"/>
    </xf>
    <xf numFmtId="0" fontId="21" fillId="0" borderId="3" xfId="0" applyFont="1" applyBorder="1" applyAlignment="1">
      <alignment horizontal="center" wrapText="1"/>
    </xf>
    <xf numFmtId="0" fontId="21" fillId="0" borderId="0" xfId="0" quotePrefix="1" applyNumberFormat="1" applyFont="1" applyBorder="1" applyAlignment="1">
      <alignment horizontal="center"/>
    </xf>
    <xf numFmtId="0" fontId="21" fillId="0" borderId="0" xfId="0" applyNumberFormat="1" applyFont="1" applyFill="1" applyBorder="1"/>
    <xf numFmtId="0" fontId="21" fillId="0" borderId="0" xfId="0" quotePrefix="1" applyNumberFormat="1" applyFont="1" applyBorder="1"/>
    <xf numFmtId="0" fontId="21" fillId="0" borderId="0" xfId="0" quotePrefix="1" applyNumberFormat="1" applyFont="1" applyFill="1" applyBorder="1"/>
    <xf numFmtId="0" fontId="23" fillId="0" borderId="0" xfId="0" applyFont="1" applyBorder="1" applyAlignment="1">
      <alignment horizontal="center"/>
    </xf>
    <xf numFmtId="37" fontId="21" fillId="0" borderId="0" xfId="0" applyNumberFormat="1" applyFont="1" applyFill="1" applyBorder="1" applyAlignment="1">
      <alignment horizontal="center"/>
    </xf>
    <xf numFmtId="0" fontId="23" fillId="0" borderId="0" xfId="0" applyFont="1" applyFill="1" applyBorder="1" applyAlignment="1">
      <alignment horizontal="center"/>
    </xf>
    <xf numFmtId="0" fontId="23" fillId="0" borderId="0" xfId="0" applyFont="1" applyBorder="1"/>
    <xf numFmtId="0" fontId="21" fillId="0" borderId="3" xfId="0" applyNumberFormat="1" applyFont="1" applyFill="1" applyBorder="1" applyAlignment="1">
      <alignment horizontal="right"/>
    </xf>
    <xf numFmtId="0" fontId="27" fillId="0" borderId="0" xfId="0" applyFont="1" applyBorder="1" applyAlignment="1">
      <alignment horizontal="center"/>
    </xf>
    <xf numFmtId="0" fontId="52" fillId="0" borderId="0" xfId="0" applyFont="1"/>
    <xf numFmtId="0" fontId="52" fillId="0" borderId="0" xfId="0" applyFont="1" applyAlignment="1">
      <alignment horizontal="right"/>
    </xf>
    <xf numFmtId="164" fontId="52" fillId="0" borderId="0" xfId="0" applyNumberFormat="1" applyFont="1"/>
    <xf numFmtId="0" fontId="53" fillId="0" borderId="0" xfId="0" applyFont="1" applyAlignment="1">
      <alignment horizontal="center"/>
    </xf>
    <xf numFmtId="164" fontId="52" fillId="0" borderId="0" xfId="0" applyNumberFormat="1" applyFont="1" applyFill="1"/>
    <xf numFmtId="10" fontId="52" fillId="34" borderId="0" xfId="0" applyNumberFormat="1" applyFont="1" applyFill="1"/>
    <xf numFmtId="164" fontId="52" fillId="0" borderId="0" xfId="0" applyNumberFormat="1" applyFont="1" applyAlignment="1">
      <alignment horizontal="right"/>
    </xf>
    <xf numFmtId="164" fontId="52" fillId="0" borderId="0" xfId="0" quotePrefix="1" applyNumberFormat="1" applyFont="1" applyAlignment="1">
      <alignment horizontal="center"/>
    </xf>
    <xf numFmtId="0" fontId="52" fillId="0" borderId="0" xfId="0" applyFont="1" applyFill="1"/>
    <xf numFmtId="10" fontId="52" fillId="0" borderId="0" xfId="0" applyNumberFormat="1" applyFont="1" applyFill="1"/>
    <xf numFmtId="0" fontId="50" fillId="0" borderId="0" xfId="0" applyFont="1" applyAlignment="1">
      <alignment horizontal="center"/>
    </xf>
    <xf numFmtId="0" fontId="55" fillId="0" borderId="0" xfId="0" applyFont="1" applyAlignment="1">
      <alignment horizontal="center"/>
    </xf>
    <xf numFmtId="166" fontId="52" fillId="0" borderId="0" xfId="0" applyNumberFormat="1" applyFont="1"/>
    <xf numFmtId="164" fontId="52" fillId="34" borderId="0" xfId="0" applyNumberFormat="1" applyFont="1" applyFill="1"/>
    <xf numFmtId="0" fontId="52" fillId="0" borderId="0" xfId="0" applyFont="1" applyAlignment="1">
      <alignment horizontal="left" indent="1"/>
    </xf>
    <xf numFmtId="165" fontId="52" fillId="0" borderId="0" xfId="0" applyNumberFormat="1" applyFont="1"/>
    <xf numFmtId="0" fontId="52" fillId="0" borderId="0" xfId="0" applyFont="1" applyAlignment="1">
      <alignment horizontal="center"/>
    </xf>
    <xf numFmtId="0" fontId="21" fillId="36" borderId="0" xfId="0" quotePrefix="1" applyFont="1" applyFill="1" applyAlignment="1">
      <alignment horizontal="center"/>
    </xf>
    <xf numFmtId="0" fontId="21" fillId="0" borderId="0" xfId="28" applyFont="1"/>
    <xf numFmtId="0" fontId="21" fillId="0" borderId="0" xfId="28" applyFont="1" applyFill="1" applyBorder="1" applyAlignment="1">
      <alignment horizontal="left" vertical="center"/>
    </xf>
    <xf numFmtId="0" fontId="21" fillId="0" borderId="0" xfId="28" applyFont="1" applyFill="1" applyBorder="1" applyAlignment="1">
      <alignment horizontal="center" vertical="center" wrapText="1"/>
    </xf>
    <xf numFmtId="0" fontId="21" fillId="0" borderId="0" xfId="28" applyFont="1" applyFill="1" applyBorder="1" applyAlignment="1">
      <alignment horizontal="center" vertical="center"/>
    </xf>
    <xf numFmtId="0" fontId="21" fillId="0" borderId="0" xfId="28" applyFont="1" applyFill="1" applyBorder="1" applyAlignment="1">
      <alignment horizontal="center"/>
    </xf>
    <xf numFmtId="0" fontId="21" fillId="0" borderId="0" xfId="28" applyFont="1" applyBorder="1" applyAlignment="1">
      <alignment horizontal="center" vertical="center" wrapText="1"/>
    </xf>
    <xf numFmtId="164" fontId="27" fillId="0" borderId="0" xfId="28" applyNumberFormat="1" applyFont="1" applyFill="1" applyBorder="1" applyAlignment="1">
      <alignment horizontal="right" vertical="center" wrapText="1"/>
    </xf>
    <xf numFmtId="164" fontId="27" fillId="0" borderId="0" xfId="20" applyNumberFormat="1" applyFont="1" applyFill="1"/>
    <xf numFmtId="164" fontId="27" fillId="0" borderId="0" xfId="28" applyNumberFormat="1" applyFont="1" applyFill="1" applyBorder="1" applyAlignment="1">
      <alignment horizontal="right"/>
    </xf>
    <xf numFmtId="0" fontId="21" fillId="0" borderId="0" xfId="28" applyFont="1" applyFill="1"/>
    <xf numFmtId="41" fontId="34" fillId="0" borderId="0" xfId="20" applyNumberFormat="1" applyFont="1" applyFill="1"/>
    <xf numFmtId="164" fontId="34" fillId="0" borderId="0" xfId="20" applyNumberFormat="1" applyFont="1" applyFill="1"/>
    <xf numFmtId="42" fontId="34" fillId="0" borderId="0" xfId="28" applyNumberFormat="1" applyFont="1"/>
    <xf numFmtId="0" fontId="21" fillId="0" borderId="0" xfId="28" applyFont="1" applyAlignment="1">
      <alignment horizontal="center" wrapText="1"/>
    </xf>
    <xf numFmtId="0" fontId="24" fillId="0" borderId="0" xfId="28" applyFont="1"/>
    <xf numFmtId="39" fontId="21" fillId="0" borderId="3" xfId="22" quotePrefix="1" applyNumberFormat="1" applyFont="1" applyBorder="1" applyAlignment="1">
      <alignment horizontal="center" wrapText="1"/>
    </xf>
    <xf numFmtId="39" fontId="21" fillId="0" borderId="3" xfId="22" applyNumberFormat="1" applyFont="1" applyBorder="1" applyAlignment="1">
      <alignment horizontal="center" wrapText="1"/>
    </xf>
    <xf numFmtId="176" fontId="21" fillId="0" borderId="3" xfId="22" applyNumberFormat="1" applyFont="1" applyBorder="1" applyAlignment="1">
      <alignment horizontal="center" wrapText="1"/>
    </xf>
    <xf numFmtId="39" fontId="21" fillId="0" borderId="0" xfId="22" quotePrefix="1" applyNumberFormat="1" applyFont="1" applyBorder="1" applyAlignment="1">
      <alignment horizontal="center"/>
    </xf>
    <xf numFmtId="37" fontId="21" fillId="0" borderId="3" xfId="22" quotePrefix="1" applyNumberFormat="1" applyFont="1" applyBorder="1" applyAlignment="1">
      <alignment horizontal="center"/>
    </xf>
    <xf numFmtId="37" fontId="21" fillId="0" borderId="0" xfId="22" quotePrefix="1" applyNumberFormat="1" applyFont="1" applyBorder="1" applyAlignment="1">
      <alignment horizontal="center"/>
    </xf>
    <xf numFmtId="176" fontId="23" fillId="0" borderId="0" xfId="22" applyNumberFormat="1" applyFont="1" applyBorder="1" applyAlignment="1">
      <alignment horizontal="center"/>
    </xf>
    <xf numFmtId="37" fontId="21" fillId="36" borderId="3" xfId="22" quotePrefix="1" applyNumberFormat="1" applyFont="1" applyFill="1" applyBorder="1" applyAlignment="1">
      <alignment horizontal="center"/>
    </xf>
    <xf numFmtId="37" fontId="21" fillId="0" borderId="0" xfId="22" quotePrefix="1" applyNumberFormat="1" applyFont="1" applyFill="1" applyBorder="1" applyAlignment="1">
      <alignment horizontal="center"/>
    </xf>
    <xf numFmtId="37" fontId="21" fillId="0" borderId="3" xfId="22" quotePrefix="1" applyNumberFormat="1" applyFont="1" applyFill="1" applyBorder="1" applyAlignment="1">
      <alignment horizontal="center"/>
    </xf>
    <xf numFmtId="39" fontId="21" fillId="0" borderId="0" xfId="22" quotePrefix="1" applyNumberFormat="1" applyFont="1" applyFill="1" applyBorder="1" applyAlignment="1">
      <alignment horizontal="center"/>
    </xf>
    <xf numFmtId="39" fontId="21" fillId="0" borderId="3" xfId="22" applyNumberFormat="1" applyFont="1" applyFill="1" applyBorder="1" applyAlignment="1">
      <alignment horizontal="center" wrapText="1"/>
    </xf>
    <xf numFmtId="39" fontId="23" fillId="0" borderId="0" xfId="22" applyNumberFormat="1" applyFont="1" applyFill="1" applyBorder="1" applyAlignment="1">
      <alignment horizontal="center"/>
    </xf>
    <xf numFmtId="39" fontId="51" fillId="0" borderId="0" xfId="22" quotePrefix="1" applyNumberFormat="1" applyFont="1" applyBorder="1" applyAlignment="1">
      <alignment horizontal="center"/>
    </xf>
    <xf numFmtId="177" fontId="51" fillId="0" borderId="0" xfId="22" applyNumberFormat="1" applyFont="1" applyBorder="1" applyAlignment="1">
      <alignment horizontal="center"/>
    </xf>
    <xf numFmtId="39" fontId="51" fillId="0" borderId="0" xfId="22" applyNumberFormat="1" applyFont="1" applyBorder="1" applyAlignment="1">
      <alignment horizontal="left"/>
    </xf>
    <xf numFmtId="37" fontId="21" fillId="37" borderId="3" xfId="22" quotePrefix="1" applyNumberFormat="1" applyFont="1" applyFill="1" applyBorder="1" applyAlignment="1">
      <alignment horizontal="center"/>
    </xf>
    <xf numFmtId="39" fontId="21" fillId="37" borderId="3" xfId="22" applyNumberFormat="1" applyFont="1" applyFill="1" applyBorder="1" applyAlignment="1">
      <alignment horizontal="center"/>
    </xf>
    <xf numFmtId="39" fontId="56" fillId="0" borderId="0" xfId="22" quotePrefix="1" applyNumberFormat="1" applyFont="1" applyBorder="1" applyAlignment="1">
      <alignment horizontal="center"/>
    </xf>
    <xf numFmtId="37" fontId="21" fillId="36" borderId="5" xfId="22" quotePrefix="1" applyNumberFormat="1" applyFont="1" applyFill="1" applyBorder="1" applyAlignment="1">
      <alignment horizontal="center"/>
    </xf>
    <xf numFmtId="0" fontId="21" fillId="37" borderId="0" xfId="0" quotePrefix="1" applyNumberFormat="1" applyFont="1" applyFill="1" applyBorder="1"/>
    <xf numFmtId="0" fontId="21" fillId="37" borderId="0" xfId="0" applyFont="1" applyFill="1" applyBorder="1"/>
    <xf numFmtId="37" fontId="56" fillId="0" borderId="0" xfId="22" quotePrefix="1" applyNumberFormat="1" applyFont="1" applyBorder="1" applyAlignment="1">
      <alignment horizontal="center"/>
    </xf>
    <xf numFmtId="0" fontId="21" fillId="37" borderId="3" xfId="0" applyFont="1" applyFill="1" applyBorder="1" applyAlignment="1">
      <alignment horizontal="center"/>
    </xf>
    <xf numFmtId="39" fontId="21" fillId="0" borderId="3" xfId="22" applyNumberFormat="1" applyFont="1" applyFill="1" applyBorder="1" applyAlignment="1">
      <alignment horizontal="right" wrapText="1"/>
    </xf>
    <xf numFmtId="0" fontId="21" fillId="36" borderId="3" xfId="0" quotePrefix="1" applyNumberFormat="1" applyFont="1" applyFill="1" applyBorder="1"/>
    <xf numFmtId="39" fontId="21" fillId="36" borderId="3" xfId="22" quotePrefix="1" applyNumberFormat="1" applyFont="1" applyFill="1" applyBorder="1" applyAlignment="1">
      <alignment horizontal="center"/>
    </xf>
    <xf numFmtId="0" fontId="21" fillId="36" borderId="3" xfId="0" applyNumberFormat="1" applyFont="1" applyFill="1" applyBorder="1"/>
    <xf numFmtId="37" fontId="21" fillId="0" borderId="0" xfId="22" applyNumberFormat="1" applyFont="1" applyFill="1" applyBorder="1" applyAlignment="1">
      <alignment horizontal="center"/>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39" fontId="21" fillId="37" borderId="7" xfId="22" applyNumberFormat="1" applyFont="1" applyFill="1" applyBorder="1" applyAlignment="1">
      <alignment horizontal="center"/>
    </xf>
    <xf numFmtId="39" fontId="21" fillId="37" borderId="0" xfId="22" quotePrefix="1" applyNumberFormat="1" applyFont="1" applyFill="1" applyBorder="1" applyAlignment="1">
      <alignment horizontal="center"/>
    </xf>
    <xf numFmtId="39" fontId="23" fillId="0" borderId="0" xfId="22" applyNumberFormat="1" applyFont="1" applyBorder="1" applyAlignment="1">
      <alignment horizontal="center"/>
    </xf>
    <xf numFmtId="0" fontId="24" fillId="0" borderId="0" xfId="0" quotePrefix="1" applyFont="1" applyFill="1" applyAlignment="1">
      <alignment horizontal="center"/>
    </xf>
    <xf numFmtId="164" fontId="21" fillId="0" borderId="0" xfId="0" applyNumberFormat="1" applyFont="1" applyFill="1" applyAlignment="1">
      <alignment horizontal="center"/>
    </xf>
    <xf numFmtId="164" fontId="24" fillId="0" borderId="0" xfId="0" applyNumberFormat="1" applyFont="1" applyFill="1" applyAlignment="1">
      <alignment horizontal="center"/>
    </xf>
    <xf numFmtId="164" fontId="24" fillId="36" borderId="0" xfId="0" applyNumberFormat="1" applyFont="1" applyFill="1" applyAlignment="1">
      <alignment horizontal="center"/>
    </xf>
    <xf numFmtId="164" fontId="27" fillId="0" borderId="0" xfId="0" applyNumberFormat="1" applyFont="1" applyFill="1" applyAlignment="1">
      <alignment horizontal="right"/>
    </xf>
    <xf numFmtId="10" fontId="52" fillId="0" borderId="0" xfId="0" applyNumberFormat="1" applyFont="1"/>
    <xf numFmtId="164" fontId="57" fillId="0" borderId="0" xfId="0" applyNumberFormat="1" applyFont="1"/>
    <xf numFmtId="0" fontId="54" fillId="0" borderId="0" xfId="0" applyFont="1" applyAlignment="1">
      <alignment horizontal="center"/>
    </xf>
    <xf numFmtId="3" fontId="52" fillId="36" borderId="0" xfId="0" applyNumberFormat="1" applyFont="1" applyFill="1"/>
    <xf numFmtId="0" fontId="50" fillId="0" borderId="0" xfId="0" applyFont="1"/>
    <xf numFmtId="10" fontId="58" fillId="0" borderId="0" xfId="0" applyNumberFormat="1" applyFont="1"/>
    <xf numFmtId="0" fontId="27" fillId="0" borderId="0" xfId="0" applyFont="1" applyFill="1" applyAlignment="1">
      <alignment horizontal="center"/>
    </xf>
    <xf numFmtId="0" fontId="0" fillId="0" borderId="0" xfId="0" applyFill="1" applyAlignment="1">
      <alignment horizontal="left" indent="2"/>
    </xf>
    <xf numFmtId="166" fontId="52" fillId="0" borderId="0" xfId="0" quotePrefix="1" applyNumberFormat="1" applyFont="1" applyAlignment="1">
      <alignment horizontal="right"/>
    </xf>
    <xf numFmtId="168" fontId="27" fillId="0" borderId="0" xfId="0" applyNumberFormat="1" applyFont="1"/>
    <xf numFmtId="0" fontId="59" fillId="0" borderId="0" xfId="0" applyFont="1" applyAlignment="1">
      <alignment horizontal="center"/>
    </xf>
    <xf numFmtId="164" fontId="40" fillId="0" borderId="0" xfId="0" applyNumberFormat="1" applyFont="1" applyBorder="1"/>
    <xf numFmtId="0" fontId="0" fillId="36" borderId="0" xfId="0" applyFill="1" applyAlignment="1">
      <alignment horizontal="left" indent="1"/>
    </xf>
    <xf numFmtId="0" fontId="0" fillId="36" borderId="0" xfId="0" applyFill="1" applyAlignment="1"/>
    <xf numFmtId="0" fontId="0" fillId="0" borderId="0" xfId="0" quotePrefix="1" applyFont="1" applyFill="1" applyAlignment="1">
      <alignment horizontal="left" indent="1"/>
    </xf>
    <xf numFmtId="0" fontId="21" fillId="0" borderId="0" xfId="0" applyFont="1" applyFill="1" applyAlignment="1">
      <alignment horizontal="left"/>
    </xf>
    <xf numFmtId="0" fontId="24" fillId="0" borderId="0" xfId="0" applyFont="1" applyAlignment="1">
      <alignment horizontal="left" indent="1"/>
    </xf>
    <xf numFmtId="0" fontId="21"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2" fillId="0" borderId="0" xfId="0" applyNumberFormat="1" applyFont="1"/>
    <xf numFmtId="0" fontId="0" fillId="0" borderId="8" xfId="0" applyBorder="1" applyAlignment="1">
      <alignment horizontal="center"/>
    </xf>
    <xf numFmtId="0" fontId="53" fillId="0" borderId="0" xfId="0" applyFont="1"/>
    <xf numFmtId="164" fontId="57" fillId="36" borderId="0" xfId="0" applyNumberFormat="1" applyFont="1" applyFill="1"/>
    <xf numFmtId="0" fontId="54" fillId="0" borderId="0" xfId="0" applyFont="1"/>
    <xf numFmtId="0" fontId="21" fillId="36" borderId="0" xfId="0" quotePrefix="1" applyFont="1" applyFill="1" applyAlignment="1">
      <alignment vertical="center"/>
    </xf>
    <xf numFmtId="164" fontId="55" fillId="0" borderId="0" xfId="0" applyNumberFormat="1" applyFont="1" applyAlignment="1">
      <alignment horizontal="center"/>
    </xf>
    <xf numFmtId="165" fontId="20" fillId="0" borderId="0" xfId="0" applyNumberFormat="1" applyFont="1" applyFill="1"/>
    <xf numFmtId="37" fontId="21" fillId="0" borderId="3" xfId="22" applyNumberFormat="1" applyFont="1" applyFill="1" applyBorder="1" applyAlignment="1">
      <alignment horizontal="center"/>
    </xf>
    <xf numFmtId="37" fontId="21" fillId="0" borderId="3" xfId="0" applyNumberFormat="1" applyFont="1" applyBorder="1" applyAlignment="1">
      <alignment horizontal="center"/>
    </xf>
    <xf numFmtId="37" fontId="21" fillId="37" borderId="3" xfId="0" applyNumberFormat="1" applyFont="1" applyFill="1" applyBorder="1" applyAlignment="1">
      <alignment horizontal="center"/>
    </xf>
    <xf numFmtId="37" fontId="21" fillId="0" borderId="0" xfId="0" applyNumberFormat="1" applyFont="1" applyBorder="1" applyAlignment="1">
      <alignment horizontal="center"/>
    </xf>
    <xf numFmtId="164" fontId="27" fillId="36" borderId="0" xfId="0" applyNumberFormat="1" applyFont="1" applyFill="1" applyAlignment="1">
      <alignment horizontal="right"/>
    </xf>
    <xf numFmtId="0" fontId="21" fillId="0" borderId="0" xfId="28" applyFont="1" applyAlignment="1">
      <alignment horizontal="left" vertical="center"/>
    </xf>
    <xf numFmtId="0" fontId="49" fillId="0" borderId="0" xfId="28" applyFont="1" applyFill="1" applyAlignment="1">
      <alignment horizontal="left"/>
    </xf>
    <xf numFmtId="0" fontId="49" fillId="0" borderId="0" xfId="28" applyFont="1" applyFill="1" applyAlignment="1">
      <alignment horizontal="center"/>
    </xf>
    <xf numFmtId="0" fontId="49" fillId="0" borderId="0" xfId="28" applyNumberFormat="1" applyFont="1" applyFill="1" applyAlignment="1">
      <alignment horizontal="center"/>
    </xf>
    <xf numFmtId="0" fontId="49" fillId="0" borderId="0" xfId="28" applyFont="1" applyAlignment="1">
      <alignment horizontal="center"/>
    </xf>
    <xf numFmtId="0" fontId="21" fillId="0" borderId="0" xfId="28" applyFont="1" applyAlignment="1">
      <alignment horizontal="left"/>
    </xf>
    <xf numFmtId="0" fontId="49" fillId="36" borderId="0" xfId="28" applyNumberFormat="1" applyFont="1" applyFill="1" applyAlignment="1">
      <alignment horizontal="center"/>
    </xf>
    <xf numFmtId="0" fontId="21" fillId="0" borderId="0" xfId="28" applyFont="1" applyAlignment="1">
      <alignment vertical="top"/>
    </xf>
    <xf numFmtId="0" fontId="21" fillId="0" borderId="0" xfId="28" applyFont="1" applyAlignment="1">
      <alignment horizontal="left" vertical="top"/>
    </xf>
    <xf numFmtId="0" fontId="21" fillId="0" borderId="0" xfId="28" applyFont="1" applyAlignment="1">
      <alignment horizontal="center" vertical="top"/>
    </xf>
    <xf numFmtId="0" fontId="21" fillId="0" borderId="0" xfId="28" applyFont="1" applyFill="1" applyAlignment="1">
      <alignment horizontal="center" vertical="top"/>
    </xf>
    <xf numFmtId="0" fontId="21" fillId="0" borderId="0" xfId="28" applyNumberFormat="1" applyFont="1" applyFill="1" applyAlignment="1">
      <alignment horizontal="center" vertical="top"/>
    </xf>
    <xf numFmtId="0" fontId="49" fillId="0" borderId="0" xfId="28" applyFont="1" applyAlignment="1">
      <alignment horizontal="center" vertical="top"/>
    </xf>
    <xf numFmtId="0" fontId="21" fillId="0" borderId="0" xfId="28" applyFont="1" applyAlignment="1"/>
    <xf numFmtId="0" fontId="21" fillId="0" borderId="0" xfId="28" applyFont="1" applyFill="1" applyAlignment="1">
      <alignment horizontal="center"/>
    </xf>
    <xf numFmtId="0" fontId="21" fillId="0" borderId="0" xfId="28" applyNumberFormat="1" applyFont="1" applyFill="1" applyAlignment="1">
      <alignment horizontal="center"/>
    </xf>
    <xf numFmtId="0" fontId="24" fillId="0" borderId="0" xfId="0" quotePrefix="1" applyFont="1" applyAlignment="1">
      <alignment horizontal="center" vertical="top"/>
    </xf>
    <xf numFmtId="0" fontId="24" fillId="0" borderId="0" xfId="0" quotePrefix="1" applyNumberFormat="1" applyFont="1" applyAlignment="1">
      <alignment horizontal="center" vertical="top"/>
    </xf>
    <xf numFmtId="0" fontId="21" fillId="0" borderId="0" xfId="28" applyFont="1" applyAlignment="1">
      <alignment horizontal="center" vertical="center"/>
    </xf>
    <xf numFmtId="0" fontId="21" fillId="0" borderId="0" xfId="28" applyFont="1" applyBorder="1" applyAlignment="1"/>
    <xf numFmtId="0" fontId="21" fillId="0" borderId="6" xfId="28" applyNumberFormat="1" applyFont="1" applyFill="1" applyBorder="1" applyAlignment="1">
      <alignment horizontal="center"/>
    </xf>
    <xf numFmtId="0" fontId="21" fillId="0" borderId="3" xfId="28" applyFont="1" applyBorder="1" applyAlignment="1">
      <alignment horizontal="center"/>
    </xf>
    <xf numFmtId="0" fontId="21" fillId="0" borderId="3" xfId="28" applyNumberFormat="1" applyFont="1" applyBorder="1" applyAlignment="1">
      <alignment horizontal="center"/>
    </xf>
    <xf numFmtId="0" fontId="24" fillId="0" borderId="0" xfId="28" applyFont="1" applyBorder="1" applyAlignment="1"/>
    <xf numFmtId="0" fontId="21" fillId="0" borderId="0" xfId="28" applyFont="1" applyBorder="1" applyAlignment="1">
      <alignment horizontal="center"/>
    </xf>
    <xf numFmtId="0" fontId="21" fillId="0" borderId="0" xfId="28" applyNumberFormat="1" applyFont="1" applyBorder="1" applyAlignment="1">
      <alignment horizontal="center"/>
    </xf>
    <xf numFmtId="167" fontId="34" fillId="0" borderId="0" xfId="28" applyNumberFormat="1" applyFont="1" applyFill="1" applyBorder="1"/>
    <xf numFmtId="0" fontId="21" fillId="0" borderId="0" xfId="28" applyFont="1" applyFill="1" applyBorder="1"/>
    <xf numFmtId="0" fontId="24" fillId="0" borderId="0" xfId="28" applyFont="1" applyBorder="1"/>
    <xf numFmtId="167" fontId="21" fillId="0" borderId="0" xfId="28" applyNumberFormat="1" applyFont="1" applyBorder="1" applyAlignment="1">
      <alignment horizontal="center"/>
    </xf>
    <xf numFmtId="167" fontId="21" fillId="0" borderId="0" xfId="28" applyNumberFormat="1" applyFont="1" applyBorder="1"/>
    <xf numFmtId="0" fontId="21" fillId="0" borderId="0" xfId="28" applyFont="1" applyBorder="1" applyAlignment="1">
      <alignment horizontal="right"/>
    </xf>
    <xf numFmtId="0" fontId="21" fillId="0" borderId="0" xfId="28" applyFont="1" applyFill="1" applyBorder="1" applyAlignment="1">
      <alignment horizontal="right"/>
    </xf>
    <xf numFmtId="167" fontId="21" fillId="0" borderId="3" xfId="22" applyNumberFormat="1" applyFont="1" applyFill="1" applyBorder="1" applyAlignment="1">
      <alignment horizontal="center" wrapText="1"/>
    </xf>
    <xf numFmtId="171" fontId="21" fillId="0" borderId="0" xfId="37" applyNumberFormat="1" applyFont="1" applyFill="1" applyBorder="1" applyAlignment="1">
      <alignment horizontal="center" wrapText="1"/>
    </xf>
    <xf numFmtId="167" fontId="21" fillId="0" borderId="0" xfId="22" applyNumberFormat="1" applyFont="1" applyFill="1" applyBorder="1"/>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167" fontId="21" fillId="0" borderId="0" xfId="22" applyNumberFormat="1" applyFont="1" applyBorder="1"/>
    <xf numFmtId="0" fontId="24" fillId="0" borderId="0" xfId="28" applyFont="1" applyBorder="1" applyAlignment="1">
      <alignment vertical="top" wrapText="1"/>
    </xf>
    <xf numFmtId="0" fontId="52" fillId="34" borderId="0" xfId="0" applyFont="1" applyFill="1"/>
    <xf numFmtId="0" fontId="53" fillId="0" borderId="0" xfId="0" applyFont="1" applyFill="1" applyAlignment="1">
      <alignment horizontal="center"/>
    </xf>
    <xf numFmtId="0" fontId="54" fillId="0" borderId="0" xfId="0" applyFont="1" applyFill="1" applyAlignment="1">
      <alignment horizontal="center"/>
    </xf>
    <xf numFmtId="0" fontId="52" fillId="0" borderId="0" xfId="0" applyFont="1" applyFill="1" applyAlignment="1">
      <alignment horizontal="center"/>
    </xf>
    <xf numFmtId="0" fontId="52" fillId="0" borderId="0" xfId="0" applyFont="1" applyFill="1" applyAlignment="1">
      <alignment horizontal="left" indent="2"/>
    </xf>
    <xf numFmtId="0" fontId="53" fillId="0" borderId="0" xfId="0" applyFont="1" applyAlignment="1">
      <alignment horizontal="left" indent="1"/>
    </xf>
    <xf numFmtId="0" fontId="53" fillId="0" borderId="0" xfId="0" quotePrefix="1" applyFont="1" applyAlignment="1">
      <alignment horizontal="center"/>
    </xf>
    <xf numFmtId="0" fontId="54" fillId="0" borderId="0" xfId="0" quotePrefix="1" applyFont="1" applyAlignment="1">
      <alignment horizontal="center"/>
    </xf>
    <xf numFmtId="164" fontId="57" fillId="0" borderId="0" xfId="0" applyNumberFormat="1" applyFont="1" applyFill="1"/>
    <xf numFmtId="0" fontId="52" fillId="0" borderId="0" xfId="0" quotePrefix="1" applyFont="1"/>
    <xf numFmtId="0" fontId="54" fillId="0" borderId="0" xfId="0" applyFont="1" applyAlignment="1">
      <alignment horizontal="left"/>
    </xf>
    <xf numFmtId="1" fontId="52" fillId="36" borderId="0" xfId="0" applyNumberFormat="1" applyFont="1" applyFill="1"/>
    <xf numFmtId="174" fontId="52" fillId="0" borderId="0" xfId="0" applyNumberFormat="1" applyFont="1"/>
    <xf numFmtId="0" fontId="52" fillId="0" borderId="0" xfId="0" applyFont="1" applyFill="1" applyAlignment="1">
      <alignment horizontal="left" indent="1"/>
    </xf>
    <xf numFmtId="164" fontId="0" fillId="0" borderId="0" xfId="0" quotePrefix="1" applyNumberFormat="1" applyAlignment="1">
      <alignment horizontal="center"/>
    </xf>
    <xf numFmtId="164" fontId="50" fillId="0" borderId="0" xfId="0" applyNumberFormat="1" applyFont="1" applyAlignment="1">
      <alignment horizontal="center"/>
    </xf>
    <xf numFmtId="0" fontId="24" fillId="0" borderId="0" xfId="28" applyFont="1" applyFill="1" applyAlignment="1">
      <alignment horizontal="center"/>
    </xf>
    <xf numFmtId="164" fontId="0" fillId="0" borderId="0" xfId="0" applyNumberFormat="1" applyFill="1" applyAlignment="1"/>
    <xf numFmtId="0" fontId="20" fillId="0" borderId="0" xfId="0" applyFont="1" applyAlignment="1">
      <alignment horizontal="right"/>
    </xf>
    <xf numFmtId="0" fontId="20" fillId="0" borderId="0" xfId="0" applyFont="1" applyFill="1" applyAlignment="1">
      <alignment horizontal="left" indent="1"/>
    </xf>
    <xf numFmtId="0" fontId="20" fillId="0" borderId="0" xfId="0" applyFont="1"/>
    <xf numFmtId="0" fontId="20" fillId="0" borderId="0" xfId="0" applyFont="1" applyAlignment="1">
      <alignment horizontal="center"/>
    </xf>
    <xf numFmtId="0" fontId="20" fillId="0" borderId="0" xfId="0" applyFont="1" applyFill="1"/>
    <xf numFmtId="164" fontId="20" fillId="0" borderId="0" xfId="0" applyNumberFormat="1" applyFont="1" applyFill="1" applyBorder="1"/>
    <xf numFmtId="0" fontId="20" fillId="0" borderId="0" xfId="0" applyFont="1" applyAlignment="1">
      <alignment horizontal="left" indent="1"/>
    </xf>
    <xf numFmtId="179" fontId="20" fillId="34" borderId="0" xfId="35" applyNumberFormat="1" applyFont="1" applyFill="1" applyAlignment="1">
      <alignment horizontal="left"/>
    </xf>
    <xf numFmtId="179" fontId="20" fillId="0" borderId="0" xfId="35" applyNumberFormat="1" applyFont="1" applyFill="1" applyAlignment="1">
      <alignment horizontal="left"/>
    </xf>
    <xf numFmtId="164" fontId="20" fillId="0" borderId="0" xfId="0" applyNumberFormat="1" applyFont="1"/>
    <xf numFmtId="179" fontId="20" fillId="0" borderId="0" xfId="35" applyNumberFormat="1" applyFont="1" applyFill="1" applyAlignment="1">
      <alignment horizontal="right"/>
    </xf>
    <xf numFmtId="0" fontId="20" fillId="0" borderId="0" xfId="0" quotePrefix="1" applyFont="1" applyAlignment="1">
      <alignment horizontal="center"/>
    </xf>
    <xf numFmtId="0" fontId="20" fillId="0" borderId="0" xfId="28" applyFont="1" applyFill="1"/>
    <xf numFmtId="10" fontId="0" fillId="0" borderId="0" xfId="37" applyNumberFormat="1" applyFont="1"/>
    <xf numFmtId="0" fontId="20" fillId="0" borderId="0" xfId="28" applyFont="1"/>
    <xf numFmtId="164" fontId="20" fillId="0" borderId="0" xfId="0" applyNumberFormat="1" applyFont="1" applyFill="1"/>
    <xf numFmtId="164" fontId="20" fillId="0" borderId="14" xfId="0" applyNumberFormat="1" applyFont="1" applyFill="1" applyBorder="1"/>
    <xf numFmtId="164" fontId="20" fillId="0" borderId="8" xfId="0" applyNumberFormat="1" applyFont="1" applyFill="1" applyBorder="1"/>
    <xf numFmtId="3" fontId="20" fillId="0" borderId="0" xfId="0" applyNumberFormat="1" applyFont="1" applyFill="1"/>
    <xf numFmtId="0" fontId="20" fillId="0" borderId="0" xfId="0" quotePrefix="1" applyFont="1"/>
    <xf numFmtId="17" fontId="20" fillId="0" borderId="0" xfId="0" quotePrefix="1" applyNumberFormat="1" applyFont="1" applyAlignment="1">
      <alignment horizontal="center"/>
    </xf>
    <xf numFmtId="0" fontId="20" fillId="0" borderId="0" xfId="0" applyFont="1" applyAlignment="1">
      <alignment wrapText="1"/>
    </xf>
    <xf numFmtId="0" fontId="20" fillId="0" borderId="0" xfId="0" applyFont="1" applyAlignment="1">
      <alignment horizontal="right" indent="1"/>
    </xf>
    <xf numFmtId="0" fontId="20" fillId="0" borderId="0" xfId="0" applyFont="1" applyAlignment="1">
      <alignment horizontal="left" indent="2"/>
    </xf>
    <xf numFmtId="0" fontId="20" fillId="0" borderId="0" xfId="0" quotePrefix="1" applyFont="1" applyAlignment="1">
      <alignment horizontal="center" vertical="justify"/>
    </xf>
    <xf numFmtId="10" fontId="27" fillId="0" borderId="0" xfId="0" applyNumberFormat="1" applyFont="1"/>
    <xf numFmtId="166" fontId="20" fillId="0" borderId="0" xfId="0" applyNumberFormat="1" applyFont="1" applyAlignment="1">
      <alignment horizontal="left" indent="1"/>
    </xf>
    <xf numFmtId="166" fontId="24" fillId="0" borderId="0" xfId="0" applyNumberFormat="1" applyFont="1" applyAlignment="1">
      <alignment horizontal="center"/>
    </xf>
    <xf numFmtId="0" fontId="20" fillId="0" borderId="0" xfId="28" applyNumberFormat="1" applyFont="1" applyFill="1" applyBorder="1" applyAlignment="1">
      <alignment horizontal="left"/>
    </xf>
    <xf numFmtId="164" fontId="20" fillId="36" borderId="0" xfId="0" applyNumberFormat="1" applyFont="1" applyFill="1"/>
    <xf numFmtId="0" fontId="20" fillId="0" borderId="0" xfId="28" applyFont="1" applyBorder="1" applyAlignment="1">
      <alignment horizontal="left"/>
    </xf>
    <xf numFmtId="0" fontId="20" fillId="0" borderId="0" xfId="28" applyNumberFormat="1" applyFont="1" applyFill="1" applyBorder="1" applyAlignment="1">
      <alignment horizontal="right"/>
    </xf>
    <xf numFmtId="0" fontId="20" fillId="0" borderId="0" xfId="28" applyFont="1" applyBorder="1"/>
    <xf numFmtId="3" fontId="20" fillId="0" borderId="0" xfId="28" applyNumberFormat="1" applyFont="1" applyFill="1" applyBorder="1" applyAlignment="1">
      <alignment horizontal="left" indent="1"/>
    </xf>
    <xf numFmtId="1" fontId="20" fillId="0" borderId="0" xfId="28" applyNumberFormat="1" applyFont="1" applyFill="1" applyBorder="1" applyAlignment="1">
      <alignment horizontal="center"/>
    </xf>
    <xf numFmtId="37" fontId="20" fillId="0" borderId="0" xfId="36" applyNumberFormat="1" applyFont="1" applyFill="1" applyAlignment="1">
      <alignment horizontal="left" indent="1"/>
    </xf>
    <xf numFmtId="10" fontId="20" fillId="0" borderId="0" xfId="0" applyNumberFormat="1" applyFont="1" applyFill="1"/>
    <xf numFmtId="0" fontId="20" fillId="36" borderId="0" xfId="34" applyFont="1" applyFill="1"/>
    <xf numFmtId="0" fontId="20" fillId="0" borderId="0" xfId="0" quotePrefix="1" applyFont="1" applyAlignment="1"/>
    <xf numFmtId="0" fontId="54" fillId="0" borderId="0" xfId="0" applyFont="1" applyFill="1"/>
    <xf numFmtId="0" fontId="21" fillId="0" borderId="0" xfId="28" applyFont="1" applyBorder="1" applyAlignment="1">
      <alignment horizontal="left"/>
    </xf>
    <xf numFmtId="1" fontId="20" fillId="0" borderId="0" xfId="28" quotePrefix="1" applyNumberFormat="1" applyFont="1" applyFill="1" applyBorder="1" applyAlignment="1">
      <alignment horizontal="right"/>
    </xf>
    <xf numFmtId="164" fontId="20" fillId="0" borderId="0" xfId="0" applyNumberFormat="1" applyFont="1" applyFill="1" applyAlignment="1">
      <alignment horizontal="right"/>
    </xf>
    <xf numFmtId="164" fontId="21" fillId="0" borderId="0" xfId="0" applyNumberFormat="1" applyFont="1" applyFill="1" applyAlignment="1">
      <alignment horizontal="right"/>
    </xf>
    <xf numFmtId="164" fontId="20" fillId="36" borderId="0" xfId="0" applyNumberFormat="1" applyFont="1" applyFill="1" applyAlignment="1">
      <alignment horizontal="right"/>
    </xf>
    <xf numFmtId="0" fontId="20" fillId="36" borderId="0" xfId="0" applyFont="1" applyFill="1" applyAlignment="1">
      <alignment horizontal="left" indent="1"/>
    </xf>
    <xf numFmtId="0" fontId="20" fillId="36" borderId="0" xfId="0" applyFont="1" applyFill="1" applyAlignment="1">
      <alignment horizontal="left"/>
    </xf>
    <xf numFmtId="0" fontId="20" fillId="36" borderId="0" xfId="0" applyFont="1" applyFill="1" applyAlignment="1">
      <alignment horizontal="left" vertical="center"/>
    </xf>
    <xf numFmtId="164" fontId="20" fillId="0" borderId="0" xfId="0" applyNumberFormat="1" applyFont="1" applyFill="1" applyAlignment="1">
      <alignment horizontal="left" indent="1"/>
    </xf>
    <xf numFmtId="0" fontId="0" fillId="0" borderId="0" xfId="0" applyFill="1" applyBorder="1"/>
    <xf numFmtId="0" fontId="60" fillId="0" borderId="0" xfId="0" applyFont="1"/>
    <xf numFmtId="37" fontId="52" fillId="0" borderId="0" xfId="0" applyNumberFormat="1" applyFont="1" applyFill="1"/>
    <xf numFmtId="165" fontId="52" fillId="0" borderId="0" xfId="0" applyNumberFormat="1" applyFont="1" applyFill="1"/>
    <xf numFmtId="165" fontId="52" fillId="0" borderId="0" xfId="0" applyNumberFormat="1" applyFont="1" applyFill="1" applyAlignment="1">
      <alignment horizontal="left" indent="1"/>
    </xf>
    <xf numFmtId="164" fontId="54" fillId="0" borderId="0" xfId="0" applyNumberFormat="1" applyFont="1" applyFill="1"/>
    <xf numFmtId="39" fontId="52" fillId="0" borderId="0" xfId="0" applyNumberFormat="1" applyFont="1" applyAlignment="1">
      <alignment horizontal="left" indent="1"/>
    </xf>
    <xf numFmtId="39" fontId="52" fillId="0" borderId="0" xfId="0" applyNumberFormat="1" applyFont="1"/>
    <xf numFmtId="0" fontId="20" fillId="36" borderId="0" xfId="0" quotePrefix="1" applyFont="1" applyFill="1" applyAlignment="1">
      <alignment horizontal="center"/>
    </xf>
    <xf numFmtId="0" fontId="20" fillId="0" borderId="0" xfId="0" quotePrefix="1" applyFont="1" applyFill="1" applyAlignment="1">
      <alignment horizontal="center"/>
    </xf>
    <xf numFmtId="0" fontId="20" fillId="36" borderId="0" xfId="0" applyFont="1" applyFill="1" applyBorder="1" applyProtection="1"/>
    <xf numFmtId="164" fontId="20" fillId="36" borderId="0" xfId="0" applyNumberFormat="1" applyFont="1" applyFill="1" applyBorder="1" applyProtection="1"/>
    <xf numFmtId="170" fontId="20" fillId="0" borderId="0" xfId="0" applyNumberFormat="1" applyFont="1" applyFill="1" applyBorder="1" applyAlignment="1" applyProtection="1">
      <alignment horizontal="center"/>
    </xf>
    <xf numFmtId="0" fontId="20" fillId="0" borderId="0" xfId="0" applyFont="1" applyFill="1" applyBorder="1" applyProtection="1"/>
    <xf numFmtId="164" fontId="20" fillId="0" borderId="0" xfId="0" applyNumberFormat="1" applyFont="1" applyFill="1" applyBorder="1" applyProtection="1"/>
    <xf numFmtId="0" fontId="20" fillId="0" borderId="0" xfId="0" quotePrefix="1" applyFont="1" applyFill="1" applyBorder="1"/>
    <xf numFmtId="0" fontId="20" fillId="0" borderId="0" xfId="0" applyFont="1" applyFill="1" applyBorder="1"/>
    <xf numFmtId="0" fontId="20" fillId="0" borderId="0" xfId="0" applyFont="1" applyAlignment="1">
      <alignment horizontal="left"/>
    </xf>
    <xf numFmtId="164" fontId="27" fillId="0" borderId="0" xfId="28" applyNumberFormat="1" applyFont="1" applyFill="1"/>
    <xf numFmtId="0" fontId="21" fillId="0" borderId="0" xfId="0" applyFont="1" applyFill="1" applyBorder="1" applyAlignment="1">
      <alignment horizontal="center"/>
    </xf>
    <xf numFmtId="37" fontId="20" fillId="0" borderId="0" xfId="0" applyNumberFormat="1" applyFont="1" applyFill="1" applyAlignment="1">
      <alignment horizontal="left" indent="1"/>
    </xf>
    <xf numFmtId="0" fontId="62" fillId="0" borderId="0" xfId="0" applyFont="1"/>
    <xf numFmtId="0" fontId="25" fillId="0" borderId="0" xfId="0" applyFont="1" applyFill="1"/>
    <xf numFmtId="0" fontId="26" fillId="0" borderId="0" xfId="0" applyFont="1" applyFill="1"/>
    <xf numFmtId="0" fontId="24" fillId="0" borderId="0" xfId="0" applyFont="1" applyFill="1" applyAlignment="1">
      <alignment horizontal="left"/>
    </xf>
    <xf numFmtId="17" fontId="20" fillId="0" borderId="0" xfId="0" quotePrefix="1" applyNumberFormat="1" applyFont="1" applyFill="1" applyAlignment="1">
      <alignment horizontal="center"/>
    </xf>
    <xf numFmtId="0" fontId="20" fillId="0" borderId="0" xfId="0" quotePrefix="1" applyFont="1" applyAlignment="1">
      <alignment horizontal="left" indent="1"/>
    </xf>
    <xf numFmtId="0" fontId="20" fillId="0" borderId="3" xfId="0" applyFont="1" applyBorder="1" applyAlignment="1">
      <alignment horizontal="center"/>
    </xf>
    <xf numFmtId="0" fontId="20" fillId="0" borderId="3" xfId="0" applyFont="1" applyFill="1" applyBorder="1" applyAlignment="1">
      <alignment horizontal="center"/>
    </xf>
    <xf numFmtId="0" fontId="20" fillId="0" borderId="3" xfId="0" applyFont="1" applyFill="1" applyBorder="1"/>
    <xf numFmtId="39" fontId="20" fillId="0" borderId="3" xfId="22" applyNumberFormat="1" applyFont="1" applyFill="1" applyBorder="1" applyAlignment="1">
      <alignment horizontal="center"/>
    </xf>
    <xf numFmtId="0" fontId="20" fillId="0" borderId="0" xfId="0" applyFont="1" applyFill="1" applyBorder="1" applyAlignment="1">
      <alignment vertical="top"/>
    </xf>
    <xf numFmtId="37" fontId="52" fillId="36" borderId="0" xfId="81" applyNumberFormat="1" applyFont="1" applyFill="1" applyAlignment="1">
      <alignment horizontal="right"/>
    </xf>
    <xf numFmtId="6" fontId="0" fillId="0" borderId="0" xfId="0" applyNumberFormat="1"/>
    <xf numFmtId="0" fontId="21" fillId="0" borderId="0" xfId="0" applyFont="1" applyAlignment="1">
      <alignment horizontal="center"/>
    </xf>
    <xf numFmtId="180" fontId="0" fillId="0" borderId="0" xfId="0" applyNumberFormat="1"/>
    <xf numFmtId="0" fontId="21" fillId="0" borderId="0" xfId="0" quotePrefix="1" applyFont="1" applyFill="1" applyAlignment="1">
      <alignment horizontal="right"/>
    </xf>
    <xf numFmtId="0" fontId="20" fillId="0" borderId="0" xfId="0" quotePrefix="1" applyFont="1" applyAlignment="1">
      <alignment horizontal="center" vertical="center"/>
    </xf>
    <xf numFmtId="0" fontId="21" fillId="0" borderId="0" xfId="108" applyFont="1"/>
    <xf numFmtId="0" fontId="20" fillId="0" borderId="0" xfId="108"/>
    <xf numFmtId="0" fontId="24" fillId="0" borderId="0" xfId="108" applyFont="1"/>
    <xf numFmtId="0" fontId="21" fillId="0" borderId="0" xfId="108" applyFont="1" applyAlignment="1">
      <alignment horizontal="center"/>
    </xf>
    <xf numFmtId="0" fontId="20" fillId="0" borderId="0" xfId="108" applyFont="1"/>
    <xf numFmtId="0" fontId="24" fillId="0" borderId="0" xfId="108" applyFont="1" applyAlignment="1">
      <alignment horizontal="center"/>
    </xf>
    <xf numFmtId="0" fontId="24" fillId="0" borderId="0" xfId="108" applyFont="1" applyAlignment="1">
      <alignment horizontal="left"/>
    </xf>
    <xf numFmtId="164" fontId="20" fillId="0" borderId="0" xfId="108" applyNumberFormat="1" applyFill="1"/>
    <xf numFmtId="0" fontId="20" fillId="36" borderId="0" xfId="108" applyFont="1" applyFill="1"/>
    <xf numFmtId="164" fontId="20" fillId="36" borderId="0" xfId="108" applyNumberFormat="1" applyFill="1"/>
    <xf numFmtId="164" fontId="27" fillId="36" borderId="0" xfId="108" applyNumberFormat="1" applyFont="1" applyFill="1"/>
    <xf numFmtId="164" fontId="20" fillId="0" borderId="0" xfId="108" applyNumberFormat="1"/>
    <xf numFmtId="0" fontId="20" fillId="0" borderId="0" xfId="108" applyFont="1" applyFill="1"/>
    <xf numFmtId="3" fontId="30" fillId="0" borderId="0" xfId="34" applyNumberFormat="1" applyFont="1" applyBorder="1"/>
    <xf numFmtId="0" fontId="28" fillId="0" borderId="0" xfId="27" applyAlignment="1" applyProtection="1"/>
    <xf numFmtId="164" fontId="0" fillId="36" borderId="0" xfId="0" applyNumberFormat="1" applyFill="1" applyAlignment="1">
      <alignment horizontal="right"/>
    </xf>
    <xf numFmtId="0" fontId="20" fillId="0" borderId="0" xfId="0" quotePrefix="1" applyFont="1" applyFill="1"/>
    <xf numFmtId="171" fontId="0" fillId="36" borderId="0" xfId="0" applyNumberFormat="1" applyFill="1"/>
    <xf numFmtId="167" fontId="20" fillId="0" borderId="0" xfId="28" applyNumberFormat="1" applyFont="1" applyBorder="1"/>
    <xf numFmtId="15" fontId="20" fillId="36" borderId="0" xfId="0" quotePrefix="1" applyNumberFormat="1" applyFont="1" applyFill="1" applyAlignment="1">
      <alignment horizontal="center"/>
    </xf>
    <xf numFmtId="0" fontId="67" fillId="0" borderId="0" xfId="0" applyFont="1"/>
    <xf numFmtId="0" fontId="20" fillId="0" borderId="0" xfId="28" applyFont="1" applyFill="1" applyBorder="1" applyAlignment="1" applyProtection="1">
      <alignment horizontal="left" indent="1"/>
      <protection locked="0"/>
    </xf>
    <xf numFmtId="0" fontId="20" fillId="0" borderId="0" xfId="100" applyFill="1"/>
    <xf numFmtId="0" fontId="20" fillId="36" borderId="0" xfId="108" applyFill="1"/>
    <xf numFmtId="0" fontId="20" fillId="0" borderId="0" xfId="100" applyFont="1" applyAlignment="1">
      <alignment horizontal="left" indent="1"/>
    </xf>
    <xf numFmtId="164" fontId="20" fillId="0" borderId="0" xfId="100" applyNumberFormat="1"/>
    <xf numFmtId="164" fontId="51" fillId="0" borderId="0" xfId="100" applyNumberFormat="1" applyFont="1" applyFill="1"/>
    <xf numFmtId="0" fontId="21" fillId="0" borderId="0" xfId="100" applyFont="1"/>
    <xf numFmtId="0" fontId="20" fillId="0" borderId="0" xfId="100" applyFont="1"/>
    <xf numFmtId="0" fontId="21" fillId="0" borderId="0" xfId="100" applyFont="1" applyAlignment="1">
      <alignment horizontal="left" indent="1"/>
    </xf>
    <xf numFmtId="0" fontId="61" fillId="0" borderId="0" xfId="100" applyFont="1" applyBorder="1" applyAlignment="1">
      <alignment horizontal="left"/>
    </xf>
    <xf numFmtId="0" fontId="21" fillId="0" borderId="0" xfId="100" applyFont="1" applyBorder="1" applyAlignment="1">
      <alignment horizontal="center"/>
    </xf>
    <xf numFmtId="0" fontId="20" fillId="0" borderId="0" xfId="100" applyFont="1" applyBorder="1" applyAlignment="1">
      <alignment horizontal="right"/>
    </xf>
    <xf numFmtId="0" fontId="21" fillId="0" borderId="0" xfId="100" applyFont="1" applyBorder="1" applyAlignment="1">
      <alignment horizontal="right"/>
    </xf>
    <xf numFmtId="0" fontId="21" fillId="0" borderId="8" xfId="100" applyFont="1" applyBorder="1" applyAlignment="1">
      <alignment horizontal="center"/>
    </xf>
    <xf numFmtId="170" fontId="20" fillId="0" borderId="0" xfId="100" applyNumberFormat="1" applyFont="1" applyFill="1" applyAlignment="1">
      <alignment horizontal="center"/>
    </xf>
    <xf numFmtId="0" fontId="20" fillId="0" borderId="0" xfId="100" applyFont="1" applyFill="1"/>
    <xf numFmtId="164" fontId="20" fillId="0" borderId="0" xfId="100" applyNumberFormat="1" applyFont="1" applyFill="1"/>
    <xf numFmtId="170" fontId="20" fillId="0" borderId="0" xfId="100" quotePrefix="1" applyNumberFormat="1" applyFont="1" applyFill="1" applyAlignment="1">
      <alignment horizontal="center"/>
    </xf>
    <xf numFmtId="164" fontId="20" fillId="0" borderId="0" xfId="100" applyNumberFormat="1" applyFont="1"/>
    <xf numFmtId="164" fontId="20" fillId="0" borderId="0" xfId="96" applyNumberFormat="1" applyFont="1" applyBorder="1"/>
    <xf numFmtId="164" fontId="20" fillId="0" borderId="0" xfId="96" applyNumberFormat="1" applyFont="1"/>
    <xf numFmtId="168" fontId="20" fillId="0" borderId="0" xfId="96" applyNumberFormat="1" applyFont="1" applyBorder="1"/>
    <xf numFmtId="164" fontId="20" fillId="0" borderId="14" xfId="96" applyNumberFormat="1" applyFont="1" applyBorder="1"/>
    <xf numFmtId="0" fontId="20" fillId="0" borderId="0" xfId="100" quotePrefix="1" applyFont="1" applyAlignment="1">
      <alignment horizontal="left" indent="1"/>
    </xf>
    <xf numFmtId="164" fontId="20" fillId="0" borderId="0" xfId="96" applyNumberFormat="1" applyFont="1" applyBorder="1" applyAlignment="1">
      <alignment horizontal="left" indent="1"/>
    </xf>
    <xf numFmtId="39" fontId="20" fillId="0" borderId="0" xfId="96" applyNumberFormat="1" applyFont="1" applyBorder="1"/>
    <xf numFmtId="37" fontId="20" fillId="0" borderId="0" xfId="96" applyNumberFormat="1" applyFont="1" applyBorder="1" applyAlignment="1">
      <alignment horizontal="center"/>
    </xf>
    <xf numFmtId="164" fontId="20" fillId="0" borderId="0" xfId="96" applyNumberFormat="1" applyFont="1" applyFill="1" applyBorder="1"/>
    <xf numFmtId="0" fontId="20" fillId="0" borderId="0" xfId="100" applyFont="1" applyBorder="1"/>
    <xf numFmtId="164" fontId="21" fillId="0" borderId="0" xfId="100" applyNumberFormat="1" applyFont="1" applyBorder="1" applyAlignment="1">
      <alignment horizontal="center"/>
    </xf>
    <xf numFmtId="164" fontId="21" fillId="0" borderId="8" xfId="100" applyNumberFormat="1" applyFont="1" applyBorder="1" applyAlignment="1">
      <alignment horizontal="center"/>
    </xf>
    <xf numFmtId="0" fontId="24" fillId="0" borderId="0" xfId="100" applyFont="1" applyBorder="1" applyAlignment="1">
      <alignment horizontal="center"/>
    </xf>
    <xf numFmtId="0" fontId="20" fillId="0" borderId="0" xfId="100" applyFont="1" applyBorder="1" applyAlignment="1">
      <alignment horizontal="left"/>
    </xf>
    <xf numFmtId="1" fontId="20" fillId="36" borderId="0" xfId="100" applyNumberFormat="1" applyFont="1" applyFill="1" applyBorder="1" applyAlignment="1">
      <alignment horizontal="center"/>
    </xf>
    <xf numFmtId="164" fontId="20" fillId="0" borderId="0" xfId="0" applyNumberFormat="1" applyFont="1" applyFill="1" applyAlignment="1">
      <alignment horizontal="center"/>
    </xf>
    <xf numFmtId="0" fontId="20" fillId="0" borderId="0" xfId="100" applyNumberFormat="1" applyFont="1" applyFill="1" applyBorder="1" applyAlignment="1">
      <alignment horizontal="left"/>
    </xf>
    <xf numFmtId="1" fontId="20" fillId="0" borderId="0" xfId="100" quotePrefix="1" applyNumberFormat="1" applyFont="1" applyFill="1" applyBorder="1" applyAlignment="1">
      <alignment horizontal="right"/>
    </xf>
    <xf numFmtId="164" fontId="20" fillId="36" borderId="0" xfId="0" quotePrefix="1" applyNumberFormat="1" applyFont="1" applyFill="1" applyAlignment="1">
      <alignment horizontal="center"/>
    </xf>
    <xf numFmtId="164" fontId="20" fillId="0" borderId="0" xfId="0" quotePrefix="1" applyNumberFormat="1" applyFont="1" applyFill="1" applyAlignment="1">
      <alignment horizontal="center"/>
    </xf>
    <xf numFmtId="0" fontId="21" fillId="0" borderId="0" xfId="100" applyFont="1" applyFill="1" applyBorder="1" applyAlignment="1">
      <alignment horizontal="left"/>
    </xf>
    <xf numFmtId="0" fontId="21" fillId="0" borderId="0" xfId="100" applyNumberFormat="1" applyFont="1" applyFill="1" applyBorder="1" applyAlignment="1">
      <alignment horizontal="left"/>
    </xf>
    <xf numFmtId="0" fontId="20" fillId="0" borderId="0" xfId="100"/>
    <xf numFmtId="0" fontId="20" fillId="36" borderId="0" xfId="100" applyFill="1"/>
    <xf numFmtId="0" fontId="24" fillId="0" borderId="0" xfId="100" quotePrefix="1" applyFont="1" applyAlignment="1">
      <alignment horizontal="center"/>
    </xf>
    <xf numFmtId="0" fontId="24" fillId="0" borderId="0" xfId="100" applyFont="1" applyAlignment="1">
      <alignment horizontal="center"/>
    </xf>
    <xf numFmtId="0" fontId="20" fillId="0" borderId="0" xfId="100" quotePrefix="1" applyFont="1" applyAlignment="1">
      <alignment horizontal="center"/>
    </xf>
    <xf numFmtId="0" fontId="20" fillId="0" borderId="0" xfId="100" applyAlignment="1">
      <alignment horizontal="center"/>
    </xf>
    <xf numFmtId="0" fontId="21" fillId="0" borderId="0" xfId="100" applyFont="1" applyAlignment="1">
      <alignment horizontal="center"/>
    </xf>
    <xf numFmtId="0" fontId="21" fillId="0" borderId="0" xfId="100" applyFont="1" applyFill="1" applyAlignment="1">
      <alignment horizontal="center"/>
    </xf>
    <xf numFmtId="0" fontId="24" fillId="0" borderId="0" xfId="100" applyFont="1"/>
    <xf numFmtId="0" fontId="24" fillId="0" borderId="0" xfId="100" applyFont="1" applyFill="1" applyAlignment="1">
      <alignment horizontal="center"/>
    </xf>
    <xf numFmtId="164" fontId="20" fillId="0" borderId="0" xfId="100" applyNumberFormat="1" applyFont="1" applyFill="1" applyAlignment="1"/>
    <xf numFmtId="10" fontId="20" fillId="0" borderId="0" xfId="37" applyNumberFormat="1" applyFont="1" applyFill="1" applyAlignment="1"/>
    <xf numFmtId="167" fontId="20" fillId="0" borderId="0" xfId="100" applyNumberFormat="1"/>
    <xf numFmtId="164" fontId="27" fillId="0" borderId="0" xfId="100" applyNumberFormat="1" applyFont="1"/>
    <xf numFmtId="0" fontId="20" fillId="0" borderId="0" xfId="100" applyFont="1" applyAlignment="1">
      <alignment horizontal="right" indent="1"/>
    </xf>
    <xf numFmtId="167" fontId="0" fillId="0" borderId="0" xfId="19" applyNumberFormat="1" applyFont="1"/>
    <xf numFmtId="164" fontId="20" fillId="0" borderId="0" xfId="100" applyNumberFormat="1" applyFont="1" applyFill="1" applyAlignment="1">
      <alignment horizontal="right"/>
    </xf>
    <xf numFmtId="164" fontId="20" fillId="36" borderId="0" xfId="100" applyNumberFormat="1" applyFont="1" applyFill="1" applyAlignment="1">
      <alignment horizontal="right"/>
    </xf>
    <xf numFmtId="0" fontId="20" fillId="0" borderId="0" xfId="100" applyAlignment="1">
      <alignment horizontal="left" indent="1"/>
    </xf>
    <xf numFmtId="10" fontId="0" fillId="0" borderId="0" xfId="37" applyNumberFormat="1" applyFont="1" applyAlignment="1">
      <alignment horizontal="center"/>
    </xf>
    <xf numFmtId="10" fontId="24" fillId="0" borderId="0" xfId="100" applyNumberFormat="1" applyFont="1" applyAlignment="1">
      <alignment horizontal="center"/>
    </xf>
    <xf numFmtId="0" fontId="20" fillId="0" borderId="0" xfId="100" applyNumberFormat="1"/>
    <xf numFmtId="10" fontId="20" fillId="0" borderId="0" xfId="37" applyNumberFormat="1" applyAlignment="1">
      <alignment horizontal="center"/>
    </xf>
    <xf numFmtId="0" fontId="21" fillId="0" borderId="0" xfId="100" applyFont="1" applyFill="1"/>
    <xf numFmtId="0" fontId="24" fillId="0" borderId="0" xfId="0" applyNumberFormat="1" applyFont="1" applyFill="1" applyAlignment="1">
      <alignment horizontal="center"/>
    </xf>
    <xf numFmtId="0" fontId="22" fillId="0" borderId="0" xfId="0" applyFont="1" applyAlignment="1">
      <alignment horizontal="center"/>
    </xf>
    <xf numFmtId="0" fontId="21" fillId="0" borderId="0" xfId="0" applyNumberFormat="1" applyFont="1" applyFill="1" applyAlignment="1">
      <alignment horizontal="center"/>
    </xf>
    <xf numFmtId="0" fontId="21" fillId="0" borderId="0" xfId="0" applyNumberFormat="1" applyFont="1" applyFill="1" applyAlignment="1">
      <alignment horizontal="center" wrapText="1"/>
    </xf>
    <xf numFmtId="164" fontId="21" fillId="0" borderId="0" xfId="0" applyNumberFormat="1" applyFont="1" applyFill="1" applyAlignment="1">
      <alignment horizontal="right" indent="1"/>
    </xf>
    <xf numFmtId="0" fontId="0" fillId="0" borderId="0" xfId="0" applyNumberFormat="1" applyFill="1"/>
    <xf numFmtId="0" fontId="21" fillId="0" borderId="0" xfId="0" applyNumberFormat="1" applyFont="1" applyFill="1" applyAlignment="1">
      <alignment horizontal="left" indent="2"/>
    </xf>
    <xf numFmtId="0" fontId="24" fillId="0" borderId="0" xfId="0" quotePrefix="1" applyNumberFormat="1" applyFont="1" applyFill="1" applyAlignment="1">
      <alignment horizontal="center"/>
    </xf>
    <xf numFmtId="0" fontId="20" fillId="0" borderId="0" xfId="0" quotePrefix="1" applyNumberFormat="1" applyFont="1" applyFill="1" applyAlignment="1">
      <alignment horizontal="center" wrapText="1"/>
    </xf>
    <xf numFmtId="0" fontId="20" fillId="0" borderId="0" xfId="0" quotePrefix="1" applyNumberFormat="1" applyFont="1" applyFill="1" applyAlignment="1">
      <alignment horizontal="center"/>
    </xf>
    <xf numFmtId="0" fontId="22" fillId="0" borderId="0" xfId="0" quotePrefix="1" applyNumberFormat="1" applyFont="1" applyFill="1" applyAlignment="1">
      <alignment horizontal="center"/>
    </xf>
    <xf numFmtId="0" fontId="20" fillId="0" borderId="0" xfId="100" quotePrefix="1" applyNumberFormat="1" applyFont="1" applyFill="1" applyBorder="1" applyAlignment="1">
      <alignment horizontal="right"/>
    </xf>
    <xf numFmtId="0" fontId="20" fillId="0" borderId="0" xfId="0" applyNumberFormat="1" applyFont="1" applyFill="1" applyAlignment="1">
      <alignment horizontal="left" indent="1"/>
    </xf>
    <xf numFmtId="0" fontId="21" fillId="0" borderId="0" xfId="100" applyFont="1" applyAlignment="1">
      <alignment horizontal="right"/>
    </xf>
    <xf numFmtId="164" fontId="21" fillId="0" borderId="0" xfId="100" applyNumberFormat="1" applyFont="1"/>
    <xf numFmtId="166" fontId="21" fillId="0" borderId="0" xfId="100" applyNumberFormat="1" applyFont="1"/>
    <xf numFmtId="10" fontId="24" fillId="0" borderId="0" xfId="37" applyNumberFormat="1" applyFont="1" applyAlignment="1">
      <alignment horizontal="center"/>
    </xf>
    <xf numFmtId="5" fontId="20"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0" fillId="0" borderId="0" xfId="23" applyNumberFormat="1" applyFont="1"/>
    <xf numFmtId="10" fontId="20" fillId="0" borderId="0" xfId="100" applyNumberFormat="1"/>
    <xf numFmtId="0" fontId="27" fillId="0" borderId="0" xfId="100" applyFont="1" applyAlignment="1">
      <alignment horizontal="center"/>
    </xf>
    <xf numFmtId="5" fontId="20" fillId="0" borderId="0" xfId="19" applyNumberFormat="1"/>
    <xf numFmtId="5" fontId="20" fillId="0" borderId="0" xfId="100" applyNumberFormat="1"/>
    <xf numFmtId="5" fontId="20" fillId="0" borderId="0" xfId="100" applyNumberFormat="1" applyFont="1"/>
    <xf numFmtId="172" fontId="0" fillId="0" borderId="0" xfId="0" applyNumberFormat="1"/>
    <xf numFmtId="0" fontId="20" fillId="36" borderId="0" xfId="0" applyFont="1" applyFill="1" applyAlignment="1">
      <alignment horizontal="center"/>
    </xf>
    <xf numFmtId="0" fontId="21" fillId="0" borderId="0" xfId="108" applyFont="1" applyFill="1"/>
    <xf numFmtId="0" fontId="20" fillId="0" borderId="0" xfId="108" applyFill="1"/>
    <xf numFmtId="0" fontId="24" fillId="0" borderId="0" xfId="108" applyFont="1" applyFill="1"/>
    <xf numFmtId="0" fontId="21" fillId="0" borderId="0" xfId="108" applyFont="1" applyFill="1" applyAlignment="1">
      <alignment horizontal="center"/>
    </xf>
    <xf numFmtId="0" fontId="21" fillId="0" borderId="8" xfId="108" applyFont="1" applyFill="1" applyBorder="1" applyAlignment="1">
      <alignment horizontal="center"/>
    </xf>
    <xf numFmtId="0" fontId="21" fillId="0" borderId="0" xfId="108" applyFont="1" applyFill="1" applyBorder="1" applyAlignment="1">
      <alignment horizontal="center"/>
    </xf>
    <xf numFmtId="0" fontId="21" fillId="0" borderId="8" xfId="108" applyFont="1" applyBorder="1" applyAlignment="1">
      <alignment horizontal="center"/>
    </xf>
    <xf numFmtId="0" fontId="40" fillId="0" borderId="0" xfId="0" applyFont="1"/>
    <xf numFmtId="164" fontId="20" fillId="0" borderId="15" xfId="108" applyNumberFormat="1" applyFill="1" applyBorder="1"/>
    <xf numFmtId="0" fontId="21" fillId="0" borderId="0" xfId="108" quotePrefix="1" applyFont="1" applyFill="1" applyAlignment="1">
      <alignment horizontal="center"/>
    </xf>
    <xf numFmtId="0" fontId="38" fillId="0" borderId="0" xfId="0" applyFont="1" applyFill="1" applyAlignment="1">
      <alignment horizontal="center"/>
    </xf>
    <xf numFmtId="164" fontId="20" fillId="0" borderId="0" xfId="108" applyNumberFormat="1" applyFill="1" applyBorder="1"/>
    <xf numFmtId="164" fontId="20" fillId="0" borderId="8" xfId="108" applyNumberFormat="1" applyFont="1" applyFill="1" applyBorder="1" applyAlignment="1">
      <alignment horizontal="right"/>
    </xf>
    <xf numFmtId="164" fontId="20" fillId="0" borderId="0" xfId="108" applyNumberFormat="1" applyFont="1" applyFill="1" applyBorder="1" applyAlignment="1">
      <alignment horizontal="right"/>
    </xf>
    <xf numFmtId="164" fontId="20" fillId="0" borderId="16" xfId="108" applyNumberFormat="1" applyBorder="1"/>
    <xf numFmtId="0" fontId="20" fillId="0" borderId="0" xfId="108" applyFill="1" applyBorder="1"/>
    <xf numFmtId="0" fontId="0" fillId="0" borderId="0" xfId="0" applyFill="1" applyBorder="1" applyAlignment="1">
      <alignment horizontal="center"/>
    </xf>
    <xf numFmtId="0" fontId="20" fillId="0" borderId="8" xfId="0" applyFont="1" applyBorder="1" applyAlignment="1">
      <alignment horizontal="center"/>
    </xf>
    <xf numFmtId="164" fontId="20" fillId="34" borderId="0" xfId="19" applyNumberFormat="1" applyFont="1" applyFill="1"/>
    <xf numFmtId="164" fontId="20" fillId="0" borderId="0" xfId="19" applyNumberFormat="1" applyFont="1" applyFill="1" applyBorder="1"/>
    <xf numFmtId="37" fontId="20"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0" fillId="0" borderId="0" xfId="0" applyFont="1" applyAlignment="1">
      <alignment wrapText="1"/>
    </xf>
    <xf numFmtId="164" fontId="20" fillId="36" borderId="0" xfId="19" applyNumberFormat="1" applyFont="1" applyFill="1" applyBorder="1"/>
    <xf numFmtId="9" fontId="0" fillId="0" borderId="8" xfId="0" applyNumberFormat="1" applyBorder="1"/>
    <xf numFmtId="164" fontId="0" fillId="0" borderId="0" xfId="0" applyNumberFormat="1" applyFill="1" applyBorder="1"/>
    <xf numFmtId="0" fontId="20" fillId="36" borderId="0" xfId="100" quotePrefix="1" applyNumberFormat="1" applyFont="1" applyFill="1" applyBorder="1" applyAlignment="1">
      <alignment horizontal="left"/>
    </xf>
    <xf numFmtId="0" fontId="20" fillId="36" borderId="0" xfId="100" quotePrefix="1" applyFont="1" applyFill="1" applyBorder="1" applyAlignment="1">
      <alignment horizontal="left"/>
    </xf>
    <xf numFmtId="10" fontId="52" fillId="36" borderId="0" xfId="0" applyNumberFormat="1" applyFont="1" applyFill="1"/>
    <xf numFmtId="0" fontId="20" fillId="0" borderId="0" xfId="0" quotePrefix="1" applyFont="1" applyAlignment="1">
      <alignment horizontal="right"/>
    </xf>
    <xf numFmtId="49" fontId="20" fillId="0" borderId="0" xfId="19" applyNumberFormat="1" applyFont="1" applyBorder="1" applyAlignment="1">
      <alignment horizontal="left" indent="1"/>
    </xf>
    <xf numFmtId="5" fontId="20" fillId="36" borderId="0" xfId="19" applyNumberFormat="1" applyFont="1" applyFill="1" applyBorder="1"/>
    <xf numFmtId="37" fontId="20" fillId="36" borderId="3" xfId="0" applyNumberFormat="1" applyFont="1" applyFill="1" applyBorder="1" applyAlignment="1">
      <alignment horizontal="center"/>
    </xf>
    <xf numFmtId="164" fontId="27" fillId="36" borderId="0" xfId="100" applyNumberFormat="1" applyFont="1" applyFill="1"/>
    <xf numFmtId="0" fontId="51" fillId="36" borderId="0" xfId="0" applyFont="1" applyFill="1"/>
    <xf numFmtId="164" fontId="52" fillId="36" borderId="0" xfId="125" applyNumberFormat="1" applyFont="1" applyFill="1" applyBorder="1" applyProtection="1"/>
    <xf numFmtId="164" fontId="20" fillId="36" borderId="0" xfId="125" applyNumberFormat="1" applyFont="1" applyFill="1" applyBorder="1" applyProtection="1"/>
    <xf numFmtId="39" fontId="20" fillId="0" borderId="0" xfId="0" applyNumberFormat="1" applyFont="1" applyFill="1" applyAlignment="1">
      <alignment horizontal="left" indent="1"/>
    </xf>
    <xf numFmtId="164" fontId="20" fillId="36" borderId="0" xfId="23" applyNumberFormat="1" applyFont="1" applyFill="1" applyAlignment="1">
      <alignment horizontal="right"/>
    </xf>
    <xf numFmtId="0" fontId="20" fillId="36" borderId="0" xfId="0" applyFont="1" applyFill="1" applyAlignment="1">
      <alignment wrapText="1"/>
    </xf>
    <xf numFmtId="0" fontId="69" fillId="0" borderId="0" xfId="126" applyFont="1"/>
    <xf numFmtId="0" fontId="20" fillId="0" borderId="0" xfId="126" applyFont="1"/>
    <xf numFmtId="0" fontId="20" fillId="0" borderId="0" xfId="126" applyFont="1" applyBorder="1"/>
    <xf numFmtId="0" fontId="20" fillId="0" borderId="0" xfId="126" applyFill="1" applyAlignment="1">
      <alignment horizontal="center"/>
    </xf>
    <xf numFmtId="0" fontId="20" fillId="0" borderId="0" xfId="126"/>
    <xf numFmtId="0" fontId="24" fillId="0" borderId="0" xfId="126" applyFont="1" applyAlignment="1">
      <alignment horizontal="center"/>
    </xf>
    <xf numFmtId="0" fontId="20" fillId="0" borderId="0" xfId="126" applyBorder="1"/>
    <xf numFmtId="0" fontId="21" fillId="0" borderId="0" xfId="126" applyFont="1" applyAlignment="1">
      <alignment horizontal="right"/>
    </xf>
    <xf numFmtId="167" fontId="20" fillId="0" borderId="0" xfId="19" applyNumberFormat="1" applyFont="1"/>
    <xf numFmtId="0" fontId="20" fillId="0" borderId="0" xfId="126" applyFont="1" applyAlignment="1">
      <alignment horizontal="left" indent="1"/>
    </xf>
    <xf numFmtId="0" fontId="21" fillId="34" borderId="0" xfId="127" applyFont="1" applyFill="1"/>
    <xf numFmtId="0" fontId="20" fillId="36" borderId="0" xfId="127" applyFont="1" applyFill="1"/>
    <xf numFmtId="0" fontId="20" fillId="0" borderId="0" xfId="126" applyFill="1"/>
    <xf numFmtId="164" fontId="20" fillId="0" borderId="0" xfId="126" applyNumberFormat="1"/>
    <xf numFmtId="0" fontId="24" fillId="0" borderId="0" xfId="126" quotePrefix="1" applyFont="1" applyAlignment="1">
      <alignment horizontal="center"/>
    </xf>
    <xf numFmtId="0" fontId="20" fillId="0" borderId="0" xfId="126" applyFont="1" applyAlignment="1">
      <alignment horizontal="center"/>
    </xf>
    <xf numFmtId="0" fontId="20" fillId="0" borderId="0" xfId="126" applyAlignment="1"/>
    <xf numFmtId="0" fontId="20" fillId="0" borderId="0" xfId="126" quotePrefix="1" applyFont="1" applyBorder="1" applyAlignment="1">
      <alignment horizontal="center" wrapText="1"/>
    </xf>
    <xf numFmtId="0" fontId="20" fillId="0" borderId="0" xfId="126" applyFill="1" applyAlignment="1"/>
    <xf numFmtId="0" fontId="24" fillId="0" borderId="0" xfId="126" quotePrefix="1" applyFont="1" applyAlignment="1">
      <alignment horizontal="center" vertical="center" wrapText="1"/>
    </xf>
    <xf numFmtId="0" fontId="21" fillId="0" borderId="3" xfId="126" applyFont="1" applyFill="1" applyBorder="1" applyAlignment="1">
      <alignment horizontal="center" wrapText="1"/>
    </xf>
    <xf numFmtId="0" fontId="21" fillId="0" borderId="3" xfId="126" quotePrefix="1" applyFont="1" applyBorder="1" applyAlignment="1">
      <alignment horizontal="center" wrapText="1"/>
    </xf>
    <xf numFmtId="0" fontId="21" fillId="0" borderId="6" xfId="126" applyFont="1" applyBorder="1" applyAlignment="1">
      <alignment horizontal="center" wrapText="1"/>
    </xf>
    <xf numFmtId="0" fontId="21" fillId="0" borderId="3" xfId="126" applyFont="1" applyFill="1" applyBorder="1" applyAlignment="1">
      <alignment horizontal="center"/>
    </xf>
    <xf numFmtId="0" fontId="21" fillId="0" borderId="4" xfId="126" applyFont="1" applyBorder="1" applyAlignment="1">
      <alignment horizontal="center" wrapText="1"/>
    </xf>
    <xf numFmtId="0" fontId="21" fillId="0" borderId="3" xfId="126" applyFont="1" applyBorder="1" applyAlignment="1">
      <alignment horizontal="center" wrapText="1"/>
    </xf>
    <xf numFmtId="0" fontId="21" fillId="0" borderId="0" xfId="126" applyFont="1" applyAlignment="1">
      <alignment horizontal="center"/>
    </xf>
    <xf numFmtId="0" fontId="20" fillId="0" borderId="0" xfId="126" quotePrefix="1" applyNumberFormat="1" applyFont="1" applyAlignment="1">
      <alignment horizontal="center"/>
    </xf>
    <xf numFmtId="0" fontId="20" fillId="0" borderId="0" xfId="126" quotePrefix="1" applyNumberFormat="1" applyFont="1" applyBorder="1" applyAlignment="1">
      <alignment horizontal="center"/>
    </xf>
    <xf numFmtId="164" fontId="20" fillId="0" borderId="0" xfId="126" applyNumberFormat="1" applyFont="1"/>
    <xf numFmtId="179" fontId="20" fillId="34" borderId="0" xfId="35" quotePrefix="1" applyNumberFormat="1" applyFont="1" applyFill="1" applyAlignment="1">
      <alignment horizontal="left"/>
    </xf>
    <xf numFmtId="3" fontId="20" fillId="0" borderId="0" xfId="126" applyNumberFormat="1" applyFill="1"/>
    <xf numFmtId="3" fontId="42" fillId="0" borderId="0" xfId="129" applyNumberFormat="1" applyFill="1"/>
    <xf numFmtId="0" fontId="24" fillId="0" borderId="0" xfId="126" quotePrefix="1" applyFont="1" applyBorder="1" applyAlignment="1">
      <alignment horizontal="center"/>
    </xf>
    <xf numFmtId="2" fontId="21" fillId="0" borderId="3" xfId="126" applyNumberFormat="1" applyFont="1" applyFill="1" applyBorder="1" applyAlignment="1">
      <alignment horizontal="center" wrapText="1"/>
    </xf>
    <xf numFmtId="2" fontId="21" fillId="0" borderId="3" xfId="126" applyNumberFormat="1" applyFont="1" applyBorder="1" applyAlignment="1">
      <alignment horizontal="center" wrapText="1"/>
    </xf>
    <xf numFmtId="2" fontId="20" fillId="0" borderId="0" xfId="126" applyNumberFormat="1" applyFont="1" applyAlignment="1">
      <alignment horizontal="center" wrapText="1"/>
    </xf>
    <xf numFmtId="2" fontId="21" fillId="0" borderId="0" xfId="126" applyNumberFormat="1" applyFont="1" applyAlignment="1">
      <alignment horizontal="center"/>
    </xf>
    <xf numFmtId="2" fontId="20" fillId="0" borderId="0" xfId="126" applyNumberFormat="1" applyFont="1"/>
    <xf numFmtId="2" fontId="20" fillId="0" borderId="0" xfId="126" applyNumberFormat="1" applyFont="1" applyFill="1" applyAlignment="1">
      <alignment horizontal="center"/>
    </xf>
    <xf numFmtId="0" fontId="21" fillId="0" borderId="0" xfId="126" applyFont="1" applyAlignment="1">
      <alignment horizontal="center" vertical="center" wrapText="1"/>
    </xf>
    <xf numFmtId="0" fontId="20" fillId="0" borderId="0" xfId="126" applyFont="1" applyFill="1" applyAlignment="1">
      <alignment horizontal="center"/>
    </xf>
    <xf numFmtId="179" fontId="21" fillId="0" borderId="3" xfId="35" applyNumberFormat="1" applyFont="1" applyFill="1" applyBorder="1" applyAlignment="1">
      <alignment horizontal="center"/>
    </xf>
    <xf numFmtId="0" fontId="24" fillId="0" borderId="0" xfId="126" applyFont="1"/>
    <xf numFmtId="0" fontId="20" fillId="0" borderId="0" xfId="126" applyFont="1" applyFill="1"/>
    <xf numFmtId="0" fontId="20" fillId="0" borderId="0" xfId="126" applyAlignment="1">
      <alignment horizontal="left"/>
    </xf>
    <xf numFmtId="0" fontId="21" fillId="0" borderId="6" xfId="126" applyFont="1" applyFill="1" applyBorder="1"/>
    <xf numFmtId="0" fontId="20" fillId="0" borderId="9" xfId="126" applyFont="1" applyFill="1" applyBorder="1"/>
    <xf numFmtId="179" fontId="20" fillId="36" borderId="0" xfId="35" applyNumberFormat="1" applyFont="1" applyFill="1" applyAlignment="1">
      <alignment horizontal="left"/>
    </xf>
    <xf numFmtId="0" fontId="20" fillId="36" borderId="0" xfId="35" applyFont="1" applyFill="1" applyAlignment="1">
      <alignment horizontal="left" vertical="top" indent="1"/>
    </xf>
    <xf numFmtId="0" fontId="20" fillId="36" borderId="0" xfId="126" applyFont="1" applyFill="1"/>
    <xf numFmtId="179" fontId="20" fillId="36" borderId="0" xfId="35" quotePrefix="1" applyNumberFormat="1" applyFont="1" applyFill="1" applyAlignment="1">
      <alignment horizontal="left"/>
    </xf>
    <xf numFmtId="0" fontId="24" fillId="0" borderId="0" xfId="126" quotePrefix="1" applyFont="1" applyFill="1" applyAlignment="1">
      <alignment horizontal="center"/>
    </xf>
    <xf numFmtId="0" fontId="21" fillId="0" borderId="0" xfId="126" applyFont="1" applyAlignment="1">
      <alignment horizontal="center" vertical="center"/>
    </xf>
    <xf numFmtId="0" fontId="24" fillId="0" borderId="0" xfId="126" quotePrefix="1" applyFont="1" applyFill="1" applyAlignment="1">
      <alignment horizontal="center" vertical="center" wrapText="1"/>
    </xf>
    <xf numFmtId="0" fontId="24" fillId="0" borderId="0" xfId="126" quotePrefix="1" applyFont="1" applyAlignment="1">
      <alignment horizontal="center" wrapText="1"/>
    </xf>
    <xf numFmtId="0" fontId="24" fillId="0" borderId="0" xfId="126" quotePrefix="1" applyFont="1" applyFill="1" applyAlignment="1">
      <alignment horizontal="center" wrapText="1"/>
    </xf>
    <xf numFmtId="0" fontId="21" fillId="34" borderId="7" xfId="126" applyFont="1" applyFill="1" applyBorder="1" applyAlignment="1">
      <alignment horizontal="center" wrapText="1"/>
    </xf>
    <xf numFmtId="0" fontId="24" fillId="0" borderId="7" xfId="126" quotePrefix="1" applyFont="1" applyBorder="1" applyAlignment="1">
      <alignment horizontal="center"/>
    </xf>
    <xf numFmtId="0" fontId="21" fillId="0" borderId="5" xfId="126" applyFont="1" applyFill="1" applyBorder="1" applyAlignment="1">
      <alignment horizontal="center" wrapText="1"/>
    </xf>
    <xf numFmtId="0" fontId="21" fillId="34" borderId="11" xfId="126" applyFont="1" applyFill="1" applyBorder="1" applyAlignment="1">
      <alignment horizontal="center" wrapText="1"/>
    </xf>
    <xf numFmtId="0" fontId="21" fillId="34" borderId="10" xfId="126" applyFont="1" applyFill="1" applyBorder="1" applyAlignment="1">
      <alignment horizontal="center" wrapText="1"/>
    </xf>
    <xf numFmtId="0" fontId="21" fillId="34" borderId="5" xfId="126" applyFont="1" applyFill="1" applyBorder="1" applyAlignment="1">
      <alignment horizontal="center" wrapText="1"/>
    </xf>
    <xf numFmtId="2" fontId="20" fillId="0" borderId="0" xfId="126" applyNumberFormat="1" applyFont="1" applyBorder="1"/>
    <xf numFmtId="164" fontId="51" fillId="0" borderId="0" xfId="135" applyNumberFormat="1" applyFont="1" applyFill="1"/>
    <xf numFmtId="164" fontId="71" fillId="0" borderId="0" xfId="135" applyNumberFormat="1" applyFont="1" applyFill="1"/>
    <xf numFmtId="164" fontId="27" fillId="0" borderId="0" xfId="0" applyNumberFormat="1" applyFont="1" applyFill="1" applyBorder="1"/>
    <xf numFmtId="0" fontId="22" fillId="0" borderId="0" xfId="0" applyFont="1" applyFill="1" applyAlignment="1">
      <alignment horizontal="center"/>
    </xf>
    <xf numFmtId="164" fontId="56" fillId="0" borderId="0" xfId="135" applyNumberFormat="1" applyFont="1" applyFill="1"/>
    <xf numFmtId="0" fontId="20" fillId="0" borderId="0" xfId="28" applyNumberFormat="1" applyFont="1" applyFill="1" applyAlignment="1">
      <alignment horizontal="center" vertical="center"/>
    </xf>
    <xf numFmtId="167" fontId="20" fillId="0" borderId="0" xfId="28" applyNumberFormat="1" applyFont="1" applyFill="1"/>
    <xf numFmtId="43" fontId="20" fillId="0" borderId="0" xfId="0" applyNumberFormat="1" applyFont="1"/>
    <xf numFmtId="0" fontId="20" fillId="0" borderId="0" xfId="0" applyNumberFormat="1" applyFont="1"/>
    <xf numFmtId="0" fontId="20" fillId="0" borderId="0" xfId="28" applyFont="1" applyAlignment="1">
      <alignment horizontal="center"/>
    </xf>
    <xf numFmtId="167" fontId="20" fillId="0" borderId="0" xfId="22" applyNumberFormat="1" applyFont="1"/>
    <xf numFmtId="167" fontId="20" fillId="0" borderId="0" xfId="28" applyNumberFormat="1" applyFont="1"/>
    <xf numFmtId="164" fontId="20" fillId="0" borderId="0" xfId="28" applyNumberFormat="1" applyFont="1" applyFill="1" applyBorder="1"/>
    <xf numFmtId="164" fontId="20" fillId="0" borderId="0" xfId="28" applyNumberFormat="1" applyFont="1" applyBorder="1" applyAlignment="1">
      <alignment horizontal="center"/>
    </xf>
    <xf numFmtId="164" fontId="20" fillId="0" borderId="0" xfId="28" applyNumberFormat="1" applyFont="1" applyFill="1" applyBorder="1" applyAlignment="1">
      <alignment horizontal="center"/>
    </xf>
    <xf numFmtId="0" fontId="20" fillId="36" borderId="0" xfId="28" applyFont="1" applyFill="1"/>
    <xf numFmtId="167" fontId="20" fillId="36" borderId="0" xfId="28" quotePrefix="1" applyNumberFormat="1" applyFont="1" applyFill="1" applyBorder="1" applyAlignment="1">
      <alignment horizontal="center"/>
    </xf>
    <xf numFmtId="167" fontId="20" fillId="0" borderId="8" xfId="28" applyNumberFormat="1" applyFont="1" applyBorder="1" applyAlignment="1">
      <alignment horizontal="center"/>
    </xf>
    <xf numFmtId="164" fontId="20" fillId="0" borderId="8" xfId="28" applyNumberFormat="1" applyFont="1" applyFill="1" applyBorder="1" applyAlignment="1">
      <alignment horizontal="center"/>
    </xf>
    <xf numFmtId="5" fontId="20" fillId="0" borderId="8" xfId="28" quotePrefix="1" applyNumberFormat="1" applyFont="1" applyFill="1" applyBorder="1" applyAlignment="1">
      <alignment horizontal="right"/>
    </xf>
    <xf numFmtId="5" fontId="20" fillId="0" borderId="8" xfId="28" applyNumberFormat="1" applyFont="1" applyBorder="1"/>
    <xf numFmtId="164" fontId="20" fillId="0" borderId="0" xfId="22" applyNumberFormat="1" applyFont="1" applyFill="1" applyBorder="1"/>
    <xf numFmtId="164" fontId="20" fillId="0" borderId="0" xfId="22" applyNumberFormat="1" applyFont="1" applyFill="1" applyBorder="1" applyAlignment="1">
      <alignment horizontal="center"/>
    </xf>
    <xf numFmtId="164" fontId="20" fillId="0" borderId="0" xfId="22" applyNumberFormat="1" applyFont="1" applyBorder="1"/>
    <xf numFmtId="0" fontId="20" fillId="0" borderId="0" xfId="28" applyFont="1" applyFill="1" applyBorder="1"/>
    <xf numFmtId="167" fontId="20" fillId="0" borderId="0" xfId="22" applyNumberFormat="1" applyFont="1" applyFill="1" applyBorder="1"/>
    <xf numFmtId="0" fontId="20" fillId="0" borderId="0" xfId="22" applyNumberFormat="1" applyFont="1" applyFill="1" applyBorder="1" applyAlignment="1">
      <alignment horizontal="center"/>
    </xf>
    <xf numFmtId="167" fontId="20" fillId="0" borderId="0" xfId="28" applyNumberFormat="1" applyFont="1" applyBorder="1" applyAlignment="1">
      <alignment horizontal="center"/>
    </xf>
    <xf numFmtId="167" fontId="20" fillId="0" borderId="0" xfId="22" applyNumberFormat="1" applyFont="1" applyBorder="1"/>
    <xf numFmtId="167" fontId="20" fillId="0" borderId="0" xfId="22" applyNumberFormat="1" applyFont="1" applyFill="1" applyBorder="1" applyAlignment="1">
      <alignment horizontal="center"/>
    </xf>
    <xf numFmtId="167" fontId="20" fillId="0" borderId="0" xfId="28" applyNumberFormat="1" applyFont="1" applyFill="1" applyBorder="1"/>
    <xf numFmtId="167" fontId="20" fillId="0" borderId="8" xfId="28" applyNumberFormat="1" applyFont="1" applyFill="1" applyBorder="1" applyAlignment="1">
      <alignment horizontal="center"/>
    </xf>
    <xf numFmtId="167" fontId="20" fillId="0" borderId="8" xfId="28" quotePrefix="1" applyNumberFormat="1" applyFont="1" applyFill="1" applyBorder="1" applyAlignment="1">
      <alignment horizontal="center"/>
    </xf>
    <xf numFmtId="167" fontId="20" fillId="0" borderId="8" xfId="28" applyNumberFormat="1" applyFont="1" applyBorder="1"/>
    <xf numFmtId="0" fontId="20" fillId="0" borderId="0" xfId="22" applyNumberFormat="1" applyFont="1" applyFill="1" applyBorder="1"/>
    <xf numFmtId="0" fontId="20" fillId="0" borderId="0" xfId="28" applyNumberFormat="1" applyFont="1" applyFill="1" applyBorder="1"/>
    <xf numFmtId="0" fontId="20" fillId="0" borderId="0" xfId="28" applyFont="1" applyBorder="1" applyAlignment="1">
      <alignment horizontal="center"/>
    </xf>
    <xf numFmtId="167" fontId="20" fillId="0" borderId="0" xfId="28" applyNumberFormat="1" applyFont="1" applyFill="1" applyBorder="1" applyAlignment="1"/>
    <xf numFmtId="164" fontId="20" fillId="0" borderId="0" xfId="28" applyNumberFormat="1" applyFont="1" applyFill="1" applyBorder="1" applyAlignment="1">
      <alignment vertical="top" wrapText="1"/>
    </xf>
    <xf numFmtId="167" fontId="20" fillId="0" borderId="0" xfId="22" applyNumberFormat="1" applyFont="1" applyFill="1" applyBorder="1" applyAlignment="1">
      <alignment horizontal="center" wrapText="1"/>
    </xf>
    <xf numFmtId="0" fontId="20" fillId="0" borderId="0" xfId="0" quotePrefix="1" applyFont="1" applyFill="1" applyAlignment="1"/>
    <xf numFmtId="167" fontId="20" fillId="0" borderId="0" xfId="22" applyNumberFormat="1" applyFont="1" applyFill="1" applyBorder="1" applyAlignment="1"/>
    <xf numFmtId="167" fontId="20" fillId="0" borderId="8" xfId="28" applyNumberFormat="1" applyFont="1" applyFill="1" applyBorder="1"/>
    <xf numFmtId="171" fontId="20" fillId="0" borderId="8" xfId="37" applyNumberFormat="1" applyFont="1" applyFill="1" applyBorder="1" applyAlignment="1">
      <alignment horizontal="center" wrapText="1"/>
    </xf>
    <xf numFmtId="167" fontId="20" fillId="0" borderId="8" xfId="22" applyNumberFormat="1" applyFont="1" applyFill="1" applyBorder="1" applyAlignment="1">
      <alignment horizontal="center" wrapText="1"/>
    </xf>
    <xf numFmtId="0" fontId="20" fillId="0" borderId="0" xfId="39" applyNumberFormat="1" applyFont="1" applyFill="1" applyBorder="1" applyAlignment="1">
      <alignment horizontal="center" wrapText="1"/>
    </xf>
    <xf numFmtId="171" fontId="20" fillId="0" borderId="0" xfId="39" applyNumberFormat="1" applyFont="1" applyFill="1" applyBorder="1" applyAlignment="1">
      <alignment horizontal="center" wrapText="1"/>
    </xf>
    <xf numFmtId="0" fontId="20" fillId="0" borderId="0" xfId="28" applyFont="1" applyAlignment="1">
      <alignment vertical="justify"/>
    </xf>
    <xf numFmtId="167" fontId="20" fillId="0" borderId="0" xfId="28" applyNumberFormat="1" applyFont="1" applyBorder="1" applyAlignment="1">
      <alignment vertical="justify"/>
    </xf>
    <xf numFmtId="0" fontId="20" fillId="0" borderId="0" xfId="28" applyNumberFormat="1" applyFont="1" applyFill="1"/>
    <xf numFmtId="0" fontId="20" fillId="0" borderId="0" xfId="28" applyFont="1" applyFill="1" applyBorder="1" applyAlignment="1">
      <alignment vertical="top"/>
    </xf>
    <xf numFmtId="0" fontId="20" fillId="0" borderId="0" xfId="28" applyFont="1" applyFill="1" applyAlignment="1">
      <alignment horizontal="center"/>
    </xf>
    <xf numFmtId="167" fontId="20" fillId="0" borderId="0" xfId="22" applyNumberFormat="1" applyFont="1" applyFill="1"/>
    <xf numFmtId="0" fontId="20" fillId="0" borderId="0" xfId="28" applyFont="1" applyFill="1" applyBorder="1" applyAlignment="1">
      <alignment vertical="top" wrapText="1"/>
    </xf>
    <xf numFmtId="0" fontId="20" fillId="0" borderId="0" xfId="28" applyFont="1" applyFill="1" applyBorder="1" applyAlignment="1" applyProtection="1">
      <alignment horizontal="left" vertical="top" indent="1"/>
      <protection locked="0"/>
    </xf>
    <xf numFmtId="0" fontId="20" fillId="0" borderId="0" xfId="28" applyFont="1" applyFill="1" applyAlignment="1">
      <alignment horizontal="left" indent="1"/>
    </xf>
    <xf numFmtId="165" fontId="20" fillId="0" borderId="0" xfId="28" applyNumberFormat="1" applyFont="1" applyFill="1"/>
    <xf numFmtId="0" fontId="24" fillId="0" borderId="0" xfId="0" applyFont="1" applyFill="1"/>
    <xf numFmtId="10" fontId="20" fillId="0" borderId="0" xfId="0" applyNumberFormat="1" applyFont="1"/>
    <xf numFmtId="0" fontId="20"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0" fontId="20" fillId="0" borderId="0" xfId="0" applyFont="1" applyFill="1" applyAlignment="1">
      <alignment horizontal="left"/>
    </xf>
    <xf numFmtId="0" fontId="20" fillId="0" borderId="0" xfId="0" applyFont="1" applyFill="1" applyAlignment="1">
      <alignment horizontal="right"/>
    </xf>
    <xf numFmtId="0" fontId="20" fillId="0" borderId="0" xfId="0" quotePrefix="1" applyFont="1" applyFill="1" applyAlignment="1">
      <alignment horizontal="right"/>
    </xf>
    <xf numFmtId="168" fontId="0" fillId="0" borderId="0" xfId="0" applyNumberFormat="1" applyFill="1"/>
    <xf numFmtId="0" fontId="20" fillId="0" borderId="0" xfId="0" applyFont="1" applyFill="1" applyAlignment="1">
      <alignment horizontal="left" indent="2"/>
    </xf>
    <xf numFmtId="0" fontId="20" fillId="0" borderId="0" xfId="0" quotePrefix="1" applyFont="1" applyFill="1" applyAlignment="1">
      <alignment horizontal="left" indent="2"/>
    </xf>
    <xf numFmtId="0" fontId="20" fillId="0" borderId="0" xfId="0" applyFont="1" applyFill="1" applyAlignment="1">
      <alignment horizontal="left" indent="3"/>
    </xf>
    <xf numFmtId="0" fontId="52" fillId="0" borderId="0" xfId="0" applyFont="1" applyFill="1" applyAlignment="1">
      <alignment horizontal="left"/>
    </xf>
    <xf numFmtId="0" fontId="20" fillId="0" borderId="0" xfId="0" quotePrefix="1" applyFont="1" applyFill="1" applyAlignment="1">
      <alignment horizontal="left" indent="1"/>
    </xf>
    <xf numFmtId="0" fontId="27" fillId="0" borderId="0" xfId="0" applyFont="1" applyFill="1" applyAlignment="1">
      <alignment horizontal="left"/>
    </xf>
    <xf numFmtId="0" fontId="21" fillId="0" borderId="0" xfId="0" applyNumberFormat="1" applyFont="1" applyFill="1" applyAlignment="1">
      <alignment horizontal="left"/>
    </xf>
    <xf numFmtId="0" fontId="20" fillId="0" borderId="0" xfId="0" applyFont="1" applyFill="1" applyAlignment="1"/>
    <xf numFmtId="0" fontId="21" fillId="0" borderId="0" xfId="0" quotePrefix="1" applyFont="1" applyFill="1" applyAlignment="1">
      <alignment horizontal="center"/>
    </xf>
    <xf numFmtId="10" fontId="20" fillId="0" borderId="0" xfId="0" quotePrefix="1" applyNumberFormat="1" applyFont="1" applyFill="1" applyAlignment="1">
      <alignment horizontal="right"/>
    </xf>
    <xf numFmtId="3" fontId="0" fillId="0" borderId="0" xfId="0" applyNumberFormat="1" applyFill="1" applyAlignment="1">
      <alignment horizontal="center"/>
    </xf>
    <xf numFmtId="0" fontId="51" fillId="0" borderId="0" xfId="0" applyFont="1" applyFill="1"/>
    <xf numFmtId="0" fontId="53" fillId="36" borderId="0" xfId="0" quotePrefix="1" applyFont="1" applyFill="1" applyAlignment="1">
      <alignment horizontal="center"/>
    </xf>
    <xf numFmtId="0" fontId="52" fillId="0" borderId="0" xfId="0" applyFont="1" applyFill="1" applyAlignment="1">
      <alignment horizontal="right"/>
    </xf>
    <xf numFmtId="0" fontId="65" fillId="0" borderId="0" xfId="0" applyFont="1" applyFill="1" applyAlignment="1">
      <alignment horizontal="left" vertical="center"/>
    </xf>
    <xf numFmtId="0" fontId="21" fillId="0" borderId="0" xfId="34" applyFont="1" applyFill="1"/>
    <xf numFmtId="0" fontId="20" fillId="0" borderId="0" xfId="34" applyFont="1" applyFill="1" applyAlignment="1">
      <alignment horizontal="right"/>
    </xf>
    <xf numFmtId="0" fontId="54" fillId="0" borderId="0" xfId="0" applyFont="1" applyFill="1" applyAlignment="1">
      <alignment horizontal="left" indent="1"/>
    </xf>
    <xf numFmtId="0" fontId="20" fillId="0" borderId="0" xfId="100" applyFont="1" applyFill="1" applyAlignment="1">
      <alignment horizontal="left" indent="1"/>
    </xf>
    <xf numFmtId="0" fontId="53" fillId="0" borderId="0" xfId="0" applyFont="1" applyFill="1"/>
    <xf numFmtId="0" fontId="52" fillId="0" borderId="0" xfId="0" quotePrefix="1" applyFont="1" applyFill="1" applyAlignment="1">
      <alignment horizontal="center"/>
    </xf>
    <xf numFmtId="0" fontId="20" fillId="0" borderId="0" xfId="0" applyFont="1" applyFill="1" applyBorder="1" applyAlignment="1">
      <alignment horizontal="left" indent="1"/>
    </xf>
    <xf numFmtId="0" fontId="0" fillId="0" borderId="0" xfId="0" quotePrefix="1" applyFill="1"/>
    <xf numFmtId="0" fontId="20" fillId="0" borderId="0" xfId="100" applyFont="1" applyFill="1" applyBorder="1" applyAlignment="1"/>
    <xf numFmtId="164" fontId="0" fillId="0" borderId="0" xfId="0" applyNumberFormat="1" applyFill="1" applyAlignment="1">
      <alignment horizontal="right"/>
    </xf>
    <xf numFmtId="2" fontId="0" fillId="0" borderId="0" xfId="0" applyNumberFormat="1" applyFill="1"/>
    <xf numFmtId="164" fontId="21" fillId="0" borderId="0" xfId="100" applyNumberFormat="1" applyFont="1" applyFill="1"/>
    <xf numFmtId="10" fontId="20" fillId="0" borderId="0" xfId="37" applyNumberFormat="1" applyFont="1" applyFill="1" applyAlignment="1">
      <alignment horizontal="center"/>
    </xf>
    <xf numFmtId="5" fontId="20" fillId="0" borderId="0" xfId="100" applyNumberFormat="1" applyFill="1"/>
    <xf numFmtId="166" fontId="52" fillId="0" borderId="0" xfId="0" applyNumberFormat="1" applyFont="1" applyFill="1"/>
    <xf numFmtId="167" fontId="20" fillId="0" borderId="0" xfId="28" applyNumberFormat="1" applyFont="1" applyFill="1" applyBorder="1" applyAlignment="1">
      <alignment horizontal="center"/>
    </xf>
    <xf numFmtId="0" fontId="24" fillId="0" borderId="0" xfId="0" quotePrefix="1" applyFont="1" applyFill="1" applyAlignment="1">
      <alignment horizontal="center" vertical="top"/>
    </xf>
    <xf numFmtId="0" fontId="21" fillId="0" borderId="7" xfId="28" applyFont="1" applyFill="1" applyBorder="1" applyAlignment="1">
      <alignment horizontal="center"/>
    </xf>
    <xf numFmtId="0" fontId="20" fillId="0" borderId="0" xfId="28" quotePrefix="1" applyFont="1" applyFill="1"/>
    <xf numFmtId="0" fontId="20" fillId="0" borderId="0" xfId="28" applyFont="1" applyFill="1" applyBorder="1" applyAlignment="1" applyProtection="1">
      <alignment horizontal="left" indent="2"/>
      <protection locked="0"/>
    </xf>
    <xf numFmtId="0" fontId="20" fillId="0" borderId="0" xfId="28" applyFont="1" applyFill="1" applyAlignment="1">
      <alignment horizontal="right"/>
    </xf>
    <xf numFmtId="10" fontId="20" fillId="0" borderId="0" xfId="28" applyNumberFormat="1" applyFont="1" applyFill="1"/>
    <xf numFmtId="0" fontId="64" fillId="0" borderId="0" xfId="0" applyFont="1" applyFill="1"/>
    <xf numFmtId="0" fontId="20" fillId="0" borderId="0" xfId="100" applyFont="1" applyFill="1" applyAlignment="1">
      <alignment horizontal="left"/>
    </xf>
    <xf numFmtId="37" fontId="20" fillId="0" borderId="3" xfId="0" applyNumberFormat="1" applyFont="1" applyFill="1" applyBorder="1" applyAlignment="1">
      <alignment horizontal="center"/>
    </xf>
    <xf numFmtId="37" fontId="20" fillId="0" borderId="3" xfId="97" quotePrefix="1" applyNumberFormat="1" applyFont="1" applyFill="1" applyBorder="1" applyAlignment="1">
      <alignment horizontal="center"/>
    </xf>
    <xf numFmtId="0" fontId="20" fillId="0" borderId="3" xfId="0" quotePrefix="1" applyNumberFormat="1" applyFont="1" applyFill="1" applyBorder="1"/>
    <xf numFmtId="0" fontId="20" fillId="0" borderId="3" xfId="0" quotePrefix="1" applyNumberFormat="1" applyFont="1" applyFill="1" applyBorder="1" applyAlignment="1">
      <alignment horizontal="center"/>
    </xf>
    <xf numFmtId="49" fontId="20" fillId="0" borderId="0" xfId="22" applyNumberFormat="1" applyFont="1" applyFill="1" applyBorder="1" applyAlignment="1">
      <alignment horizontal="left"/>
    </xf>
    <xf numFmtId="39" fontId="20" fillId="0" borderId="0" xfId="22" applyNumberFormat="1" applyFont="1" applyFill="1" applyBorder="1" applyAlignment="1">
      <alignment horizontal="right"/>
    </xf>
    <xf numFmtId="0" fontId="24" fillId="0" borderId="0" xfId="108" applyFont="1" applyFill="1" applyAlignment="1">
      <alignment horizontal="center"/>
    </xf>
    <xf numFmtId="0" fontId="24" fillId="0" borderId="0" xfId="108" applyFont="1" applyFill="1" applyAlignment="1">
      <alignment horizontal="left"/>
    </xf>
    <xf numFmtId="0" fontId="50" fillId="0" borderId="0" xfId="0" applyFont="1" applyFill="1"/>
    <xf numFmtId="0" fontId="21" fillId="0" borderId="0" xfId="108" applyFont="1" applyFill="1" applyAlignment="1"/>
    <xf numFmtId="0" fontId="24" fillId="0" borderId="0" xfId="108" applyFont="1" applyFill="1" applyAlignment="1"/>
    <xf numFmtId="0" fontId="20" fillId="0" borderId="0" xfId="108" applyFont="1" applyFill="1" applyAlignment="1">
      <alignment horizontal="left" indent="1"/>
    </xf>
    <xf numFmtId="0" fontId="21" fillId="0" borderId="0" xfId="0" applyFont="1" applyFill="1" applyAlignment="1">
      <alignment horizontal="left" indent="2"/>
    </xf>
    <xf numFmtId="0" fontId="50" fillId="0" borderId="0" xfId="0" applyFont="1" applyFill="1" applyAlignment="1">
      <alignment horizontal="center"/>
    </xf>
    <xf numFmtId="0" fontId="53" fillId="0" borderId="0" xfId="0" applyFont="1" applyFill="1" applyAlignment="1">
      <alignment horizontal="left" indent="1"/>
    </xf>
    <xf numFmtId="0" fontId="52" fillId="0" borderId="0" xfId="0" quotePrefix="1" applyFont="1" applyFill="1"/>
    <xf numFmtId="0" fontId="21" fillId="0" borderId="0" xfId="0" applyFont="1" applyFill="1" applyAlignment="1">
      <alignment horizontal="left" indent="1"/>
    </xf>
    <xf numFmtId="164" fontId="20" fillId="0" borderId="0" xfId="0" applyNumberFormat="1" applyFont="1" applyFill="1" applyAlignment="1"/>
    <xf numFmtId="0" fontId="53" fillId="0" borderId="0" xfId="0" applyFont="1" applyFill="1" applyAlignment="1">
      <alignment horizontal="left"/>
    </xf>
    <xf numFmtId="0" fontId="20" fillId="0" borderId="0" xfId="0" applyFont="1" applyFill="1" applyBorder="1" applyAlignment="1">
      <alignment horizontal="left"/>
    </xf>
    <xf numFmtId="171" fontId="0" fillId="0" borderId="0" xfId="0" applyNumberFormat="1" applyFill="1"/>
    <xf numFmtId="0" fontId="24" fillId="0" borderId="0" xfId="0" applyFont="1" applyFill="1" applyAlignment="1"/>
    <xf numFmtId="172" fontId="0" fillId="0" borderId="0" xfId="0" applyNumberFormat="1" applyFill="1"/>
    <xf numFmtId="0" fontId="21" fillId="0" borderId="0" xfId="28" applyFont="1" applyFill="1" applyAlignment="1">
      <alignment horizontal="right"/>
    </xf>
    <xf numFmtId="0" fontId="35" fillId="0" borderId="0" xfId="28" applyFont="1" applyFill="1" applyAlignment="1">
      <alignment vertical="center"/>
    </xf>
    <xf numFmtId="164" fontId="20" fillId="0" borderId="0" xfId="106" applyNumberFormat="1" applyFont="1" applyFill="1"/>
    <xf numFmtId="0" fontId="30" fillId="0" borderId="0" xfId="100" applyFont="1" applyFill="1"/>
    <xf numFmtId="0" fontId="21" fillId="0" borderId="0" xfId="28" applyFont="1" applyFill="1" applyAlignment="1">
      <alignment horizontal="center" wrapText="1"/>
    </xf>
    <xf numFmtId="0" fontId="24" fillId="0" borderId="0" xfId="28" applyFont="1" applyFill="1"/>
    <xf numFmtId="164" fontId="20" fillId="0" borderId="0" xfId="28" applyNumberFormat="1" applyFont="1" applyFill="1"/>
    <xf numFmtId="0" fontId="20" fillId="0" borderId="0" xfId="28" applyFont="1" applyFill="1" applyAlignment="1">
      <alignment vertical="center"/>
    </xf>
    <xf numFmtId="0" fontId="30" fillId="0" borderId="0" xfId="28" applyFont="1" applyFill="1"/>
    <xf numFmtId="164" fontId="20" fillId="0" borderId="8" xfId="96" applyNumberFormat="1" applyFont="1" applyBorder="1"/>
    <xf numFmtId="17" fontId="20" fillId="36" borderId="0" xfId="100" quotePrefix="1" applyNumberFormat="1" applyFont="1" applyFill="1" applyBorder="1" applyAlignment="1">
      <alignment horizontal="left"/>
    </xf>
    <xf numFmtId="0" fontId="20"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42" fontId="20" fillId="0" borderId="0" xfId="0" applyNumberFormat="1" applyFont="1"/>
    <xf numFmtId="164" fontId="20" fillId="36" borderId="0" xfId="0" applyNumberFormat="1" applyFont="1" applyFill="1" applyAlignment="1">
      <alignment wrapText="1"/>
    </xf>
    <xf numFmtId="164" fontId="20" fillId="36" borderId="0" xfId="19" applyNumberFormat="1" applyFont="1" applyFill="1" applyBorder="1" applyAlignment="1">
      <alignment wrapText="1"/>
    </xf>
    <xf numFmtId="167" fontId="52" fillId="36" borderId="0" xfId="133" applyNumberFormat="1" applyFont="1" applyFill="1"/>
    <xf numFmtId="167" fontId="52" fillId="36" borderId="0" xfId="133" applyNumberFormat="1" applyFont="1" applyFill="1" applyBorder="1"/>
    <xf numFmtId="3" fontId="20" fillId="36" borderId="0" xfId="128" applyNumberFormat="1" applyFont="1" applyFill="1"/>
    <xf numFmtId="3" fontId="20" fillId="36" borderId="0" xfId="129" applyNumberFormat="1" applyFont="1" applyFill="1"/>
    <xf numFmtId="3" fontId="20" fillId="36" borderId="0" xfId="130" applyNumberFormat="1" applyFont="1" applyFill="1"/>
    <xf numFmtId="3" fontId="20" fillId="36" borderId="0" xfId="126" applyNumberFormat="1" applyFont="1" applyFill="1" applyBorder="1"/>
    <xf numFmtId="3" fontId="20" fillId="36" borderId="0" xfId="128" applyNumberFormat="1" applyFont="1" applyFill="1" applyBorder="1"/>
    <xf numFmtId="3" fontId="20" fillId="36" borderId="0" xfId="129" applyNumberFormat="1" applyFont="1" applyFill="1" applyBorder="1"/>
    <xf numFmtId="3" fontId="20" fillId="36" borderId="0" xfId="130" applyNumberFormat="1" applyFont="1" applyFill="1" applyBorder="1"/>
    <xf numFmtId="3" fontId="20" fillId="36" borderId="0" xfId="128" applyNumberFormat="1" applyFont="1" applyFill="1" applyAlignment="1">
      <alignment horizontal="center"/>
    </xf>
    <xf numFmtId="3" fontId="20" fillId="36" borderId="0" xfId="129" applyNumberFormat="1" applyFont="1" applyFill="1" applyAlignment="1">
      <alignment horizontal="center"/>
    </xf>
    <xf numFmtId="3" fontId="20" fillId="36" borderId="0" xfId="130" applyNumberFormat="1" applyFont="1" applyFill="1" applyAlignment="1">
      <alignment horizontal="center"/>
    </xf>
    <xf numFmtId="164" fontId="20" fillId="36" borderId="0" xfId="255" applyNumberFormat="1" applyFont="1" applyFill="1" applyAlignment="1">
      <alignment horizontal="right"/>
    </xf>
    <xf numFmtId="5" fontId="20" fillId="36" borderId="0" xfId="22" applyNumberFormat="1" applyFont="1" applyFill="1" applyBorder="1"/>
    <xf numFmtId="3" fontId="0" fillId="36" borderId="0" xfId="0" applyNumberFormat="1" applyFill="1"/>
    <xf numFmtId="0" fontId="20" fillId="36" borderId="0" xfId="100" applyFont="1" applyFill="1"/>
    <xf numFmtId="164" fontId="20" fillId="36" borderId="0" xfId="100" applyNumberFormat="1" applyFont="1" applyFill="1"/>
    <xf numFmtId="0" fontId="0" fillId="0" borderId="0" xfId="0"/>
    <xf numFmtId="0" fontId="52" fillId="36" borderId="0" xfId="0" applyFont="1" applyFill="1"/>
    <xf numFmtId="0" fontId="20" fillId="36" borderId="0" xfId="0" applyFont="1" applyFill="1"/>
    <xf numFmtId="0" fontId="21" fillId="36" borderId="0" xfId="0" applyFont="1" applyFill="1" applyAlignment="1">
      <alignment horizontal="center"/>
    </xf>
    <xf numFmtId="164" fontId="52" fillId="36" borderId="0" xfId="0" applyNumberFormat="1" applyFont="1" applyFill="1"/>
    <xf numFmtId="170" fontId="20" fillId="36" borderId="0" xfId="100" applyNumberFormat="1" applyFont="1" applyFill="1" applyAlignment="1">
      <alignment horizontal="center"/>
    </xf>
    <xf numFmtId="164" fontId="20" fillId="36" borderId="0" xfId="96" applyNumberFormat="1" applyFont="1" applyFill="1" applyBorder="1"/>
    <xf numFmtId="164" fontId="52" fillId="36" borderId="0" xfId="125" applyNumberFormat="1" applyFont="1" applyFill="1"/>
    <xf numFmtId="0" fontId="52" fillId="36" borderId="0" xfId="125" applyFont="1" applyFill="1"/>
    <xf numFmtId="170" fontId="20" fillId="36" borderId="0" xfId="125" quotePrefix="1" applyNumberFormat="1" applyFont="1" applyFill="1" applyAlignment="1">
      <alignment horizontal="center"/>
    </xf>
    <xf numFmtId="0" fontId="20" fillId="36" borderId="0" xfId="125" applyFont="1" applyFill="1"/>
    <xf numFmtId="164" fontId="52" fillId="36" borderId="0" xfId="96" applyNumberFormat="1" applyFont="1" applyFill="1" applyBorder="1"/>
    <xf numFmtId="0" fontId="20" fillId="36" borderId="0" xfId="125" applyFont="1" applyFill="1" applyBorder="1" applyProtection="1"/>
    <xf numFmtId="164" fontId="65" fillId="36" borderId="0" xfId="0" applyNumberFormat="1" applyFont="1" applyFill="1"/>
    <xf numFmtId="172" fontId="20" fillId="34" borderId="0" xfId="0" applyNumberFormat="1" applyFont="1" applyFill="1" applyAlignment="1">
      <alignment wrapText="1"/>
    </xf>
    <xf numFmtId="0" fontId="20" fillId="36" borderId="0" xfId="0" applyFont="1" applyFill="1" applyAlignment="1"/>
    <xf numFmtId="37" fontId="20" fillId="36" borderId="3" xfId="97" quotePrefix="1" applyNumberFormat="1" applyFont="1" applyFill="1" applyBorder="1" applyAlignment="1">
      <alignment horizontal="center"/>
    </xf>
    <xf numFmtId="37" fontId="20"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0" fillId="34" borderId="0" xfId="0" applyNumberFormat="1" applyFont="1" applyFill="1"/>
    <xf numFmtId="164" fontId="20" fillId="0" borderId="0" xfId="100" applyNumberFormat="1" applyFont="1" applyFill="1" applyBorder="1" applyAlignment="1">
      <alignment horizontal="right"/>
    </xf>
    <xf numFmtId="164" fontId="20" fillId="0" borderId="14" xfId="96" applyNumberFormat="1" applyFont="1" applyFill="1" applyBorder="1"/>
    <xf numFmtId="164" fontId="20" fillId="36" borderId="0" xfId="0" applyNumberFormat="1" applyFont="1" applyFill="1" applyBorder="1"/>
    <xf numFmtId="0" fontId="24" fillId="0" borderId="0" xfId="0" applyFont="1" applyFill="1" applyBorder="1"/>
    <xf numFmtId="164" fontId="27" fillId="36" borderId="0" xfId="0" applyNumberFormat="1" applyFont="1" applyFill="1" applyBorder="1" applyAlignment="1"/>
    <xf numFmtId="0" fontId="21" fillId="0" borderId="0" xfId="0" applyFont="1" applyBorder="1"/>
    <xf numFmtId="164" fontId="0" fillId="0" borderId="0" xfId="0" applyNumberFormat="1" applyBorder="1" applyAlignment="1"/>
    <xf numFmtId="0" fontId="20" fillId="0" borderId="0" xfId="0" applyFont="1" applyBorder="1" applyAlignment="1">
      <alignment horizontal="left" indent="1"/>
    </xf>
    <xf numFmtId="0" fontId="20" fillId="36" borderId="0" xfId="0" applyFont="1" applyFill="1" applyBorder="1"/>
    <xf numFmtId="0" fontId="20" fillId="0" borderId="0" xfId="0" applyFont="1" applyBorder="1" applyAlignment="1">
      <alignment horizontal="right"/>
    </xf>
    <xf numFmtId="0" fontId="0" fillId="36" borderId="0" xfId="0" applyFill="1" applyBorder="1"/>
    <xf numFmtId="164" fontId="20" fillId="36" borderId="0" xfId="0" applyNumberFormat="1" applyFont="1" applyFill="1" applyBorder="1" applyAlignment="1">
      <alignment horizontal="right"/>
    </xf>
    <xf numFmtId="181" fontId="21" fillId="36" borderId="0" xfId="19" applyNumberFormat="1" applyFont="1" applyFill="1" applyAlignment="1">
      <alignment horizontal="center"/>
    </xf>
    <xf numFmtId="164" fontId="52" fillId="36" borderId="0" xfId="125" applyNumberFormat="1" applyFont="1" applyFill="1" applyBorder="1"/>
    <xf numFmtId="164" fontId="52" fillId="36" borderId="0" xfId="0" applyNumberFormat="1" applyFont="1" applyFill="1" applyBorder="1"/>
    <xf numFmtId="0" fontId="21" fillId="36" borderId="0" xfId="0" applyFont="1" applyFill="1" applyBorder="1" applyAlignment="1">
      <alignment horizontal="center"/>
    </xf>
    <xf numFmtId="170" fontId="20" fillId="36" borderId="0" xfId="0" quotePrefix="1" applyNumberFormat="1" applyFont="1" applyFill="1" applyBorder="1" applyAlignment="1" applyProtection="1">
      <alignment horizontal="center"/>
    </xf>
    <xf numFmtId="0" fontId="52" fillId="36" borderId="0" xfId="125" applyFont="1" applyFill="1" applyBorder="1"/>
    <xf numFmtId="164" fontId="0" fillId="34" borderId="0" xfId="0" applyNumberFormat="1" applyFill="1" applyBorder="1"/>
    <xf numFmtId="10" fontId="20" fillId="0" borderId="0" xfId="0" applyNumberFormat="1" applyFont="1" applyAlignment="1">
      <alignment horizontal="right" wrapText="1"/>
    </xf>
    <xf numFmtId="0" fontId="51" fillId="0" borderId="0" xfId="126" applyFont="1" applyFill="1" applyAlignment="1">
      <alignment horizontal="center"/>
    </xf>
    <xf numFmtId="0" fontId="20" fillId="0" borderId="5" xfId="126" applyFont="1" applyFill="1" applyBorder="1" applyAlignment="1">
      <alignment horizontal="center" wrapText="1"/>
    </xf>
    <xf numFmtId="0" fontId="20" fillId="0" borderId="0" xfId="126" applyFont="1" applyFill="1" applyAlignment="1">
      <alignment horizontal="center" wrapText="1"/>
    </xf>
    <xf numFmtId="9" fontId="20" fillId="0" borderId="0" xfId="37" applyFont="1" applyFill="1"/>
    <xf numFmtId="0" fontId="159" fillId="0" borderId="0" xfId="126" applyFont="1" applyFill="1" applyAlignment="1">
      <alignment horizontal="center"/>
    </xf>
    <xf numFmtId="0" fontId="20" fillId="0" borderId="0" xfId="126" applyFont="1" applyFill="1" applyAlignment="1">
      <alignment horizontal="left"/>
    </xf>
    <xf numFmtId="179" fontId="20" fillId="36" borderId="0" xfId="35" applyNumberFormat="1" applyFont="1" applyFill="1" applyBorder="1" applyAlignment="1">
      <alignment horizontal="left"/>
    </xf>
    <xf numFmtId="0" fontId="20" fillId="36" borderId="0" xfId="35" applyFont="1" applyFill="1" applyBorder="1" applyAlignment="1">
      <alignment horizontal="left" vertical="top" indent="1"/>
    </xf>
    <xf numFmtId="0" fontId="20" fillId="36" borderId="0" xfId="126" applyFont="1" applyFill="1" applyBorder="1"/>
    <xf numFmtId="3" fontId="20" fillId="0" borderId="0" xfId="126" applyNumberFormat="1" applyFont="1"/>
    <xf numFmtId="0" fontId="20" fillId="0" borderId="6" xfId="126" applyFont="1" applyFill="1" applyBorder="1" applyAlignment="1">
      <alignment horizontal="center" wrapText="1"/>
    </xf>
    <xf numFmtId="0" fontId="21" fillId="0" borderId="4" xfId="126" applyFont="1" applyFill="1" applyBorder="1" applyAlignment="1">
      <alignment horizontal="center"/>
    </xf>
    <xf numFmtId="0" fontId="69" fillId="0" borderId="0" xfId="126" applyFont="1" applyFill="1"/>
    <xf numFmtId="0" fontId="159" fillId="0" borderId="0" xfId="126" quotePrefix="1" applyFont="1" applyAlignment="1">
      <alignment horizontal="center" wrapText="1"/>
    </xf>
    <xf numFmtId="0" fontId="161" fillId="0" borderId="0" xfId="126" quotePrefix="1" applyFont="1" applyAlignment="1">
      <alignment horizontal="center"/>
    </xf>
    <xf numFmtId="0" fontId="161" fillId="0" borderId="0" xfId="126" quotePrefix="1" applyFont="1" applyBorder="1" applyAlignment="1">
      <alignment horizontal="center"/>
    </xf>
    <xf numFmtId="2" fontId="162" fillId="0" borderId="27" xfId="126" applyNumberFormat="1" applyFont="1" applyBorder="1" applyAlignment="1">
      <alignment horizontal="center" wrapText="1"/>
    </xf>
    <xf numFmtId="2" fontId="162" fillId="0" borderId="0" xfId="126" applyNumberFormat="1" applyFont="1" applyBorder="1" applyAlignment="1">
      <alignment horizontal="center" wrapText="1"/>
    </xf>
    <xf numFmtId="164" fontId="20" fillId="0" borderId="0" xfId="126" applyNumberFormat="1" applyFont="1" applyFill="1"/>
    <xf numFmtId="2" fontId="159" fillId="0" borderId="0" xfId="126" applyNumberFormat="1" applyFont="1"/>
    <xf numFmtId="164" fontId="159" fillId="0" borderId="0" xfId="126" applyNumberFormat="1" applyFont="1" applyFill="1"/>
    <xf numFmtId="1" fontId="159" fillId="0" borderId="0" xfId="126" applyNumberFormat="1" applyFont="1"/>
    <xf numFmtId="166" fontId="20" fillId="0" borderId="0" xfId="126" quotePrefix="1" applyNumberFormat="1" applyFont="1" applyFill="1" applyAlignment="1">
      <alignment horizontal="center"/>
    </xf>
    <xf numFmtId="166" fontId="20" fillId="0" borderId="0" xfId="126" applyNumberFormat="1" applyFont="1" applyFill="1" applyAlignment="1">
      <alignment horizontal="center"/>
    </xf>
    <xf numFmtId="0" fontId="20" fillId="0" borderId="0" xfId="126" applyFont="1" applyFill="1" applyAlignment="1">
      <alignment readingOrder="1"/>
    </xf>
    <xf numFmtId="0" fontId="20" fillId="0" borderId="0" xfId="126" applyFont="1" applyAlignment="1">
      <alignment wrapText="1"/>
    </xf>
    <xf numFmtId="0" fontId="21" fillId="0" borderId="5" xfId="126" applyFont="1" applyBorder="1" applyAlignment="1">
      <alignment horizontal="center" wrapText="1"/>
    </xf>
    <xf numFmtId="3" fontId="20" fillId="36" borderId="0" xfId="126" applyNumberFormat="1" applyFont="1" applyFill="1"/>
    <xf numFmtId="10" fontId="20" fillId="0" borderId="0" xfId="126" applyNumberFormat="1" applyFont="1"/>
    <xf numFmtId="3" fontId="20" fillId="0" borderId="0" xfId="126" applyNumberFormat="1" applyFont="1" applyFill="1"/>
    <xf numFmtId="164" fontId="20" fillId="0" borderId="0" xfId="0" applyNumberFormat="1" applyFont="1" applyAlignment="1"/>
    <xf numFmtId="42" fontId="20" fillId="34" borderId="0" xfId="0" applyNumberFormat="1" applyFont="1" applyFill="1"/>
    <xf numFmtId="166" fontId="20" fillId="0" borderId="0" xfId="0" applyNumberFormat="1" applyFont="1" applyFill="1" applyAlignment="1">
      <alignment horizontal="left" indent="1"/>
    </xf>
    <xf numFmtId="164" fontId="20" fillId="0" borderId="0" xfId="0" quotePrefix="1" applyNumberFormat="1" applyFont="1" applyAlignment="1">
      <alignment horizontal="center"/>
    </xf>
    <xf numFmtId="0" fontId="20" fillId="0" borderId="0" xfId="100" applyNumberFormat="1" applyFont="1" applyFill="1" applyBorder="1" applyAlignment="1">
      <alignment horizontal="left" indent="2"/>
    </xf>
    <xf numFmtId="0" fontId="20" fillId="0" borderId="0" xfId="0" applyFont="1" applyFill="1" applyAlignment="1">
      <alignment horizontal="left" indent="4"/>
    </xf>
    <xf numFmtId="0" fontId="20" fillId="0" borderId="0" xfId="100" applyNumberFormat="1" applyFont="1" applyFill="1" applyBorder="1" applyAlignment="1">
      <alignment horizontal="left" indent="1"/>
    </xf>
    <xf numFmtId="49" fontId="20" fillId="0" borderId="0" xfId="0" applyNumberFormat="1" applyFont="1" applyAlignment="1">
      <alignment horizontal="left" indent="1"/>
    </xf>
    <xf numFmtId="37" fontId="20" fillId="36" borderId="3" xfId="22" quotePrefix="1" applyNumberFormat="1" applyFont="1" applyFill="1" applyBorder="1" applyAlignment="1">
      <alignment horizontal="center"/>
    </xf>
    <xf numFmtId="0" fontId="20" fillId="0" borderId="0" xfId="0" quotePrefix="1" applyFont="1" applyAlignment="1">
      <alignment horizontal="left" indent="2"/>
    </xf>
    <xf numFmtId="37" fontId="0" fillId="36" borderId="0" xfId="19" applyNumberFormat="1" applyFont="1" applyFill="1"/>
    <xf numFmtId="3" fontId="20" fillId="0" borderId="0" xfId="100" applyNumberFormat="1" applyFont="1" applyFill="1" applyBorder="1" applyAlignment="1">
      <alignment horizontal="left" indent="1"/>
    </xf>
    <xf numFmtId="167" fontId="21" fillId="0" borderId="0" xfId="96" applyNumberFormat="1" applyFont="1" applyFill="1" applyBorder="1" applyAlignment="1">
      <alignment horizontal="center"/>
    </xf>
    <xf numFmtId="0" fontId="20" fillId="0" borderId="0" xfId="100" applyFont="1" applyFill="1" applyBorder="1"/>
    <xf numFmtId="0" fontId="20" fillId="36" borderId="0" xfId="0" applyNumberFormat="1" applyFont="1" applyFill="1" applyAlignment="1"/>
    <xf numFmtId="165" fontId="0" fillId="36" borderId="0" xfId="0" applyNumberFormat="1" applyFill="1"/>
    <xf numFmtId="164" fontId="20" fillId="36" borderId="0" xfId="100" applyNumberFormat="1" applyFont="1" applyFill="1" applyBorder="1" applyAlignment="1">
      <alignment vertical="top" wrapText="1"/>
    </xf>
    <xf numFmtId="5" fontId="20" fillId="36" borderId="0" xfId="22" applyNumberFormat="1" applyFont="1" applyFill="1" applyBorder="1" applyAlignment="1">
      <alignment horizontal="center"/>
    </xf>
    <xf numFmtId="1" fontId="20" fillId="36" borderId="0" xfId="0" applyNumberFormat="1" applyFont="1" applyFill="1" applyAlignment="1">
      <alignment horizontal="center"/>
    </xf>
    <xf numFmtId="164" fontId="20" fillId="34" borderId="0" xfId="96" applyNumberFormat="1" applyFont="1" applyFill="1" applyBorder="1" applyAlignment="1">
      <alignment horizontal="right"/>
    </xf>
    <xf numFmtId="0" fontId="20" fillId="36" borderId="0" xfId="100" applyFont="1" applyFill="1" applyBorder="1" applyAlignment="1">
      <alignment horizontal="center"/>
    </xf>
    <xf numFmtId="164" fontId="27" fillId="34" borderId="0" xfId="0" applyNumberFormat="1" applyFont="1" applyFill="1" applyAlignment="1"/>
    <xf numFmtId="0" fontId="20" fillId="0" borderId="0" xfId="100" quotePrefix="1" applyNumberFormat="1" applyFont="1" applyFill="1" applyBorder="1" applyAlignment="1">
      <alignment horizontal="left"/>
    </xf>
    <xf numFmtId="0" fontId="20" fillId="0" borderId="0" xfId="100" applyNumberFormat="1" applyFont="1" applyFill="1" applyBorder="1" applyAlignment="1">
      <alignment horizontal="right"/>
    </xf>
    <xf numFmtId="164" fontId="20" fillId="0" borderId="0" xfId="96" applyNumberFormat="1" applyFont="1" applyFill="1" applyBorder="1" applyAlignment="1">
      <alignment horizontal="right"/>
    </xf>
    <xf numFmtId="167" fontId="20" fillId="0" borderId="0" xfId="100" quotePrefix="1" applyNumberFormat="1" applyFont="1" applyFill="1" applyBorder="1" applyAlignment="1">
      <alignment horizontal="left" indent="1"/>
    </xf>
    <xf numFmtId="0" fontId="24" fillId="0" borderId="0" xfId="100" applyNumberFormat="1" applyFont="1" applyFill="1" applyBorder="1" applyAlignment="1">
      <alignment horizontal="left"/>
    </xf>
    <xf numFmtId="0" fontId="24" fillId="0" borderId="0" xfId="100" applyNumberFormat="1" applyFont="1" applyFill="1" applyBorder="1" applyAlignment="1">
      <alignment horizontal="center"/>
    </xf>
    <xf numFmtId="167" fontId="20" fillId="0" borderId="0" xfId="100" applyNumberFormat="1" applyFont="1" applyFill="1" applyBorder="1" applyAlignment="1">
      <alignment horizontal="left" indent="1"/>
    </xf>
    <xf numFmtId="0" fontId="20" fillId="0" borderId="0" xfId="100" applyFont="1" applyBorder="1" applyAlignment="1"/>
    <xf numFmtId="167" fontId="20" fillId="0" borderId="0" xfId="96" applyNumberFormat="1" applyFont="1" applyFill="1" applyBorder="1" applyAlignment="1">
      <alignment horizontal="right"/>
    </xf>
    <xf numFmtId="167" fontId="20" fillId="0" borderId="0" xfId="100" applyNumberFormat="1" applyFont="1" applyFill="1" applyBorder="1" applyAlignment="1">
      <alignment horizontal="right"/>
    </xf>
    <xf numFmtId="0" fontId="24" fillId="0" borderId="0" xfId="100" applyFont="1" applyFill="1" applyBorder="1" applyAlignment="1">
      <alignment horizontal="center"/>
    </xf>
    <xf numFmtId="1" fontId="20" fillId="0" borderId="0" xfId="100" applyNumberFormat="1" applyFont="1" applyFill="1" applyBorder="1" applyAlignment="1">
      <alignment horizontal="center"/>
    </xf>
    <xf numFmtId="3" fontId="20" fillId="0" borderId="0" xfId="100" applyNumberFormat="1" applyFont="1" applyFill="1" applyBorder="1" applyAlignment="1"/>
    <xf numFmtId="3" fontId="24" fillId="0" borderId="0" xfId="100" applyNumberFormat="1" applyFont="1" applyFill="1" applyBorder="1" applyAlignment="1">
      <alignment horizontal="center"/>
    </xf>
    <xf numFmtId="165" fontId="27" fillId="0" borderId="0" xfId="96" applyNumberFormat="1" applyFont="1" applyFill="1" applyBorder="1" applyAlignment="1">
      <alignment horizontal="right"/>
    </xf>
    <xf numFmtId="42" fontId="20" fillId="0" borderId="0" xfId="0" quotePrefix="1" applyNumberFormat="1" applyFont="1" applyAlignment="1">
      <alignment horizontal="center"/>
    </xf>
    <xf numFmtId="5" fontId="20" fillId="0" borderId="0" xfId="0" quotePrefix="1" applyNumberFormat="1" applyFont="1" applyAlignment="1">
      <alignment horizontal="center"/>
    </xf>
    <xf numFmtId="5" fontId="27" fillId="0" borderId="0" xfId="0" quotePrefix="1" applyNumberFormat="1" applyFont="1" applyAlignment="1">
      <alignment horizontal="center"/>
    </xf>
    <xf numFmtId="0" fontId="21" fillId="0" borderId="0" xfId="0" quotePrefix="1" applyFont="1" applyFill="1"/>
    <xf numFmtId="164" fontId="27" fillId="0" borderId="0" xfId="0" quotePrefix="1" applyNumberFormat="1" applyFont="1" applyAlignment="1">
      <alignment horizontal="center"/>
    </xf>
    <xf numFmtId="0" fontId="20" fillId="0" borderId="0" xfId="0" quotePrefix="1" applyFont="1" applyFill="1" applyAlignment="1">
      <alignment horizontal="left"/>
    </xf>
    <xf numFmtId="164" fontId="20" fillId="36" borderId="0" xfId="0" quotePrefix="1" applyNumberFormat="1" applyFont="1" applyFill="1" applyAlignment="1">
      <alignment horizontal="right"/>
    </xf>
    <xf numFmtId="171" fontId="20" fillId="0" borderId="0" xfId="0" quotePrefix="1" applyNumberFormat="1" applyFont="1" applyAlignment="1">
      <alignment horizontal="right"/>
    </xf>
    <xf numFmtId="165" fontId="20" fillId="0" borderId="0" xfId="96" applyNumberFormat="1" applyFont="1" applyFill="1" applyBorder="1" applyAlignment="1">
      <alignment horizontal="right"/>
    </xf>
    <xf numFmtId="3" fontId="20" fillId="0" borderId="0" xfId="100" applyNumberFormat="1" applyFont="1" applyFill="1" applyBorder="1" applyAlignment="1">
      <alignment horizontal="left"/>
    </xf>
    <xf numFmtId="0" fontId="65" fillId="0" borderId="0" xfId="0" applyFont="1" applyFill="1" applyAlignment="1">
      <alignment horizontal="left" vertical="center" indent="1"/>
    </xf>
    <xf numFmtId="171" fontId="20" fillId="0" borderId="0" xfId="0" applyNumberFormat="1" applyFont="1" applyFill="1"/>
    <xf numFmtId="37" fontId="21" fillId="36" borderId="3" xfId="97" quotePrefix="1" applyNumberFormat="1" applyFont="1" applyFill="1" applyBorder="1" applyAlignment="1">
      <alignment horizontal="center"/>
    </xf>
    <xf numFmtId="0" fontId="20" fillId="36" borderId="3" xfId="0" quotePrefix="1" applyNumberFormat="1" applyFont="1" applyFill="1" applyBorder="1" applyAlignment="1">
      <alignment horizontal="center"/>
    </xf>
    <xf numFmtId="0" fontId="20" fillId="36" borderId="3" xfId="0" quotePrefix="1" applyNumberFormat="1" applyFont="1" applyFill="1" applyBorder="1" applyAlignment="1">
      <alignment horizontal="left"/>
    </xf>
    <xf numFmtId="0" fontId="20" fillId="36" borderId="3" xfId="0" applyNumberFormat="1" applyFont="1" applyFill="1" applyBorder="1"/>
    <xf numFmtId="0" fontId="20" fillId="36" borderId="3" xfId="0" applyFont="1" applyFill="1" applyBorder="1" applyAlignment="1">
      <alignment horizontal="center"/>
    </xf>
    <xf numFmtId="0" fontId="20" fillId="36" borderId="3" xfId="0" quotePrefix="1" applyNumberFormat="1" applyFont="1" applyFill="1" applyBorder="1"/>
    <xf numFmtId="177" fontId="20" fillId="36" borderId="3" xfId="97" applyNumberFormat="1" applyFont="1" applyFill="1" applyBorder="1" applyAlignment="1">
      <alignment horizontal="center"/>
    </xf>
    <xf numFmtId="37" fontId="21" fillId="36" borderId="3" xfId="97" applyNumberFormat="1" applyFont="1" applyFill="1" applyBorder="1" applyAlignment="1">
      <alignment horizontal="center"/>
    </xf>
    <xf numFmtId="164" fontId="20" fillId="36" borderId="0" xfId="100" applyNumberFormat="1" applyFont="1" applyFill="1" applyBorder="1" applyAlignment="1">
      <alignment horizontal="right" vertical="center" wrapText="1"/>
    </xf>
    <xf numFmtId="164" fontId="27" fillId="36" borderId="0" xfId="100" applyNumberFormat="1" applyFont="1" applyFill="1" applyBorder="1" applyAlignment="1">
      <alignment horizontal="right" vertical="center" wrapText="1"/>
    </xf>
    <xf numFmtId="164" fontId="20" fillId="36" borderId="0" xfId="96" applyNumberFormat="1" applyFont="1" applyFill="1"/>
    <xf numFmtId="164" fontId="34" fillId="36" borderId="0" xfId="96" applyNumberFormat="1" applyFont="1" applyFill="1"/>
    <xf numFmtId="164" fontId="34" fillId="36" borderId="0" xfId="100" applyNumberFormat="1" applyFont="1" applyFill="1"/>
    <xf numFmtId="1" fontId="20" fillId="36" borderId="0" xfId="126" applyNumberFormat="1" applyFont="1" applyFill="1"/>
    <xf numFmtId="164" fontId="34" fillId="0" borderId="0" xfId="0" quotePrefix="1" applyNumberFormat="1" applyFont="1" applyAlignment="1">
      <alignment horizontal="right"/>
    </xf>
    <xf numFmtId="164" fontId="20" fillId="0" borderId="0" xfId="0" quotePrefix="1" applyNumberFormat="1" applyFont="1" applyAlignment="1">
      <alignment horizontal="right"/>
    </xf>
    <xf numFmtId="10" fontId="0" fillId="36" borderId="0" xfId="0" applyNumberFormat="1" applyFill="1"/>
    <xf numFmtId="164" fontId="21" fillId="0" borderId="0" xfId="96" applyNumberFormat="1" applyFont="1" applyBorder="1" applyAlignment="1">
      <alignment horizontal="center"/>
    </xf>
    <xf numFmtId="0" fontId="21" fillId="0" borderId="0" xfId="0" quotePrefix="1" applyFont="1" applyAlignment="1">
      <alignment horizontal="left" indent="1"/>
    </xf>
    <xf numFmtId="164" fontId="24" fillId="0" borderId="0" xfId="96" applyNumberFormat="1" applyFont="1" applyBorder="1" applyAlignment="1">
      <alignment horizontal="center"/>
    </xf>
    <xf numFmtId="0" fontId="20" fillId="0" borderId="0" xfId="0" applyFont="1" applyFill="1" applyAlignment="1">
      <alignment wrapText="1"/>
    </xf>
    <xf numFmtId="3" fontId="20" fillId="0" borderId="0" xfId="96" applyNumberFormat="1" applyFont="1" applyFill="1" applyBorder="1"/>
    <xf numFmtId="10" fontId="20" fillId="0" borderId="0" xfId="96" applyNumberFormat="1" applyFont="1" applyBorder="1"/>
    <xf numFmtId="0" fontId="0" fillId="36" borderId="0" xfId="0" applyFill="1" applyAlignment="1">
      <alignment wrapText="1"/>
    </xf>
    <xf numFmtId="166" fontId="20" fillId="0" borderId="0" xfId="96" applyNumberFormat="1" applyFont="1" applyBorder="1" applyAlignment="1">
      <alignment horizontal="left" indent="1"/>
    </xf>
    <xf numFmtId="166" fontId="20" fillId="0" borderId="0" xfId="0" quotePrefix="1" applyNumberFormat="1" applyFont="1" applyAlignment="1">
      <alignment horizontal="center"/>
    </xf>
    <xf numFmtId="14" fontId="0" fillId="0" borderId="0" xfId="0" applyNumberFormat="1"/>
    <xf numFmtId="0" fontId="51" fillId="0" borderId="0" xfId="0" applyFont="1" applyAlignment="1">
      <alignment horizontal="right"/>
    </xf>
    <xf numFmtId="0" fontId="163" fillId="0" borderId="0" xfId="0" applyFont="1"/>
    <xf numFmtId="1" fontId="21" fillId="0" borderId="0" xfId="53892" applyNumberFormat="1" applyFont="1" applyFill="1" applyAlignment="1" applyProtection="1">
      <alignment horizontal="center"/>
    </xf>
    <xf numFmtId="168" fontId="0" fillId="0" borderId="0" xfId="0" applyNumberFormat="1"/>
    <xf numFmtId="0" fontId="21" fillId="0" borderId="55" xfId="0" applyFont="1" applyBorder="1" applyAlignment="1">
      <alignment horizontal="center"/>
    </xf>
    <xf numFmtId="196" fontId="21" fillId="0" borderId="55" xfId="53892" applyFont="1" applyBorder="1" applyAlignment="1" applyProtection="1">
      <alignment horizontal="center" wrapText="1"/>
    </xf>
    <xf numFmtId="3" fontId="21" fillId="0" borderId="55" xfId="53892" applyNumberFormat="1" applyFont="1" applyFill="1" applyBorder="1" applyAlignment="1" applyProtection="1">
      <alignment horizontal="center" wrapText="1"/>
    </xf>
    <xf numFmtId="196" fontId="21" fillId="0" borderId="55" xfId="53892" applyFont="1" applyFill="1" applyBorder="1" applyAlignment="1" applyProtection="1">
      <alignment horizontal="center" wrapText="1"/>
    </xf>
    <xf numFmtId="196" fontId="21" fillId="0" borderId="55" xfId="53892" applyFont="1" applyBorder="1" applyAlignment="1">
      <alignment horizontal="center" wrapText="1"/>
    </xf>
    <xf numFmtId="14" fontId="0" fillId="36" borderId="0" xfId="0" applyNumberFormat="1" applyFill="1"/>
    <xf numFmtId="1" fontId="0" fillId="36" borderId="0" xfId="0" applyNumberFormat="1" applyFill="1" applyAlignment="1">
      <alignment horizontal="center"/>
    </xf>
    <xf numFmtId="203" fontId="0" fillId="0" borderId="0" xfId="0" applyNumberFormat="1"/>
    <xf numFmtId="0" fontId="32" fillId="36" borderId="0" xfId="0" applyFont="1" applyFill="1" applyBorder="1" applyAlignment="1">
      <alignment horizontal="left" indent="1"/>
    </xf>
    <xf numFmtId="14" fontId="20" fillId="36" borderId="0" xfId="0" applyNumberFormat="1" applyFont="1" applyFill="1"/>
    <xf numFmtId="168" fontId="20" fillId="36" borderId="0" xfId="0" applyNumberFormat="1" applyFont="1" applyFill="1"/>
    <xf numFmtId="168" fontId="20" fillId="0" borderId="0" xfId="0" applyNumberFormat="1" applyFont="1"/>
    <xf numFmtId="164" fontId="165" fillId="0" borderId="0" xfId="0" applyNumberFormat="1" applyFont="1" applyFill="1"/>
    <xf numFmtId="164" fontId="165" fillId="36" borderId="0" xfId="0" applyNumberFormat="1" applyFont="1" applyFill="1"/>
    <xf numFmtId="0" fontId="51" fillId="0" borderId="0" xfId="0" applyFont="1"/>
    <xf numFmtId="0" fontId="21" fillId="0" borderId="55" xfId="0" applyFont="1" applyBorder="1" applyAlignment="1">
      <alignment horizontal="center" wrapText="1"/>
    </xf>
    <xf numFmtId="203" fontId="20" fillId="0" borderId="0" xfId="0" applyNumberFormat="1" applyFont="1" applyFill="1"/>
    <xf numFmtId="14" fontId="20" fillId="36" borderId="0" xfId="0" quotePrefix="1" applyNumberFormat="1" applyFont="1" applyFill="1" applyAlignment="1" applyProtection="1">
      <alignment horizontal="center" vertical="center"/>
    </xf>
    <xf numFmtId="168" fontId="20" fillId="36" borderId="0" xfId="37" applyNumberFormat="1" applyFont="1" applyFill="1" applyAlignment="1">
      <alignment horizontal="center"/>
    </xf>
    <xf numFmtId="5" fontId="20" fillId="36" borderId="0" xfId="0" applyNumberFormat="1" applyFont="1" applyFill="1" applyAlignment="1" applyProtection="1">
      <alignment horizontal="center"/>
    </xf>
    <xf numFmtId="5" fontId="0" fillId="0" borderId="0" xfId="0" applyNumberFormat="1"/>
    <xf numFmtId="171" fontId="0" fillId="0" borderId="0" xfId="0" applyNumberFormat="1"/>
    <xf numFmtId="208" fontId="0" fillId="0" borderId="0" xfId="0" applyNumberFormat="1"/>
    <xf numFmtId="14" fontId="20" fillId="36" borderId="0" xfId="0" applyNumberFormat="1" applyFont="1" applyFill="1" applyAlignment="1" applyProtection="1">
      <alignment horizontal="center" vertical="center"/>
    </xf>
    <xf numFmtId="5" fontId="20" fillId="36" borderId="0" xfId="0" applyNumberFormat="1" applyFont="1" applyFill="1" applyBorder="1" applyAlignment="1" applyProtection="1">
      <alignment horizontal="center"/>
    </xf>
    <xf numFmtId="0" fontId="20" fillId="36" borderId="0" xfId="0" applyFont="1" applyFill="1" applyBorder="1" applyAlignment="1">
      <alignment horizontal="left" indent="1"/>
    </xf>
    <xf numFmtId="14" fontId="20" fillId="36" borderId="0" xfId="0" applyNumberFormat="1" applyFont="1" applyFill="1" applyBorder="1" applyAlignment="1" applyProtection="1">
      <alignment horizontal="center" vertical="center"/>
    </xf>
    <xf numFmtId="168" fontId="20" fillId="36" borderId="0" xfId="37" applyNumberFormat="1" applyFont="1" applyFill="1" applyBorder="1" applyAlignment="1">
      <alignment horizontal="center"/>
    </xf>
    <xf numFmtId="164" fontId="21" fillId="0" borderId="55" xfId="0" applyNumberFormat="1" applyFont="1" applyBorder="1" applyAlignment="1">
      <alignment horizontal="center" wrapText="1"/>
    </xf>
    <xf numFmtId="164" fontId="0" fillId="36" borderId="0" xfId="0" applyNumberFormat="1" applyFill="1" applyAlignment="1">
      <alignment horizontal="center"/>
    </xf>
    <xf numFmtId="10" fontId="20" fillId="36" borderId="0" xfId="37" applyNumberFormat="1" applyFont="1" applyFill="1" applyAlignment="1">
      <alignment horizontal="left" indent="1"/>
    </xf>
    <xf numFmtId="10" fontId="20" fillId="0" borderId="0" xfId="37" applyNumberFormat="1" applyFont="1" applyFill="1"/>
    <xf numFmtId="0" fontId="20" fillId="113" borderId="0" xfId="0" applyFont="1" applyFill="1"/>
    <xf numFmtId="0" fontId="20" fillId="0" borderId="11" xfId="0" applyNumberFormat="1" applyFont="1" applyFill="1" applyBorder="1" applyAlignment="1">
      <alignment horizontal="center"/>
    </xf>
    <xf numFmtId="0" fontId="20" fillId="0" borderId="4" xfId="0" applyNumberFormat="1" applyFont="1" applyFill="1" applyBorder="1" applyAlignment="1">
      <alignment horizontal="center"/>
    </xf>
    <xf numFmtId="0" fontId="20" fillId="0" borderId="56" xfId="0" applyNumberFormat="1" applyFont="1" applyFill="1" applyBorder="1" applyAlignment="1">
      <alignment horizontal="center"/>
    </xf>
    <xf numFmtId="0" fontId="20" fillId="0" borderId="3" xfId="0" applyNumberFormat="1" applyFont="1" applyFill="1" applyBorder="1" applyAlignment="1">
      <alignment horizontal="center"/>
    </xf>
    <xf numFmtId="0" fontId="20" fillId="0" borderId="3" xfId="0" quotePrefix="1" applyNumberFormat="1" applyFont="1" applyBorder="1" applyAlignment="1">
      <alignment horizontal="center"/>
    </xf>
    <xf numFmtId="39" fontId="20" fillId="36" borderId="0" xfId="53893" applyFont="1" applyFill="1" applyAlignment="1" applyProtection="1">
      <alignment horizontal="left" indent="1"/>
    </xf>
    <xf numFmtId="196" fontId="20" fillId="36" borderId="0" xfId="53892" applyFont="1" applyFill="1" applyBorder="1" applyAlignment="1">
      <alignment horizontal="left" indent="1"/>
    </xf>
    <xf numFmtId="39" fontId="20" fillId="36" borderId="0" xfId="53893" applyFont="1" applyFill="1" applyBorder="1" applyAlignment="1">
      <alignment horizontal="left" indent="1"/>
    </xf>
    <xf numFmtId="168" fontId="20" fillId="36" borderId="0" xfId="0" applyNumberFormat="1" applyFont="1" applyFill="1" applyAlignment="1">
      <alignment horizontal="right"/>
    </xf>
    <xf numFmtId="164" fontId="21" fillId="36" borderId="0" xfId="0" applyNumberFormat="1" applyFont="1" applyFill="1" applyAlignment="1">
      <alignment horizontal="center"/>
    </xf>
    <xf numFmtId="164" fontId="20" fillId="36" borderId="0" xfId="0" applyNumberFormat="1" applyFont="1" applyFill="1" applyAlignment="1">
      <alignment horizontal="center"/>
    </xf>
    <xf numFmtId="164" fontId="27" fillId="36" borderId="0" xfId="0" quotePrefix="1" applyNumberFormat="1" applyFont="1" applyFill="1" applyAlignment="1">
      <alignment horizontal="right"/>
    </xf>
    <xf numFmtId="0" fontId="21" fillId="36" borderId="0" xfId="0" applyFont="1" applyFill="1" applyAlignment="1">
      <alignment horizontal="left"/>
    </xf>
    <xf numFmtId="3" fontId="52" fillId="0" borderId="0" xfId="0" applyNumberFormat="1" applyFont="1"/>
    <xf numFmtId="0" fontId="20" fillId="0" borderId="0" xfId="28" applyFont="1" applyFill="1" applyBorder="1" applyAlignment="1">
      <alignment horizontal="left"/>
    </xf>
    <xf numFmtId="164" fontId="20" fillId="0" borderId="0" xfId="23" applyNumberFormat="1" applyFont="1" applyFill="1" applyAlignment="1">
      <alignment horizontal="right"/>
    </xf>
    <xf numFmtId="164" fontId="20" fillId="0" borderId="0" xfId="0" applyNumberFormat="1" applyFont="1" applyAlignment="1">
      <alignment horizontal="right"/>
    </xf>
    <xf numFmtId="49" fontId="20" fillId="0" borderId="0" xfId="0" applyNumberFormat="1" applyFont="1" applyAlignment="1">
      <alignment horizontal="center"/>
    </xf>
    <xf numFmtId="0" fontId="20" fillId="0" borderId="0" xfId="0" applyFont="1" applyAlignment="1">
      <alignment horizontal="left" wrapText="1"/>
    </xf>
    <xf numFmtId="0" fontId="73" fillId="0" borderId="0" xfId="0" applyFont="1" applyAlignment="1">
      <alignment horizontal="left" wrapText="1"/>
    </xf>
    <xf numFmtId="49" fontId="73" fillId="0" borderId="0" xfId="0" quotePrefix="1" applyNumberFormat="1" applyFont="1" applyAlignment="1">
      <alignment horizontal="left" indent="1"/>
    </xf>
    <xf numFmtId="0" fontId="73" fillId="0" borderId="0" xfId="0" applyFont="1"/>
    <xf numFmtId="49" fontId="73" fillId="0" borderId="0" xfId="0" applyNumberFormat="1" applyFont="1" applyAlignment="1">
      <alignment horizontal="left" indent="1"/>
    </xf>
    <xf numFmtId="0" fontId="20" fillId="0" borderId="0" xfId="0" applyFont="1" applyBorder="1"/>
    <xf numFmtId="3" fontId="20" fillId="0" borderId="0" xfId="23" applyNumberFormat="1" applyFont="1" applyBorder="1" applyAlignment="1">
      <alignment horizontal="right"/>
    </xf>
    <xf numFmtId="3" fontId="20" fillId="0" borderId="0" xfId="0" applyNumberFormat="1" applyFont="1"/>
    <xf numFmtId="164" fontId="52" fillId="36" borderId="0" xfId="23" applyNumberFormat="1" applyFont="1" applyFill="1" applyAlignment="1">
      <alignment horizontal="right"/>
    </xf>
    <xf numFmtId="49" fontId="54" fillId="0" borderId="0" xfId="0" applyNumberFormat="1" applyFont="1" applyAlignment="1">
      <alignment horizontal="center"/>
    </xf>
    <xf numFmtId="0" fontId="21" fillId="0" borderId="0" xfId="0" applyFont="1" applyAlignment="1">
      <alignment horizontal="center" vertical="top"/>
    </xf>
    <xf numFmtId="0" fontId="20" fillId="36" borderId="4" xfId="0" applyNumberFormat="1" applyFont="1" applyFill="1" applyBorder="1"/>
    <xf numFmtId="3" fontId="20" fillId="36" borderId="0" xfId="0" applyNumberFormat="1" applyFont="1" applyFill="1"/>
    <xf numFmtId="3" fontId="52" fillId="36" borderId="0" xfId="247" applyNumberFormat="1" applyFont="1" applyFill="1"/>
    <xf numFmtId="0" fontId="56" fillId="0" borderId="0" xfId="0" applyFont="1" applyFill="1" applyAlignment="1">
      <alignment horizontal="center"/>
    </xf>
    <xf numFmtId="0" fontId="20" fillId="36" borderId="0" xfId="0" quotePrefix="1" applyFont="1" applyFill="1" applyBorder="1" applyAlignment="1">
      <alignment horizontal="left" indent="1"/>
    </xf>
    <xf numFmtId="4" fontId="52" fillId="36" borderId="0" xfId="19" applyNumberFormat="1" applyFont="1" applyFill="1"/>
    <xf numFmtId="37" fontId="51" fillId="0" borderId="0" xfId="0" applyNumberFormat="1" applyFont="1" applyFill="1"/>
    <xf numFmtId="0" fontId="0" fillId="36" borderId="0" xfId="0" quotePrefix="1" applyFont="1" applyFill="1" applyAlignment="1">
      <alignment horizontal="left" indent="1"/>
    </xf>
    <xf numFmtId="0" fontId="20" fillId="0" borderId="3" xfId="0" applyNumberFormat="1" applyFont="1" applyFill="1" applyBorder="1" applyAlignment="1">
      <alignment horizontal="left"/>
    </xf>
    <xf numFmtId="0" fontId="20" fillId="0" borderId="3" xfId="97" applyNumberFormat="1" applyFont="1" applyFill="1" applyBorder="1" applyAlignment="1">
      <alignment horizontal="left"/>
    </xf>
    <xf numFmtId="0" fontId="20" fillId="0" borderId="3" xfId="0" applyNumberFormat="1" applyFont="1" applyFill="1" applyBorder="1"/>
    <xf numFmtId="0" fontId="20" fillId="0" borderId="3" xfId="0" quotePrefix="1" applyNumberFormat="1" applyFont="1" applyFill="1" applyBorder="1" applyAlignment="1">
      <alignment horizontal="left"/>
    </xf>
    <xf numFmtId="209" fontId="20" fillId="36" borderId="0" xfId="0" quotePrefix="1" applyNumberFormat="1" applyFont="1" applyFill="1" applyAlignment="1">
      <alignment horizontal="center"/>
    </xf>
    <xf numFmtId="37" fontId="20" fillId="0" borderId="3" xfId="22" quotePrefix="1" applyNumberFormat="1" applyFont="1" applyFill="1" applyBorder="1" applyAlignment="1">
      <alignment horizontal="center"/>
    </xf>
    <xf numFmtId="37" fontId="21" fillId="0" borderId="3" xfId="0" applyNumberFormat="1" applyFont="1" applyFill="1" applyBorder="1" applyAlignment="1">
      <alignment horizontal="center"/>
    </xf>
    <xf numFmtId="37" fontId="20" fillId="0" borderId="3" xfId="97" applyNumberFormat="1" applyFont="1" applyFill="1" applyBorder="1" applyAlignment="1">
      <alignment horizontal="center"/>
    </xf>
    <xf numFmtId="10" fontId="20" fillId="36" borderId="0" xfId="0" applyNumberFormat="1" applyFont="1" applyFill="1" applyAlignment="1">
      <alignment horizontal="right"/>
    </xf>
    <xf numFmtId="0" fontId="32" fillId="0" borderId="0" xfId="0" applyFont="1"/>
    <xf numFmtId="0" fontId="20" fillId="0" borderId="0" xfId="0" applyFont="1" applyAlignment="1"/>
    <xf numFmtId="0" fontId="51" fillId="0" borderId="0" xfId="126" applyFont="1" applyAlignment="1">
      <alignment horizontal="center"/>
    </xf>
    <xf numFmtId="2" fontId="20" fillId="0" borderId="3" xfId="126" applyNumberFormat="1" applyFont="1" applyBorder="1" applyAlignment="1">
      <alignment horizontal="center" wrapText="1"/>
    </xf>
    <xf numFmtId="165" fontId="20" fillId="0" borderId="0" xfId="0" applyNumberFormat="1" applyFont="1"/>
    <xf numFmtId="0" fontId="71" fillId="0" borderId="0" xfId="0" applyFont="1"/>
    <xf numFmtId="164" fontId="20" fillId="0" borderId="0" xfId="100" applyNumberFormat="1" applyFill="1"/>
    <xf numFmtId="0" fontId="20" fillId="36" borderId="0" xfId="35" applyFont="1" applyFill="1" applyBorder="1" applyAlignment="1">
      <alignment horizontal="left" vertical="top" indent="2"/>
    </xf>
    <xf numFmtId="167" fontId="20" fillId="0" borderId="0" xfId="28" applyNumberFormat="1" applyFont="1" applyBorder="1" applyAlignment="1">
      <alignment vertical="center"/>
    </xf>
    <xf numFmtId="0" fontId="21" fillId="0" borderId="0" xfId="0" applyFont="1" applyFill="1" applyAlignment="1">
      <alignment horizontal="center" vertical="center"/>
    </xf>
    <xf numFmtId="171" fontId="20" fillId="0" borderId="0" xfId="39" applyNumberFormat="1" applyFont="1" applyFill="1" applyBorder="1" applyAlignment="1">
      <alignment horizontal="center" vertical="justify" wrapText="1"/>
    </xf>
    <xf numFmtId="171" fontId="20" fillId="0" borderId="8" xfId="39" applyNumberFormat="1" applyFont="1" applyFill="1" applyBorder="1" applyAlignment="1">
      <alignment horizontal="center" wrapText="1"/>
    </xf>
    <xf numFmtId="0" fontId="20" fillId="0" borderId="0" xfId="100" quotePrefix="1" applyFill="1"/>
    <xf numFmtId="0" fontId="20" fillId="0" borderId="0" xfId="100" applyNumberFormat="1" applyFont="1" applyFill="1" applyAlignment="1">
      <alignment horizontal="center"/>
    </xf>
    <xf numFmtId="0" fontId="20" fillId="0" borderId="0" xfId="100" quotePrefix="1" applyFont="1" applyFill="1" applyAlignment="1">
      <alignment horizontal="center"/>
    </xf>
    <xf numFmtId="0" fontId="20" fillId="0" borderId="0" xfId="100" quotePrefix="1" applyFill="1" applyAlignment="1">
      <alignment horizontal="center" wrapText="1"/>
    </xf>
    <xf numFmtId="0" fontId="20" fillId="0" borderId="0" xfId="100" quotePrefix="1" applyFont="1" applyFill="1" applyAlignment="1">
      <alignment horizontal="center" wrapText="1"/>
    </xf>
    <xf numFmtId="10" fontId="20" fillId="0" borderId="0" xfId="37" quotePrefix="1" applyNumberFormat="1" applyFont="1" applyFill="1" applyAlignment="1">
      <alignment horizontal="center" wrapText="1"/>
    </xf>
    <xf numFmtId="0" fontId="20" fillId="0" borderId="0" xfId="100" applyFill="1" applyAlignment="1">
      <alignment horizontal="center" wrapText="1"/>
    </xf>
    <xf numFmtId="164" fontId="20" fillId="0" borderId="0" xfId="100" quotePrefix="1" applyNumberFormat="1" applyFill="1" applyAlignment="1">
      <alignment horizontal="center"/>
    </xf>
    <xf numFmtId="0" fontId="20" fillId="0" borderId="0" xfId="100" applyFill="1" applyAlignment="1">
      <alignment horizontal="center"/>
    </xf>
    <xf numFmtId="10" fontId="0" fillId="0" borderId="0" xfId="37" applyNumberFormat="1" applyFont="1" applyFill="1" applyAlignment="1">
      <alignment horizontal="center"/>
    </xf>
    <xf numFmtId="0" fontId="20" fillId="0" borderId="0" xfId="0" applyFont="1" applyFill="1" applyAlignment="1">
      <alignment horizontal="center"/>
    </xf>
    <xf numFmtId="0" fontId="20" fillId="0" borderId="0" xfId="100" applyFont="1" applyFill="1" applyBorder="1" applyAlignment="1">
      <alignment horizontal="left"/>
    </xf>
    <xf numFmtId="0" fontId="60" fillId="0" borderId="0" xfId="0" applyFont="1" applyFill="1"/>
    <xf numFmtId="39" fontId="52" fillId="0" borderId="0" xfId="0" applyNumberFormat="1" applyFont="1" applyFill="1" applyAlignment="1">
      <alignment horizontal="left" indent="1"/>
    </xf>
    <xf numFmtId="0" fontId="20" fillId="0" borderId="0" xfId="100" quotePrefix="1" applyFont="1" applyFill="1" applyAlignment="1">
      <alignment horizontal="left" indent="1"/>
    </xf>
    <xf numFmtId="164" fontId="20" fillId="0" borderId="0" xfId="96" applyNumberFormat="1" applyFont="1" applyFill="1" applyBorder="1" applyAlignment="1">
      <alignment horizontal="left" indent="1"/>
    </xf>
    <xf numFmtId="42" fontId="20" fillId="0" borderId="0" xfId="0" quotePrefix="1" applyNumberFormat="1" applyFont="1" applyFill="1" applyAlignment="1">
      <alignment horizontal="center"/>
    </xf>
    <xf numFmtId="164" fontId="0" fillId="0" borderId="0" xfId="0" quotePrefix="1" applyNumberFormat="1" applyFill="1" applyAlignment="1">
      <alignment horizontal="center"/>
    </xf>
    <xf numFmtId="164" fontId="50" fillId="0" borderId="0" xfId="0" applyNumberFormat="1" applyFont="1" applyFill="1" applyAlignment="1">
      <alignment horizontal="center"/>
    </xf>
    <xf numFmtId="164" fontId="55" fillId="0" borderId="0" xfId="0" applyNumberFormat="1" applyFont="1" applyFill="1" applyAlignment="1">
      <alignment horizontal="center"/>
    </xf>
    <xf numFmtId="168" fontId="0" fillId="0" borderId="0" xfId="37" applyNumberFormat="1" applyFont="1"/>
    <xf numFmtId="1" fontId="0" fillId="0" borderId="0" xfId="0" applyNumberFormat="1"/>
    <xf numFmtId="0" fontId="20" fillId="0" borderId="0" xfId="28" quotePrefix="1" applyFont="1" applyFill="1" applyAlignment="1">
      <alignment horizontal="center" vertical="center"/>
    </xf>
    <xf numFmtId="0" fontId="20" fillId="0" borderId="0" xfId="28" quotePrefix="1" applyFont="1" applyFill="1" applyAlignment="1">
      <alignment horizontal="center"/>
    </xf>
    <xf numFmtId="0" fontId="20" fillId="0" borderId="0" xfId="28" applyFont="1" applyFill="1" applyBorder="1" applyAlignment="1">
      <alignment horizontal="center"/>
    </xf>
    <xf numFmtId="0" fontId="20" fillId="0" borderId="0" xfId="28" quotePrefix="1" applyFont="1" applyFill="1" applyBorder="1" applyAlignment="1">
      <alignment horizontal="center"/>
    </xf>
    <xf numFmtId="0" fontId="20" fillId="0" borderId="0" xfId="100" quotePrefix="1" applyFont="1" applyFill="1"/>
    <xf numFmtId="167" fontId="20" fillId="0" borderId="0" xfId="28" quotePrefix="1" applyNumberFormat="1" applyFont="1" applyFill="1" applyBorder="1" applyAlignment="1">
      <alignment horizontal="center"/>
    </xf>
    <xf numFmtId="0" fontId="20" fillId="0" borderId="0" xfId="28" quotePrefix="1" applyFont="1" applyFill="1" applyAlignment="1">
      <alignment vertical="center"/>
    </xf>
    <xf numFmtId="0" fontId="21" fillId="0" borderId="0" xfId="28" applyFont="1" applyFill="1" applyAlignment="1">
      <alignment horizontal="center" vertical="center"/>
    </xf>
    <xf numFmtId="0" fontId="21" fillId="0" borderId="0" xfId="28" applyFont="1" applyFill="1" applyAlignment="1">
      <alignment horizontal="right" vertical="center"/>
    </xf>
    <xf numFmtId="0" fontId="20" fillId="0" borderId="0" xfId="126" applyFont="1" applyAlignment="1">
      <alignment vertical="center" wrapText="1"/>
    </xf>
    <xf numFmtId="0" fontId="20" fillId="0" borderId="0" xfId="126" applyFont="1" applyFill="1" applyAlignment="1">
      <alignment horizontal="center" vertical="center" wrapText="1"/>
    </xf>
    <xf numFmtId="0" fontId="20" fillId="0" borderId="0" xfId="126" applyFont="1" applyFill="1" applyAlignment="1">
      <alignment vertical="center" wrapText="1"/>
    </xf>
    <xf numFmtId="0" fontId="20" fillId="0" borderId="0" xfId="126" applyFont="1" applyFill="1" applyAlignment="1"/>
    <xf numFmtId="173" fontId="20" fillId="0" borderId="0" xfId="126" applyNumberFormat="1" applyFont="1" applyAlignment="1">
      <alignment horizontal="center"/>
    </xf>
    <xf numFmtId="10" fontId="20" fillId="0" borderId="0" xfId="126" applyNumberFormat="1" applyFont="1" applyBorder="1"/>
    <xf numFmtId="166" fontId="20" fillId="0" borderId="0" xfId="126" applyNumberFormat="1" applyFont="1" applyAlignment="1">
      <alignment horizontal="center"/>
    </xf>
    <xf numFmtId="166" fontId="20" fillId="0" borderId="0" xfId="126" applyNumberFormat="1" applyFont="1"/>
    <xf numFmtId="3" fontId="20" fillId="0" borderId="0" xfId="131" applyNumberFormat="1" applyFont="1" applyFill="1" applyBorder="1"/>
    <xf numFmtId="3" fontId="20" fillId="0" borderId="0" xfId="132" applyNumberFormat="1" applyFont="1" applyFill="1"/>
    <xf numFmtId="0" fontId="20" fillId="0" borderId="0" xfId="126" applyFont="1" applyFill="1" applyBorder="1"/>
    <xf numFmtId="166" fontId="20" fillId="0" borderId="0" xfId="126" applyNumberFormat="1" applyFont="1" applyFill="1"/>
    <xf numFmtId="3" fontId="20" fillId="0" borderId="0" xfId="130" applyNumberFormat="1" applyFont="1" applyFill="1" applyBorder="1" applyAlignment="1">
      <alignment horizontal="center"/>
    </xf>
    <xf numFmtId="0" fontId="20" fillId="0" borderId="0" xfId="126" applyFont="1" applyFill="1" applyBorder="1" applyAlignment="1">
      <alignment horizontal="center"/>
    </xf>
    <xf numFmtId="3" fontId="20" fillId="0" borderId="0" xfId="0" applyNumberFormat="1" applyFont="1" applyFill="1" applyAlignment="1">
      <alignment horizontal="right"/>
    </xf>
    <xf numFmtId="166" fontId="20" fillId="0" borderId="0" xfId="0" applyNumberFormat="1" applyFont="1" applyFill="1" applyAlignment="1">
      <alignment horizontal="right"/>
    </xf>
    <xf numFmtId="173" fontId="20" fillId="0" borderId="0" xfId="126" quotePrefix="1" applyNumberFormat="1" applyFont="1" applyFill="1" applyAlignment="1">
      <alignment horizontal="center"/>
    </xf>
    <xf numFmtId="164" fontId="20" fillId="0" borderId="0" xfId="126" quotePrefix="1" applyNumberFormat="1" applyFont="1" applyFill="1" applyAlignment="1">
      <alignment horizontal="center"/>
    </xf>
    <xf numFmtId="164" fontId="20" fillId="0" borderId="0" xfId="126" applyNumberFormat="1" applyFont="1" applyAlignment="1">
      <alignment horizontal="right"/>
    </xf>
    <xf numFmtId="164" fontId="20" fillId="0" borderId="0" xfId="126" applyNumberFormat="1" applyFont="1" applyBorder="1" applyAlignment="1">
      <alignment horizontal="right"/>
    </xf>
    <xf numFmtId="173" fontId="20" fillId="0" borderId="0" xfId="126" applyNumberFormat="1" applyFont="1" applyFill="1" applyAlignment="1">
      <alignment horizontal="center"/>
    </xf>
    <xf numFmtId="164" fontId="20" fillId="0" borderId="0" xfId="126" applyNumberFormat="1" applyFont="1" applyBorder="1"/>
    <xf numFmtId="179" fontId="21" fillId="0" borderId="0" xfId="35" applyNumberFormat="1" applyFont="1" applyFill="1" applyAlignment="1">
      <alignment horizontal="left"/>
    </xf>
    <xf numFmtId="0" fontId="20" fillId="0" borderId="7" xfId="126" applyFont="1" applyFill="1" applyBorder="1"/>
    <xf numFmtId="0" fontId="20" fillId="0" borderId="7" xfId="126" applyFont="1" applyBorder="1"/>
    <xf numFmtId="0" fontId="20" fillId="0" borderId="7" xfId="126" applyFont="1" applyBorder="1" applyAlignment="1">
      <alignment horizontal="center"/>
    </xf>
    <xf numFmtId="174" fontId="20" fillId="36" borderId="0" xfId="0" applyNumberFormat="1" applyFont="1" applyFill="1" applyAlignment="1">
      <alignment horizontal="center"/>
    </xf>
    <xf numFmtId="0" fontId="51" fillId="0" borderId="10" xfId="126" applyFont="1" applyFill="1" applyBorder="1" applyAlignment="1">
      <alignment horizontal="center"/>
    </xf>
    <xf numFmtId="9" fontId="0" fillId="0" borderId="0" xfId="0" applyNumberFormat="1" applyFill="1" applyAlignment="1">
      <alignment horizontal="left"/>
    </xf>
    <xf numFmtId="0" fontId="20" fillId="0" borderId="9" xfId="126" applyFont="1" applyFill="1" applyBorder="1" applyAlignment="1">
      <alignment wrapText="1"/>
    </xf>
    <xf numFmtId="0" fontId="20" fillId="0" borderId="4" xfId="126" applyFont="1" applyFill="1" applyBorder="1" applyAlignment="1">
      <alignment wrapText="1"/>
    </xf>
    <xf numFmtId="0" fontId="20" fillId="0" borderId="0" xfId="126" quotePrefix="1" applyFont="1" applyFill="1" applyAlignment="1">
      <alignment horizontal="center" vertical="center" wrapText="1"/>
    </xf>
    <xf numFmtId="0" fontId="20" fillId="0" borderId="0" xfId="126" quotePrefix="1" applyFont="1" applyFill="1" applyAlignment="1">
      <alignment horizontal="center" wrapText="1"/>
    </xf>
    <xf numFmtId="0" fontId="20" fillId="0" borderId="0" xfId="126" quotePrefix="1" applyFont="1" applyFill="1" applyAlignment="1">
      <alignment horizontal="center" vertical="top" wrapText="1"/>
    </xf>
    <xf numFmtId="0" fontId="20" fillId="0" borderId="0" xfId="126" applyFont="1" applyFill="1" applyAlignment="1">
      <alignment wrapText="1"/>
    </xf>
    <xf numFmtId="3" fontId="20" fillId="0" borderId="3" xfId="126" applyNumberFormat="1" applyFont="1" applyFill="1" applyBorder="1"/>
    <xf numFmtId="10" fontId="20" fillId="0" borderId="3" xfId="126" applyNumberFormat="1" applyFont="1" applyFill="1" applyBorder="1"/>
    <xf numFmtId="10" fontId="52" fillId="0" borderId="3" xfId="134" applyNumberFormat="1" applyFont="1" applyFill="1" applyBorder="1"/>
    <xf numFmtId="164" fontId="20" fillId="0" borderId="3" xfId="126" applyNumberFormat="1" applyFont="1" applyFill="1" applyBorder="1"/>
    <xf numFmtId="0" fontId="20" fillId="0" borderId="0" xfId="126" quotePrefix="1" applyFont="1" applyFill="1" applyAlignment="1">
      <alignment horizontal="center"/>
    </xf>
    <xf numFmtId="0" fontId="64" fillId="0" borderId="0" xfId="126" quotePrefix="1" applyFont="1" applyFill="1" applyAlignment="1">
      <alignment horizontal="center" vertical="center" wrapText="1"/>
    </xf>
    <xf numFmtId="0" fontId="20" fillId="0" borderId="6" xfId="126" quotePrefix="1" applyFont="1" applyFill="1" applyBorder="1" applyAlignment="1">
      <alignment horizontal="center" wrapText="1"/>
    </xf>
    <xf numFmtId="0" fontId="20" fillId="0" borderId="5" xfId="126" quotePrefix="1" applyFont="1" applyFill="1" applyBorder="1" applyAlignment="1">
      <alignment horizontal="center" wrapText="1"/>
    </xf>
    <xf numFmtId="0" fontId="20" fillId="0" borderId="0" xfId="126" applyFont="1" applyFill="1" applyAlignment="1">
      <alignment horizontal="left" indent="1"/>
    </xf>
    <xf numFmtId="0" fontId="21" fillId="36" borderId="0" xfId="100" applyFont="1" applyFill="1" applyBorder="1" applyAlignment="1">
      <alignment horizontal="left"/>
    </xf>
    <xf numFmtId="0" fontId="52" fillId="0" borderId="0" xfId="0" applyNumberFormat="1" applyFont="1" applyAlignment="1">
      <alignment horizontal="right"/>
    </xf>
    <xf numFmtId="210" fontId="20" fillId="0" borderId="0" xfId="0" applyNumberFormat="1" applyFont="1" applyFill="1" applyBorder="1"/>
    <xf numFmtId="164" fontId="20" fillId="36" borderId="0" xfId="125" applyNumberFormat="1" applyFont="1" applyFill="1"/>
    <xf numFmtId="165" fontId="0" fillId="0" borderId="0" xfId="37" applyNumberFormat="1" applyFont="1"/>
    <xf numFmtId="14" fontId="20" fillId="36" borderId="0" xfId="0" applyNumberFormat="1" applyFont="1" applyFill="1" applyAlignment="1">
      <alignment horizontal="right"/>
    </xf>
    <xf numFmtId="203" fontId="20" fillId="0" borderId="0" xfId="0" applyNumberFormat="1" applyFont="1" applyFill="1" applyAlignment="1">
      <alignment horizontal="right"/>
    </xf>
    <xf numFmtId="164" fontId="0" fillId="0" borderId="0" xfId="0" applyNumberFormat="1" applyAlignment="1">
      <alignment horizontal="right"/>
    </xf>
    <xf numFmtId="168" fontId="0" fillId="0" borderId="0" xfId="0" applyNumberFormat="1" applyAlignment="1">
      <alignment horizontal="right"/>
    </xf>
    <xf numFmtId="168" fontId="20" fillId="0" borderId="0" xfId="0" applyNumberFormat="1" applyFont="1" applyAlignment="1">
      <alignment horizontal="right"/>
    </xf>
    <xf numFmtId="0" fontId="20" fillId="0" borderId="0" xfId="100" applyFont="1" applyFill="1" applyBorder="1" applyAlignment="1" applyProtection="1">
      <alignment horizontal="left" indent="1"/>
      <protection locked="0"/>
    </xf>
    <xf numFmtId="0" fontId="20" fillId="36" borderId="0" xfId="28" applyFont="1" applyFill="1" applyBorder="1" applyAlignment="1" applyProtection="1">
      <alignment horizontal="left" indent="1"/>
      <protection locked="0"/>
    </xf>
    <xf numFmtId="0" fontId="20" fillId="36" borderId="0" xfId="28" applyFont="1" applyFill="1" applyBorder="1"/>
    <xf numFmtId="0" fontId="20" fillId="36" borderId="0" xfId="28" applyNumberFormat="1" applyFont="1" applyFill="1"/>
    <xf numFmtId="0" fontId="20" fillId="36" borderId="0" xfId="28" applyFont="1" applyFill="1" applyAlignment="1">
      <alignment horizontal="center"/>
    </xf>
    <xf numFmtId="167" fontId="20" fillId="36" borderId="0" xfId="22" applyNumberFormat="1" applyFont="1" applyFill="1"/>
    <xf numFmtId="164" fontId="20" fillId="0" borderId="0" xfId="19" applyNumberFormat="1" applyFont="1"/>
    <xf numFmtId="173" fontId="51" fillId="0" borderId="0" xfId="126" applyNumberFormat="1" applyFont="1" applyAlignment="1">
      <alignment horizontal="center"/>
    </xf>
    <xf numFmtId="173" fontId="20" fillId="0" borderId="60" xfId="126" applyNumberFormat="1" applyFont="1" applyBorder="1" applyAlignment="1">
      <alignment horizontal="center"/>
    </xf>
    <xf numFmtId="173" fontId="20" fillId="0" borderId="62" xfId="126" applyNumberFormat="1" applyFont="1" applyBorder="1" applyAlignment="1">
      <alignment horizontal="center"/>
    </xf>
    <xf numFmtId="0" fontId="21" fillId="0" borderId="9" xfId="126" applyFont="1" applyFill="1" applyBorder="1"/>
    <xf numFmtId="0" fontId="20" fillId="0" borderId="4" xfId="126" applyFont="1" applyBorder="1"/>
    <xf numFmtId="2" fontId="22" fillId="34" borderId="0" xfId="35" applyNumberFormat="1" applyFont="1" applyFill="1" applyAlignment="1">
      <alignment horizontal="left"/>
    </xf>
    <xf numFmtId="179" fontId="22" fillId="34" borderId="0" xfId="35" quotePrefix="1" applyNumberFormat="1" applyFont="1" applyFill="1" applyAlignment="1">
      <alignment horizontal="left"/>
    </xf>
    <xf numFmtId="0" fontId="0" fillId="0" borderId="0" xfId="0" applyAlignment="1">
      <alignment horizontal="center"/>
    </xf>
    <xf numFmtId="0" fontId="166" fillId="0" borderId="0" xfId="0" applyFont="1" applyAlignment="1">
      <alignment horizontal="center"/>
    </xf>
    <xf numFmtId="196" fontId="21" fillId="0" borderId="57" xfId="53892" applyFont="1" applyBorder="1" applyAlignment="1" applyProtection="1">
      <alignment horizontal="center" wrapText="1"/>
    </xf>
    <xf numFmtId="196" fontId="21" fillId="0" borderId="58" xfId="53892" applyFont="1" applyBorder="1" applyAlignment="1" applyProtection="1">
      <alignment horizontal="center" wrapText="1"/>
    </xf>
    <xf numFmtId="0" fontId="21" fillId="0" borderId="57" xfId="0" applyFont="1" applyBorder="1" applyAlignment="1">
      <alignment horizontal="center" wrapText="1"/>
    </xf>
    <xf numFmtId="0" fontId="21" fillId="0" borderId="63" xfId="0" applyFont="1" applyBorder="1" applyAlignment="1">
      <alignment horizontal="center" wrapText="1"/>
    </xf>
    <xf numFmtId="0" fontId="21" fillId="0" borderId="58" xfId="0" applyFont="1" applyBorder="1" applyAlignment="1">
      <alignment horizontal="center" wrapText="1"/>
    </xf>
    <xf numFmtId="0" fontId="20" fillId="0" borderId="0" xfId="0" applyNumberFormat="1" applyFont="1" applyFill="1" applyAlignment="1">
      <alignment horizontal="left"/>
    </xf>
    <xf numFmtId="0" fontId="21" fillId="0" borderId="3" xfId="28" applyFont="1" applyFill="1" applyBorder="1" applyAlignment="1">
      <alignment horizontal="center"/>
    </xf>
    <xf numFmtId="0" fontId="0" fillId="0" borderId="0" xfId="0" applyFill="1" applyAlignment="1">
      <alignment wrapText="1"/>
    </xf>
    <xf numFmtId="0" fontId="0" fillId="0" borderId="0" xfId="0" applyFill="1" applyAlignment="1"/>
    <xf numFmtId="0" fontId="21" fillId="0" borderId="3" xfId="0" applyNumberFormat="1" applyFont="1" applyFill="1" applyBorder="1" applyAlignment="1">
      <alignment wrapText="1"/>
    </xf>
    <xf numFmtId="0" fontId="167" fillId="0" borderId="0" xfId="0" applyFont="1" applyAlignment="1">
      <alignment horizontal="center"/>
    </xf>
    <xf numFmtId="0" fontId="0" fillId="0" borderId="0" xfId="0" applyAlignment="1">
      <alignment horizontal="center"/>
    </xf>
    <xf numFmtId="0" fontId="68" fillId="0" borderId="0" xfId="0" applyFont="1" applyAlignment="1">
      <alignment horizontal="center"/>
    </xf>
    <xf numFmtId="0" fontId="166" fillId="0" borderId="0" xfId="0" applyFont="1" applyAlignment="1">
      <alignment horizontal="center"/>
    </xf>
    <xf numFmtId="0" fontId="49" fillId="0" borderId="0" xfId="0" applyFont="1" applyAlignment="1">
      <alignment horizontal="center"/>
    </xf>
    <xf numFmtId="0" fontId="21" fillId="0" borderId="57" xfId="0" quotePrefix="1" applyFont="1" applyBorder="1" applyAlignment="1">
      <alignment horizontal="center"/>
    </xf>
    <xf numFmtId="0" fontId="20" fillId="0" borderId="58" xfId="0" applyFont="1" applyBorder="1" applyAlignment="1">
      <alignment horizontal="center"/>
    </xf>
    <xf numFmtId="196" fontId="21" fillId="0" borderId="57" xfId="53892" applyFont="1" applyBorder="1" applyAlignment="1" applyProtection="1">
      <alignment horizontal="center" wrapText="1"/>
    </xf>
    <xf numFmtId="196" fontId="21" fillId="0" borderId="63" xfId="53892" applyFont="1" applyBorder="1" applyAlignment="1" applyProtection="1">
      <alignment horizontal="center" wrapText="1"/>
    </xf>
    <xf numFmtId="196" fontId="21" fillId="0" borderId="58" xfId="53892" applyFont="1" applyBorder="1" applyAlignment="1" applyProtection="1">
      <alignment horizontal="center" wrapText="1"/>
    </xf>
    <xf numFmtId="0" fontId="21" fillId="0" borderId="57" xfId="0" applyFont="1" applyBorder="1" applyAlignment="1">
      <alignment horizontal="center" wrapText="1"/>
    </xf>
    <xf numFmtId="0" fontId="21" fillId="0" borderId="63" xfId="0" applyFont="1" applyBorder="1" applyAlignment="1">
      <alignment horizontal="center" wrapText="1"/>
    </xf>
    <xf numFmtId="0" fontId="21" fillId="0" borderId="58" xfId="0" applyFont="1" applyBorder="1" applyAlignment="1">
      <alignment horizontal="center" wrapText="1"/>
    </xf>
    <xf numFmtId="0" fontId="20" fillId="0" borderId="0" xfId="0" applyNumberFormat="1" applyFont="1" applyFill="1" applyAlignment="1">
      <alignment horizontal="left"/>
    </xf>
    <xf numFmtId="0" fontId="20" fillId="36" borderId="0" xfId="0" applyNumberFormat="1" applyFont="1" applyFill="1" applyAlignment="1">
      <alignment horizontal="center"/>
    </xf>
    <xf numFmtId="0" fontId="21" fillId="0" borderId="6" xfId="28" applyFont="1" applyFill="1" applyBorder="1" applyAlignment="1">
      <alignment horizontal="center"/>
    </xf>
    <xf numFmtId="0" fontId="21" fillId="0" borderId="9" xfId="28" applyFont="1" applyFill="1" applyBorder="1" applyAlignment="1">
      <alignment horizontal="center"/>
    </xf>
    <xf numFmtId="0" fontId="21" fillId="0" borderId="4" xfId="28" applyFont="1" applyFill="1" applyBorder="1" applyAlignment="1">
      <alignment horizontal="center"/>
    </xf>
    <xf numFmtId="0" fontId="21" fillId="0" borderId="7" xfId="28" applyFont="1" applyBorder="1" applyAlignment="1">
      <alignment horizontal="center"/>
    </xf>
    <xf numFmtId="0" fontId="21" fillId="0" borderId="5" xfId="28" applyFont="1" applyBorder="1" applyAlignment="1">
      <alignment horizontal="center"/>
    </xf>
    <xf numFmtId="0" fontId="21" fillId="0" borderId="3" xfId="28" applyFont="1" applyFill="1" applyBorder="1" applyAlignment="1">
      <alignment horizontal="center"/>
    </xf>
    <xf numFmtId="0" fontId="21" fillId="0" borderId="9" xfId="28" applyFont="1" applyBorder="1" applyAlignment="1">
      <alignment horizontal="center"/>
    </xf>
    <xf numFmtId="0" fontId="21" fillId="0" borderId="4" xfId="28" applyFont="1" applyBorder="1" applyAlignment="1">
      <alignment horizontal="center"/>
    </xf>
    <xf numFmtId="0" fontId="21" fillId="0" borderId="3" xfId="28" applyFont="1" applyBorder="1" applyAlignment="1"/>
    <xf numFmtId="0" fontId="21" fillId="0" borderId="6" xfId="28" applyFont="1" applyBorder="1" applyAlignment="1">
      <alignment horizontal="center"/>
    </xf>
    <xf numFmtId="0" fontId="20"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xf numFmtId="0" fontId="21"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1" fillId="0" borderId="3" xfId="0" applyNumberFormat="1" applyFont="1" applyFill="1" applyBorder="1" applyAlignment="1">
      <alignment wrapText="1"/>
    </xf>
    <xf numFmtId="0" fontId="0" fillId="0" borderId="3" xfId="0" applyBorder="1" applyAlignment="1">
      <alignment wrapText="1"/>
    </xf>
    <xf numFmtId="0" fontId="21" fillId="0" borderId="6" xfId="0" applyFont="1" applyFill="1" applyBorder="1" applyAlignment="1"/>
    <xf numFmtId="0" fontId="0" fillId="0" borderId="9" xfId="0" applyFill="1" applyBorder="1" applyAlignment="1"/>
    <xf numFmtId="0" fontId="0" fillId="0" borderId="4" xfId="0" applyFill="1" applyBorder="1" applyAlignment="1"/>
    <xf numFmtId="0" fontId="21" fillId="0" borderId="6" xfId="0" applyNumberFormat="1" applyFont="1" applyFill="1" applyBorder="1" applyAlignment="1"/>
    <xf numFmtId="0" fontId="0" fillId="0" borderId="0" xfId="0" applyAlignment="1">
      <alignment vertical="top" wrapText="1"/>
    </xf>
    <xf numFmtId="0" fontId="0" fillId="0" borderId="0" xfId="0" applyAlignment="1"/>
    <xf numFmtId="0" fontId="21" fillId="0" borderId="3" xfId="0" applyFont="1" applyFill="1" applyBorder="1" applyAlignment="1">
      <alignment wrapText="1"/>
    </xf>
    <xf numFmtId="0" fontId="0" fillId="0" borderId="0" xfId="0" applyFill="1" applyAlignment="1">
      <alignment wrapText="1"/>
    </xf>
    <xf numFmtId="0" fontId="21"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0" fillId="0" borderId="0" xfId="0" applyFont="1" applyFill="1" applyBorder="1" applyAlignment="1">
      <alignment wrapText="1"/>
    </xf>
    <xf numFmtId="0" fontId="0" fillId="0" borderId="0" xfId="0" applyAlignment="1">
      <alignment wrapText="1"/>
    </xf>
    <xf numFmtId="0" fontId="20" fillId="0" borderId="12" xfId="126" applyFont="1" applyFill="1" applyBorder="1" applyAlignment="1">
      <alignment horizontal="center"/>
    </xf>
    <xf numFmtId="0" fontId="20" fillId="0" borderId="14" xfId="126" applyFont="1" applyFill="1" applyBorder="1" applyAlignment="1">
      <alignment horizontal="center"/>
    </xf>
    <xf numFmtId="0" fontId="0" fillId="0" borderId="14" xfId="0" applyBorder="1" applyAlignment="1"/>
    <xf numFmtId="0" fontId="0" fillId="0" borderId="13" xfId="0" applyBorder="1" applyAlignment="1"/>
    <xf numFmtId="0" fontId="20" fillId="0" borderId="13" xfId="126" applyFont="1" applyFill="1" applyBorder="1" applyAlignment="1">
      <alignment horizontal="center"/>
    </xf>
    <xf numFmtId="173" fontId="20" fillId="0" borderId="59" xfId="126" quotePrefix="1" applyNumberFormat="1" applyFont="1" applyFill="1" applyBorder="1" applyAlignment="1">
      <alignment horizontal="center" vertical="center"/>
    </xf>
    <xf numFmtId="173" fontId="20" fillId="0" borderId="61" xfId="126" quotePrefix="1" applyNumberFormat="1" applyFont="1" applyFill="1" applyBorder="1" applyAlignment="1">
      <alignment horizontal="center" vertical="center"/>
    </xf>
    <xf numFmtId="0" fontId="20" fillId="0" borderId="0" xfId="28" applyFont="1" applyBorder="1" applyAlignment="1">
      <alignment horizontal="left" indent="1"/>
    </xf>
    <xf numFmtId="206" fontId="20" fillId="0" borderId="0" xfId="0" applyNumberFormat="1" applyFont="1" applyFill="1"/>
    <xf numFmtId="168" fontId="20" fillId="0" borderId="0" xfId="0" applyNumberFormat="1" applyFont="1" applyFill="1" applyAlignment="1">
      <alignment horizontal="right"/>
    </xf>
    <xf numFmtId="168" fontId="20" fillId="0" borderId="0" xfId="0" applyNumberFormat="1" applyFont="1" applyFill="1"/>
    <xf numFmtId="1" fontId="20" fillId="36" borderId="0" xfId="28" applyNumberFormat="1" applyFont="1" applyFill="1" applyBorder="1" applyAlignment="1">
      <alignment horizontal="center"/>
    </xf>
    <xf numFmtId="1" fontId="20" fillId="0" borderId="0" xfId="28" applyNumberFormat="1" applyFont="1" applyFill="1" applyBorder="1" applyAlignment="1">
      <alignment horizontal="right"/>
    </xf>
    <xf numFmtId="165" fontId="20" fillId="0" borderId="0" xfId="0" applyNumberFormat="1" applyFont="1" applyAlignment="1">
      <alignment horizontal="left" indent="1"/>
    </xf>
    <xf numFmtId="0" fontId="20" fillId="0" borderId="0" xfId="28" applyFont="1" applyFill="1" applyBorder="1" applyAlignment="1">
      <alignment horizontal="left" indent="1"/>
    </xf>
    <xf numFmtId="207" fontId="21" fillId="0" borderId="57" xfId="53892" applyNumberFormat="1" applyFont="1" applyBorder="1" applyAlignment="1" applyProtection="1">
      <alignment horizontal="center" wrapText="1"/>
    </xf>
    <xf numFmtId="196" fontId="21" fillId="0" borderId="58" xfId="53892" applyFont="1" applyFill="1" applyBorder="1" applyAlignment="1" applyProtection="1">
      <alignment horizontal="center" wrapText="1"/>
    </xf>
    <xf numFmtId="0" fontId="21" fillId="0" borderId="57" xfId="0" applyFont="1" applyBorder="1" applyAlignment="1">
      <alignment horizontal="center"/>
    </xf>
    <xf numFmtId="0" fontId="21" fillId="0" borderId="63" xfId="0" applyFont="1" applyFill="1" applyBorder="1" applyAlignment="1">
      <alignment horizontal="center" wrapText="1"/>
    </xf>
    <xf numFmtId="164" fontId="21" fillId="0" borderId="57" xfId="0" applyNumberFormat="1" applyFont="1" applyBorder="1" applyAlignment="1">
      <alignment horizontal="center" wrapText="1"/>
    </xf>
    <xf numFmtId="0" fontId="20" fillId="0" borderId="0" xfId="34" applyFont="1"/>
    <xf numFmtId="0" fontId="20" fillId="0" borderId="0" xfId="34" applyFont="1" applyFill="1"/>
    <xf numFmtId="167" fontId="20" fillId="0" borderId="0" xfId="19" applyNumberFormat="1" applyFont="1" applyBorder="1"/>
    <xf numFmtId="171" fontId="20" fillId="0" borderId="0" xfId="37" applyNumberFormat="1" applyFont="1" applyBorder="1" applyAlignment="1">
      <alignment horizontal="left" indent="3"/>
    </xf>
    <xf numFmtId="0" fontId="20" fillId="0" borderId="0" xfId="34" applyFont="1" applyBorder="1" applyAlignment="1">
      <alignment horizontal="left" indent="2"/>
    </xf>
    <xf numFmtId="164" fontId="20" fillId="0" borderId="0" xfId="0" applyNumberFormat="1" applyFont="1" applyAlignment="1">
      <alignment horizontal="left" indent="1"/>
    </xf>
    <xf numFmtId="10" fontId="20" fillId="0" borderId="0" xfId="37" applyNumberFormat="1" applyFont="1" applyBorder="1" applyAlignment="1">
      <alignment horizontal="center"/>
    </xf>
    <xf numFmtId="164" fontId="20" fillId="0" borderId="0" xfId="19" applyNumberFormat="1" applyFont="1" applyBorder="1"/>
    <xf numFmtId="0" fontId="20" fillId="0" borderId="0" xfId="34" applyFont="1" applyBorder="1" applyAlignment="1">
      <alignment horizontal="left"/>
    </xf>
    <xf numFmtId="41" fontId="20" fillId="0" borderId="0" xfId="19" applyNumberFormat="1" applyFont="1" applyBorder="1"/>
    <xf numFmtId="41" fontId="20" fillId="0" borderId="0" xfId="34" applyNumberFormat="1" applyFont="1" applyBorder="1"/>
    <xf numFmtId="10" fontId="20" fillId="0" borderId="0" xfId="34" applyNumberFormat="1" applyFont="1" applyBorder="1" applyAlignment="1">
      <alignment horizontal="center"/>
    </xf>
    <xf numFmtId="10" fontId="20" fillId="0" borderId="0" xfId="37" applyNumberFormat="1" applyFont="1" applyFill="1" applyBorder="1" applyAlignment="1">
      <alignment horizontal="center"/>
    </xf>
    <xf numFmtId="164" fontId="20" fillId="0" borderId="0" xfId="19" applyNumberFormat="1" applyFont="1" applyBorder="1" applyAlignment="1">
      <alignment horizontal="left" indent="1"/>
    </xf>
    <xf numFmtId="0" fontId="20" fillId="0" borderId="0" xfId="34" applyFont="1" applyBorder="1" applyAlignment="1">
      <alignment horizontal="right" wrapText="1"/>
    </xf>
    <xf numFmtId="0" fontId="20" fillId="0" borderId="0" xfId="34" applyFont="1" applyBorder="1" applyAlignment="1">
      <alignment horizontal="left" wrapText="1"/>
    </xf>
    <xf numFmtId="164" fontId="20" fillId="36" borderId="8" xfId="0" applyNumberFormat="1" applyFont="1" applyFill="1" applyBorder="1"/>
    <xf numFmtId="0" fontId="20" fillId="0" borderId="0" xfId="28" applyFont="1" applyBorder="1" applyAlignment="1">
      <alignment horizontal="right"/>
    </xf>
    <xf numFmtId="164" fontId="20" fillId="0" borderId="0" xfId="20" applyNumberFormat="1" applyFont="1" applyFill="1" applyBorder="1" applyAlignment="1">
      <alignment horizontal="right"/>
    </xf>
    <xf numFmtId="167" fontId="20" fillId="0" borderId="0" xfId="28" quotePrefix="1" applyNumberFormat="1" applyFont="1" applyFill="1" applyBorder="1" applyAlignment="1">
      <alignment horizontal="left" indent="1"/>
    </xf>
    <xf numFmtId="0" fontId="20" fillId="0" borderId="0" xfId="28" applyFont="1" applyBorder="1" applyAlignment="1"/>
    <xf numFmtId="167" fontId="20" fillId="0" borderId="0" xfId="20" applyNumberFormat="1" applyFont="1" applyFill="1" applyBorder="1" applyAlignment="1">
      <alignment horizontal="right"/>
    </xf>
    <xf numFmtId="167" fontId="20" fillId="0" borderId="0" xfId="28" applyNumberFormat="1" applyFont="1" applyFill="1" applyBorder="1" applyAlignment="1">
      <alignment horizontal="right"/>
    </xf>
    <xf numFmtId="0" fontId="20" fillId="0" borderId="0" xfId="28" applyFont="1" applyFill="1" applyBorder="1" applyAlignment="1"/>
    <xf numFmtId="3" fontId="20" fillId="0" borderId="0" xfId="28" applyNumberFormat="1" applyFont="1" applyFill="1" applyBorder="1" applyAlignment="1"/>
    <xf numFmtId="0" fontId="20" fillId="0" borderId="0" xfId="28" applyFont="1" applyFill="1" applyBorder="1" applyAlignment="1">
      <alignment horizontal="right"/>
    </xf>
    <xf numFmtId="164" fontId="20" fillId="0" borderId="0" xfId="0" quotePrefix="1" applyNumberFormat="1" applyFont="1" applyFill="1" applyAlignment="1">
      <alignment horizontal="right"/>
    </xf>
    <xf numFmtId="164" fontId="20" fillId="0" borderId="0" xfId="0" applyNumberFormat="1" applyFont="1" applyFill="1" applyBorder="1" applyAlignment="1">
      <alignment horizontal="right"/>
    </xf>
    <xf numFmtId="0" fontId="20" fillId="37" borderId="3" xfId="0" applyFont="1" applyFill="1" applyBorder="1" applyAlignment="1">
      <alignment horizontal="center"/>
    </xf>
    <xf numFmtId="0" fontId="20" fillId="37" borderId="3" xfId="0" applyFont="1" applyFill="1" applyBorder="1"/>
    <xf numFmtId="39" fontId="20" fillId="37" borderId="3" xfId="22" applyNumberFormat="1" applyFont="1" applyFill="1" applyBorder="1" applyAlignment="1">
      <alignment horizontal="center"/>
    </xf>
    <xf numFmtId="39" fontId="20" fillId="0" borderId="6" xfId="22" applyNumberFormat="1" applyFont="1" applyBorder="1" applyAlignment="1">
      <alignment horizontal="center"/>
    </xf>
    <xf numFmtId="0" fontId="0" fillId="0" borderId="9" xfId="0" applyBorder="1" applyAlignment="1"/>
    <xf numFmtId="0" fontId="0" fillId="0" borderId="4" xfId="0" applyBorder="1" applyAlignment="1"/>
    <xf numFmtId="39" fontId="20" fillId="0" borderId="3" xfId="22" applyNumberFormat="1" applyFont="1" applyBorder="1" applyAlignment="1">
      <alignment horizontal="center" wrapText="1"/>
    </xf>
    <xf numFmtId="39" fontId="20" fillId="0" borderId="3" xfId="22" quotePrefix="1" applyNumberFormat="1" applyFont="1" applyFill="1" applyBorder="1" applyAlignment="1">
      <alignment horizontal="center"/>
    </xf>
    <xf numFmtId="0" fontId="20" fillId="0" borderId="3" xfId="0" quotePrefix="1" applyNumberFormat="1" applyFont="1" applyBorder="1"/>
    <xf numFmtId="39" fontId="20" fillId="36" borderId="4" xfId="22" quotePrefix="1" applyNumberFormat="1" applyFont="1" applyFill="1" applyBorder="1" applyAlignment="1">
      <alignment horizontal="center"/>
    </xf>
    <xf numFmtId="39" fontId="20" fillId="36" borderId="3" xfId="22" quotePrefix="1" applyNumberFormat="1" applyFont="1" applyFill="1" applyBorder="1" applyAlignment="1">
      <alignment horizontal="center"/>
    </xf>
    <xf numFmtId="37" fontId="20" fillId="0" borderId="3" xfId="22" applyNumberFormat="1" applyFont="1" applyFill="1" applyBorder="1" applyAlignment="1">
      <alignment horizontal="center"/>
    </xf>
    <xf numFmtId="0" fontId="20" fillId="0" borderId="4" xfId="0" applyNumberFormat="1" applyFont="1" applyFill="1" applyBorder="1"/>
    <xf numFmtId="37" fontId="20" fillId="0" borderId="0" xfId="0" applyNumberFormat="1" applyFont="1" applyFill="1" applyBorder="1" applyAlignment="1">
      <alignment horizontal="center"/>
    </xf>
    <xf numFmtId="0" fontId="20" fillId="0" borderId="0" xfId="0" applyFont="1" applyBorder="1" applyAlignment="1">
      <alignment horizontal="center"/>
    </xf>
    <xf numFmtId="0" fontId="20" fillId="0" borderId="0" xfId="0" quotePrefix="1" applyNumberFormat="1" applyFont="1" applyBorder="1" applyAlignment="1">
      <alignment horizontal="center"/>
    </xf>
    <xf numFmtId="0" fontId="20" fillId="0" borderId="3" xfId="0" quotePrefix="1" applyNumberFormat="1" applyFont="1" applyBorder="1" applyAlignment="1">
      <alignment horizontal="left"/>
    </xf>
    <xf numFmtId="37" fontId="20" fillId="36" borderId="3" xfId="22" applyNumberFormat="1" applyFont="1" applyFill="1" applyBorder="1" applyAlignment="1">
      <alignment horizontal="center"/>
    </xf>
    <xf numFmtId="0" fontId="20" fillId="36" borderId="3" xfId="0" applyNumberFormat="1" applyFont="1" applyFill="1" applyBorder="1" applyAlignment="1">
      <alignment horizontal="left"/>
    </xf>
    <xf numFmtId="0" fontId="20" fillId="0" borderId="3" xfId="22" applyNumberFormat="1" applyFont="1" applyFill="1" applyBorder="1" applyAlignment="1">
      <alignment horizontal="left"/>
    </xf>
    <xf numFmtId="0" fontId="20" fillId="36" borderId="3" xfId="22" applyNumberFormat="1" applyFont="1" applyFill="1" applyBorder="1" applyAlignment="1">
      <alignment horizontal="left"/>
    </xf>
    <xf numFmtId="177" fontId="20" fillId="36" borderId="3" xfId="22" applyNumberFormat="1" applyFont="1" applyFill="1" applyBorder="1"/>
    <xf numFmtId="39" fontId="20" fillId="0" borderId="0" xfId="22" applyNumberFormat="1" applyFont="1" applyBorder="1" applyAlignment="1">
      <alignment horizontal="center"/>
    </xf>
    <xf numFmtId="0" fontId="20" fillId="0" borderId="0" xfId="0" applyFont="1" applyFill="1" applyBorder="1" applyAlignment="1">
      <alignment horizontal="center"/>
    </xf>
    <xf numFmtId="39" fontId="20" fillId="0" borderId="0" xfId="22" applyNumberFormat="1" applyFont="1" applyFill="1" applyBorder="1" applyAlignment="1">
      <alignment horizontal="center"/>
    </xf>
    <xf numFmtId="176" fontId="20" fillId="0" borderId="0" xfId="22" applyNumberFormat="1" applyFont="1" applyBorder="1" applyAlignment="1">
      <alignment horizontal="center"/>
    </xf>
    <xf numFmtId="0" fontId="20" fillId="0" borderId="6" xfId="0" applyFont="1" applyFill="1" applyBorder="1" applyAlignment="1">
      <alignment horizontal="left"/>
    </xf>
    <xf numFmtId="0" fontId="20" fillId="0" borderId="4" xfId="0" applyFont="1" applyFill="1" applyBorder="1" applyAlignment="1">
      <alignment horizontal="left"/>
    </xf>
    <xf numFmtId="0" fontId="20" fillId="0" borderId="6" xfId="0" applyFont="1" applyFill="1" applyBorder="1" applyAlignment="1">
      <alignment horizontal="left"/>
    </xf>
    <xf numFmtId="0" fontId="20" fillId="0" borderId="4" xfId="0" applyFont="1" applyFill="1" applyBorder="1" applyAlignment="1">
      <alignment horizontal="left"/>
    </xf>
    <xf numFmtId="0" fontId="20" fillId="36" borderId="6" xfId="0" applyFont="1" applyFill="1" applyBorder="1" applyAlignment="1"/>
    <xf numFmtId="0" fontId="20" fillId="36" borderId="4" xfId="0" applyFont="1" applyFill="1" applyBorder="1" applyAlignment="1"/>
    <xf numFmtId="0" fontId="20" fillId="36" borderId="3" xfId="0" applyFont="1" applyFill="1" applyBorder="1"/>
    <xf numFmtId="39" fontId="20" fillId="36" borderId="3" xfId="22" applyNumberFormat="1" applyFont="1" applyFill="1" applyBorder="1" applyAlignment="1">
      <alignment horizontal="center"/>
    </xf>
    <xf numFmtId="39" fontId="20" fillId="36" borderId="3" xfId="0" applyNumberFormat="1" applyFont="1" applyFill="1" applyBorder="1" applyAlignment="1">
      <alignment horizontal="center"/>
    </xf>
    <xf numFmtId="0" fontId="20" fillId="0" borderId="0" xfId="0" quotePrefix="1" applyNumberFormat="1" applyFont="1" applyBorder="1"/>
    <xf numFmtId="0" fontId="20" fillId="0" borderId="0" xfId="0" quotePrefix="1" applyNumberFormat="1" applyFont="1" applyFill="1" applyBorder="1"/>
    <xf numFmtId="39" fontId="20" fillId="0" borderId="0" xfId="22" quotePrefix="1" applyNumberFormat="1" applyFont="1" applyBorder="1" applyAlignment="1">
      <alignment horizontal="center"/>
    </xf>
    <xf numFmtId="39" fontId="20" fillId="0" borderId="0" xfId="22" quotePrefix="1" applyNumberFormat="1" applyFont="1" applyFill="1" applyBorder="1" applyAlignment="1">
      <alignment horizontal="center"/>
    </xf>
    <xf numFmtId="0" fontId="20" fillId="37" borderId="3" xfId="0" quotePrefix="1" applyNumberFormat="1" applyFont="1" applyFill="1" applyBorder="1"/>
    <xf numFmtId="39" fontId="20" fillId="0" borderId="3" xfId="22" applyNumberFormat="1" applyFont="1" applyBorder="1" applyAlignment="1">
      <alignment horizontal="right"/>
    </xf>
    <xf numFmtId="49" fontId="20" fillId="0" borderId="0" xfId="22" applyNumberFormat="1" applyFont="1" applyBorder="1" applyAlignment="1">
      <alignment horizontal="left"/>
    </xf>
    <xf numFmtId="39" fontId="20" fillId="0" borderId="3" xfId="22" quotePrefix="1" applyNumberFormat="1" applyFont="1" applyBorder="1" applyAlignment="1">
      <alignment horizontal="center"/>
    </xf>
    <xf numFmtId="49" fontId="20" fillId="0" borderId="0" xfId="22" quotePrefix="1" applyNumberFormat="1" applyFont="1" applyFill="1" applyBorder="1" applyAlignment="1">
      <alignment horizontal="left"/>
    </xf>
    <xf numFmtId="49" fontId="20" fillId="0" borderId="0" xfId="0" applyNumberFormat="1" applyFont="1" applyFill="1" applyBorder="1" applyAlignment="1">
      <alignment horizontal="left"/>
    </xf>
    <xf numFmtId="10" fontId="20" fillId="0" borderId="3" xfId="38" applyNumberFormat="1" applyFont="1" applyFill="1" applyBorder="1" applyAlignment="1">
      <alignment horizontal="center"/>
    </xf>
    <xf numFmtId="176" fontId="20" fillId="0" borderId="0" xfId="22" applyNumberFormat="1" applyFont="1" applyFill="1" applyBorder="1" applyAlignment="1">
      <alignment horizontal="center"/>
    </xf>
    <xf numFmtId="39" fontId="20" fillId="0" borderId="0" xfId="19" applyNumberFormat="1" applyFont="1" applyFill="1" applyBorder="1" applyAlignment="1">
      <alignment horizontal="center"/>
    </xf>
    <xf numFmtId="39" fontId="20" fillId="0" borderId="0" xfId="19" applyNumberFormat="1" applyFont="1" applyBorder="1" applyAlignment="1">
      <alignment horizontal="center"/>
    </xf>
    <xf numFmtId="164" fontId="20" fillId="0" borderId="0" xfId="19" applyNumberFormat="1" applyFont="1" applyBorder="1" applyAlignment="1">
      <alignment horizontal="center"/>
    </xf>
    <xf numFmtId="164" fontId="20" fillId="0" borderId="0" xfId="19" applyNumberFormat="1" applyFont="1" applyBorder="1" applyAlignment="1">
      <alignment horizontal="right"/>
    </xf>
    <xf numFmtId="0" fontId="20" fillId="0" borderId="0" xfId="0" applyFont="1" applyBorder="1" applyAlignment="1">
      <alignment vertical="top"/>
    </xf>
    <xf numFmtId="39" fontId="20" fillId="36" borderId="0" xfId="22" applyNumberFormat="1" applyFont="1" applyFill="1" applyBorder="1" applyAlignment="1">
      <alignment horizontal="center"/>
    </xf>
    <xf numFmtId="0" fontId="20" fillId="36" borderId="0" xfId="0" applyFont="1" applyFill="1" applyAlignment="1">
      <alignment horizontal="right"/>
    </xf>
    <xf numFmtId="164" fontId="20" fillId="0" borderId="0" xfId="0" applyNumberFormat="1" applyFont="1" applyFill="1" applyAlignment="1">
      <alignment horizontal="right" indent="1"/>
    </xf>
    <xf numFmtId="164" fontId="20" fillId="0" borderId="0" xfId="0" applyNumberFormat="1" applyFont="1" applyAlignment="1">
      <alignment horizontal="center"/>
    </xf>
    <xf numFmtId="0" fontId="20" fillId="0" borderId="0" xfId="28" applyFont="1" applyFill="1" applyBorder="1" applyAlignment="1">
      <alignment horizontal="left" vertical="center" indent="1"/>
    </xf>
    <xf numFmtId="164" fontId="20" fillId="0" borderId="0" xfId="28" applyNumberFormat="1" applyFont="1" applyFill="1" applyBorder="1" applyAlignment="1">
      <alignment horizontal="right" vertical="center" wrapText="1"/>
    </xf>
    <xf numFmtId="164" fontId="20" fillId="0" borderId="0" xfId="20" applyNumberFormat="1" applyFont="1" applyFill="1"/>
    <xf numFmtId="164" fontId="20" fillId="0" borderId="0" xfId="28" applyNumberFormat="1" applyFont="1" applyFill="1" applyBorder="1" applyAlignment="1">
      <alignment horizontal="right"/>
    </xf>
    <xf numFmtId="164" fontId="20" fillId="0" borderId="0" xfId="28" applyNumberFormat="1" applyFont="1" applyFill="1" applyAlignment="1">
      <alignment vertical="center"/>
    </xf>
    <xf numFmtId="41" fontId="20" fillId="0" borderId="0" xfId="20" applyNumberFormat="1" applyFont="1" applyFill="1"/>
    <xf numFmtId="41" fontId="20" fillId="0" borderId="0" xfId="28" applyNumberFormat="1" applyFont="1" applyFill="1"/>
    <xf numFmtId="41" fontId="20" fillId="0" borderId="0" xfId="20" applyNumberFormat="1" applyFont="1"/>
    <xf numFmtId="41" fontId="20" fillId="0" borderId="0" xfId="20" applyNumberFormat="1" applyFont="1" applyAlignment="1" applyProtection="1">
      <alignment horizontal="right" indent="2"/>
    </xf>
    <xf numFmtId="0" fontId="20" fillId="0" borderId="0" xfId="28" applyFont="1" applyFill="1" applyAlignment="1">
      <alignment horizontal="left" wrapText="1" indent="1"/>
    </xf>
    <xf numFmtId="42" fontId="20" fillId="0" borderId="0" xfId="28" applyNumberFormat="1" applyFont="1"/>
    <xf numFmtId="42" fontId="20" fillId="0" borderId="0" xfId="20" applyNumberFormat="1" applyFont="1" applyFill="1" applyBorder="1"/>
    <xf numFmtId="42" fontId="20" fillId="0" borderId="0" xfId="28" applyNumberFormat="1" applyFont="1" applyBorder="1"/>
    <xf numFmtId="42" fontId="20" fillId="0" borderId="0" xfId="20" applyNumberFormat="1" applyFont="1" applyBorder="1"/>
    <xf numFmtId="164" fontId="20" fillId="0" borderId="0" xfId="20" applyNumberFormat="1" applyFont="1" applyFill="1" applyBorder="1"/>
    <xf numFmtId="164" fontId="20" fillId="0" borderId="0" xfId="20" applyNumberFormat="1" applyFont="1" applyBorder="1"/>
    <xf numFmtId="43" fontId="20" fillId="0" borderId="0" xfId="28" applyNumberFormat="1" applyFont="1"/>
    <xf numFmtId="41" fontId="20" fillId="0" borderId="0" xfId="28" applyNumberFormat="1" applyFont="1"/>
    <xf numFmtId="164" fontId="20" fillId="0" borderId="0" xfId="28" applyNumberFormat="1" applyFont="1" applyBorder="1"/>
    <xf numFmtId="0" fontId="20" fillId="0" borderId="0" xfId="28" applyFont="1" applyFill="1" applyBorder="1" applyAlignment="1">
      <alignment horizontal="right" vertical="center"/>
    </xf>
    <xf numFmtId="168" fontId="20" fillId="0" borderId="0" xfId="39" applyNumberFormat="1" applyFont="1" applyFill="1" applyBorder="1" applyAlignment="1">
      <alignment vertical="center"/>
    </xf>
    <xf numFmtId="10" fontId="20" fillId="0" borderId="0" xfId="39" applyNumberFormat="1" applyFont="1" applyFill="1" applyBorder="1" applyAlignment="1">
      <alignment vertical="center"/>
    </xf>
    <xf numFmtId="10" fontId="20" fillId="0" borderId="0" xfId="39" applyNumberFormat="1" applyFont="1" applyFill="1" applyBorder="1"/>
    <xf numFmtId="164" fontId="20" fillId="0" borderId="0" xfId="39" applyNumberFormat="1" applyFont="1" applyFill="1"/>
    <xf numFmtId="42" fontId="20" fillId="0" borderId="0" xfId="20" applyNumberFormat="1" applyFont="1" applyFill="1"/>
    <xf numFmtId="42" fontId="20" fillId="0" borderId="0" xfId="39" applyNumberFormat="1" applyFont="1" applyFill="1"/>
    <xf numFmtId="42" fontId="20" fillId="0" borderId="0" xfId="28" applyNumberFormat="1" applyFont="1" applyFill="1"/>
    <xf numFmtId="168" fontId="20" fillId="0" borderId="0" xfId="28" applyNumberFormat="1" applyFont="1" applyFill="1"/>
    <xf numFmtId="166" fontId="20" fillId="0" borderId="57" xfId="126" applyNumberFormat="1" applyFont="1" applyBorder="1" applyAlignment="1">
      <alignment horizontal="center"/>
    </xf>
    <xf numFmtId="164" fontId="20" fillId="0" borderId="63" xfId="126" applyNumberFormat="1" applyFont="1" applyBorder="1"/>
    <xf numFmtId="166" fontId="20" fillId="0" borderId="63" xfId="126" applyNumberFormat="1" applyFont="1" applyBorder="1" applyAlignment="1">
      <alignment horizontal="center"/>
    </xf>
    <xf numFmtId="0" fontId="20" fillId="0" borderId="63" xfId="0" applyFont="1" applyBorder="1" applyAlignment="1">
      <alignment horizontal="center"/>
    </xf>
    <xf numFmtId="0" fontId="20" fillId="0" borderId="58" xfId="126" applyFont="1" applyFill="1" applyBorder="1" applyAlignment="1">
      <alignment horizontal="center"/>
    </xf>
    <xf numFmtId="166" fontId="20" fillId="0" borderId="57" xfId="126" quotePrefix="1" applyNumberFormat="1" applyFont="1" applyFill="1" applyBorder="1" applyAlignment="1">
      <alignment horizontal="center"/>
    </xf>
    <xf numFmtId="166" fontId="20" fillId="0" borderId="63" xfId="126" applyNumberFormat="1" applyFont="1" applyFill="1" applyBorder="1" applyAlignment="1">
      <alignment horizontal="center"/>
    </xf>
    <xf numFmtId="166" fontId="20" fillId="0" borderId="57" xfId="126" applyNumberFormat="1" applyFont="1" applyFill="1" applyBorder="1" applyAlignment="1">
      <alignment horizontal="center"/>
    </xf>
  </cellXfs>
  <cellStyles count="53894">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Debt Sept 94" xfId="53892" xr:uid="{00000000-0005-0000-0000-0000529F0000}"/>
    <cellStyle name="Normal_Rate-Design" xfId="35" xr:uid="{00000000-0005-0000-0000-0000539F0000}"/>
    <cellStyle name="Normal_Review_only_Extract_Bond_Amortizations_from_Journal_Entry_Data" xfId="53893" xr:uid="{00000000-0005-0000-0000-000054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1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99"/>
      <color rgb="FFCCFFCC"/>
      <color rgb="FFCCECFF"/>
      <color rgb="FFFFCC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11"/>
  <sheetViews>
    <sheetView zoomScaleNormal="100" workbookViewId="0"/>
  </sheetViews>
  <sheetFormatPr defaultColWidth="9.140625" defaultRowHeight="12.75"/>
  <cols>
    <col min="1" max="2" width="9.140625" style="768"/>
    <col min="3" max="3" width="8.42578125" style="768" customWidth="1"/>
    <col min="4" max="16384" width="9.140625" style="768"/>
  </cols>
  <sheetData>
    <row r="2" spans="1:11" ht="27.75">
      <c r="C2" s="1121"/>
      <c r="D2" s="1122"/>
      <c r="E2" s="1122"/>
      <c r="F2" s="1122"/>
      <c r="G2" s="1122"/>
      <c r="H2" s="1122"/>
    </row>
    <row r="3" spans="1:11">
      <c r="D3" s="298"/>
    </row>
    <row r="4" spans="1:11" ht="23.25">
      <c r="B4" s="1124"/>
      <c r="C4" s="1124"/>
      <c r="D4" s="1124"/>
      <c r="E4" s="1124"/>
      <c r="F4" s="1124"/>
      <c r="G4" s="1124"/>
      <c r="H4" s="1124"/>
      <c r="I4" s="1124"/>
    </row>
    <row r="5" spans="1:11" ht="23.25">
      <c r="B5" s="1110"/>
      <c r="C5" s="1110"/>
      <c r="D5" s="1124"/>
      <c r="E5" s="1122"/>
      <c r="F5" s="1122"/>
      <c r="G5" s="1122"/>
      <c r="H5" s="1110"/>
      <c r="I5" s="1110"/>
    </row>
    <row r="6" spans="1:11" ht="23.25">
      <c r="B6" s="1110"/>
      <c r="C6" s="1110"/>
      <c r="D6" s="1110"/>
      <c r="E6" s="1109"/>
      <c r="F6" s="1109"/>
      <c r="G6" s="1109"/>
      <c r="H6" s="1110"/>
      <c r="I6" s="1110"/>
    </row>
    <row r="7" spans="1:11" ht="23.25">
      <c r="B7" s="1110"/>
      <c r="C7" s="1110"/>
      <c r="D7" s="1110"/>
      <c r="E7" s="1109"/>
      <c r="F7" s="1109"/>
      <c r="G7" s="1109"/>
      <c r="H7" s="1110"/>
      <c r="I7" s="1110"/>
    </row>
    <row r="9" spans="1:11" ht="26.25">
      <c r="A9" s="1123" t="s">
        <v>0</v>
      </c>
      <c r="B9" s="1123"/>
      <c r="C9" s="1123"/>
      <c r="D9" s="1123"/>
      <c r="E9" s="1123"/>
      <c r="F9" s="1123"/>
      <c r="G9" s="1123"/>
      <c r="H9" s="1123"/>
      <c r="I9" s="1123"/>
      <c r="J9" s="1123"/>
      <c r="K9" s="1123"/>
    </row>
    <row r="10" spans="1:11">
      <c r="D10" s="1"/>
    </row>
    <row r="11" spans="1:11" ht="20.25">
      <c r="A11" s="1125" t="s">
        <v>1</v>
      </c>
      <c r="B11" s="1125"/>
      <c r="C11" s="1125"/>
      <c r="D11" s="1125"/>
      <c r="E11" s="1125"/>
      <c r="F11" s="1125"/>
      <c r="G11" s="1125"/>
      <c r="H11" s="1125"/>
      <c r="I11" s="1125"/>
      <c r="J11" s="1125"/>
      <c r="K11" s="1125"/>
    </row>
  </sheetData>
  <mergeCells count="5">
    <mergeCell ref="C2:H2"/>
    <mergeCell ref="A9:K9"/>
    <mergeCell ref="B4:I4"/>
    <mergeCell ref="D5:G5"/>
    <mergeCell ref="A11:K11"/>
  </mergeCells>
  <pageMargins left="0.7" right="0.7" top="0.75" bottom="0.75" header="0.3" footer="0.3"/>
  <pageSetup scale="92" orientation="portrait" r:id="rId1"/>
  <headerFooter>
    <oddHeader>&amp;C&amp;"Arial,Bold"
&amp;RTO2020 Draft Annual Update 
Attachment1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93"/>
  <sheetViews>
    <sheetView zoomScaleNormal="100" workbookViewId="0"/>
  </sheetViews>
  <sheetFormatPr defaultColWidth="8.85546875" defaultRowHeight="12.75"/>
  <cols>
    <col min="1" max="1" width="5.7109375" style="768" customWidth="1"/>
    <col min="2" max="2" width="28.140625" style="768" customWidth="1"/>
    <col min="3" max="3" width="14.7109375" style="768" customWidth="1"/>
    <col min="4" max="4" width="13.85546875" style="768" customWidth="1"/>
    <col min="5" max="5" width="15.7109375" style="768" customWidth="1"/>
    <col min="6" max="6" width="15.28515625" style="768" customWidth="1"/>
    <col min="7" max="7" width="7.7109375" style="768" customWidth="1"/>
    <col min="8" max="8" width="13.42578125" style="768" customWidth="1"/>
    <col min="9" max="9" width="13.7109375" style="768" customWidth="1"/>
    <col min="10" max="10" width="9.5703125" style="768" customWidth="1"/>
    <col min="11" max="11" width="18.85546875" style="768" customWidth="1"/>
    <col min="12" max="12" width="13.7109375" style="768" customWidth="1"/>
    <col min="13" max="13" width="8.85546875" style="768"/>
    <col min="14" max="14" width="20.7109375" style="768" customWidth="1"/>
    <col min="15" max="16384" width="8.85546875" style="768"/>
  </cols>
  <sheetData>
    <row r="1" spans="1:13">
      <c r="A1" s="1" t="s">
        <v>155</v>
      </c>
    </row>
    <row r="2" spans="1:13">
      <c r="B2" s="296" t="s">
        <v>579</v>
      </c>
      <c r="C2" s="746">
        <v>2018</v>
      </c>
      <c r="E2" s="914"/>
    </row>
    <row r="3" spans="1:13">
      <c r="B3" s="915"/>
      <c r="M3" s="916"/>
    </row>
    <row r="4" spans="1:13">
      <c r="B4" s="1" t="s">
        <v>580</v>
      </c>
      <c r="M4" s="916"/>
    </row>
    <row r="5" spans="1:13">
      <c r="A5" s="28" t="s">
        <v>243</v>
      </c>
      <c r="E5" s="2" t="s">
        <v>79</v>
      </c>
      <c r="F5" s="2" t="s">
        <v>251</v>
      </c>
    </row>
    <row r="6" spans="1:13">
      <c r="A6" s="917">
        <v>1</v>
      </c>
      <c r="D6" s="296" t="s">
        <v>581</v>
      </c>
      <c r="E6" s="5">
        <f>K70</f>
        <v>589068393.99237454</v>
      </c>
      <c r="F6" s="11" t="str">
        <f>"Line "&amp;A70&amp;", Col 10"</f>
        <v>Line 200, Col 10</v>
      </c>
      <c r="G6" s="10"/>
    </row>
    <row r="7" spans="1:13">
      <c r="A7" s="917">
        <f>A6+1</f>
        <v>2</v>
      </c>
      <c r="D7" s="296" t="s">
        <v>582</v>
      </c>
      <c r="E7" s="68">
        <v>14594851</v>
      </c>
      <c r="F7" s="302" t="s">
        <v>583</v>
      </c>
      <c r="G7" s="10"/>
    </row>
    <row r="8" spans="1:13">
      <c r="A8" s="917">
        <f t="shared" ref="A8:A12" si="0">A7+1</f>
        <v>3</v>
      </c>
      <c r="D8" s="296" t="s">
        <v>584</v>
      </c>
      <c r="E8" s="5">
        <f>SUM(E6:E7)</f>
        <v>603663244.99237454</v>
      </c>
      <c r="F8" s="371" t="s">
        <v>585</v>
      </c>
      <c r="G8" s="10"/>
    </row>
    <row r="9" spans="1:13">
      <c r="A9" s="917">
        <f t="shared" si="0"/>
        <v>4</v>
      </c>
      <c r="F9" s="38"/>
      <c r="G9" s="10"/>
    </row>
    <row r="10" spans="1:13">
      <c r="A10" s="917">
        <f t="shared" si="0"/>
        <v>5</v>
      </c>
      <c r="D10" s="296" t="s">
        <v>586</v>
      </c>
      <c r="E10" s="5">
        <f>F70</f>
        <v>13008390000</v>
      </c>
      <c r="F10" s="11" t="str">
        <f>"Line "&amp;A70&amp;", Col 5"</f>
        <v>Line 200, Col 5</v>
      </c>
      <c r="G10" s="10"/>
    </row>
    <row r="11" spans="1:13">
      <c r="A11" s="917">
        <f t="shared" si="0"/>
        <v>6</v>
      </c>
      <c r="C11" s="298"/>
      <c r="D11" s="296" t="s">
        <v>587</v>
      </c>
      <c r="E11" s="305">
        <f>+F79</f>
        <v>0</v>
      </c>
      <c r="F11" s="11" t="str">
        <f>"Line "&amp;A79&amp;", Col 5"</f>
        <v>Line 203, Col 5</v>
      </c>
      <c r="G11" s="10"/>
    </row>
    <row r="12" spans="1:13">
      <c r="A12" s="917">
        <f t="shared" si="0"/>
        <v>7</v>
      </c>
      <c r="D12" s="296" t="s">
        <v>588</v>
      </c>
      <c r="E12" s="305">
        <f>'5-ROR-2'!P22</f>
        <v>-153217433.77000001</v>
      </c>
      <c r="F12" s="302" t="str">
        <f>"5-ROR-2, Line "&amp;'5-ROR-2'!A22&amp;", Col. 14 (Negative of FF1 111.81c)"</f>
        <v>5-ROR-2, Line 8, Col. 14 (Negative of FF1 111.81c)</v>
      </c>
      <c r="G12" s="10"/>
    </row>
    <row r="13" spans="1:13">
      <c r="A13" s="917">
        <f>A12+1</f>
        <v>8</v>
      </c>
      <c r="D13" s="296" t="s">
        <v>254</v>
      </c>
      <c r="E13" s="1002">
        <f>'1-BaseTRR'!K102</f>
        <v>0.27983599999999997</v>
      </c>
      <c r="F13" s="302" t="s">
        <v>589</v>
      </c>
      <c r="G13" s="10"/>
    </row>
    <row r="14" spans="1:13">
      <c r="A14" s="917">
        <f>A13+1</f>
        <v>9</v>
      </c>
      <c r="D14" s="296" t="s">
        <v>590</v>
      </c>
      <c r="E14" s="55">
        <f>E12*(1 - E13)</f>
        <v>-110341679.97353829</v>
      </c>
      <c r="F14" s="371" t="s">
        <v>591</v>
      </c>
      <c r="G14" s="10"/>
    </row>
    <row r="15" spans="1:13">
      <c r="A15" s="917">
        <f>A14+1</f>
        <v>10</v>
      </c>
      <c r="D15" s="296" t="s">
        <v>592</v>
      </c>
      <c r="E15" s="5">
        <f>E10+E11+E14</f>
        <v>12898048320.026463</v>
      </c>
      <c r="F15" s="371" t="s">
        <v>593</v>
      </c>
      <c r="G15" s="10"/>
    </row>
    <row r="16" spans="1:13">
      <c r="A16" s="917">
        <f t="shared" ref="A16:A17" si="1">A15+1</f>
        <v>11</v>
      </c>
      <c r="F16" s="38"/>
      <c r="G16" s="10"/>
    </row>
    <row r="17" spans="1:15">
      <c r="A17" s="917">
        <f t="shared" si="1"/>
        <v>12</v>
      </c>
      <c r="D17" s="296" t="s">
        <v>594</v>
      </c>
      <c r="E17" s="6">
        <f>E8/E15</f>
        <v>4.6802681306061043E-2</v>
      </c>
      <c r="F17" s="371" t="s">
        <v>595</v>
      </c>
      <c r="G17" s="10"/>
    </row>
    <row r="19" spans="1:15">
      <c r="B19" s="1" t="s">
        <v>596</v>
      </c>
    </row>
    <row r="20" spans="1:15">
      <c r="B20" s="52" t="s">
        <v>307</v>
      </c>
      <c r="C20" s="52" t="s">
        <v>308</v>
      </c>
      <c r="D20" s="52" t="s">
        <v>309</v>
      </c>
      <c r="E20" s="52" t="s">
        <v>310</v>
      </c>
      <c r="F20" s="52" t="s">
        <v>311</v>
      </c>
      <c r="G20" s="52" t="s">
        <v>312</v>
      </c>
      <c r="H20" s="52" t="s">
        <v>313</v>
      </c>
      <c r="I20" s="52" t="s">
        <v>314</v>
      </c>
      <c r="J20" s="52" t="s">
        <v>315</v>
      </c>
      <c r="K20" s="52" t="s">
        <v>534</v>
      </c>
      <c r="L20" s="52"/>
    </row>
    <row r="21" spans="1:15">
      <c r="B21" s="64" t="s">
        <v>597</v>
      </c>
      <c r="C21" s="64" t="s">
        <v>598</v>
      </c>
      <c r="D21" s="64" t="s">
        <v>599</v>
      </c>
      <c r="E21" s="64" t="s">
        <v>597</v>
      </c>
      <c r="F21" s="64" t="s">
        <v>600</v>
      </c>
      <c r="G21" s="64" t="s">
        <v>150</v>
      </c>
      <c r="H21" s="64" t="s">
        <v>601</v>
      </c>
      <c r="I21" s="680" t="s">
        <v>602</v>
      </c>
      <c r="J21" s="64" t="s">
        <v>187</v>
      </c>
      <c r="K21" s="680" t="s">
        <v>603</v>
      </c>
    </row>
    <row r="22" spans="1:15" ht="13.5" thickBot="1">
      <c r="H22" s="379" t="s">
        <v>170</v>
      </c>
    </row>
    <row r="23" spans="1:15" ht="67.150000000000006" customHeight="1" thickBot="1">
      <c r="A23" s="28" t="s">
        <v>243</v>
      </c>
      <c r="B23" s="919" t="s">
        <v>604</v>
      </c>
      <c r="C23" s="1182" t="s">
        <v>605</v>
      </c>
      <c r="D23" s="1182" t="s">
        <v>606</v>
      </c>
      <c r="E23" s="920" t="s">
        <v>607</v>
      </c>
      <c r="F23" s="1112" t="s">
        <v>608</v>
      </c>
      <c r="G23" s="921" t="s">
        <v>609</v>
      </c>
      <c r="H23" s="1111" t="s">
        <v>610</v>
      </c>
      <c r="I23" s="922" t="s">
        <v>611</v>
      </c>
      <c r="J23" s="923" t="s">
        <v>612</v>
      </c>
      <c r="K23" s="1112" t="s">
        <v>613</v>
      </c>
      <c r="L23" s="1183" t="s">
        <v>614</v>
      </c>
    </row>
    <row r="24" spans="1:15">
      <c r="A24" s="917">
        <v>101</v>
      </c>
      <c r="B24" s="957" t="s">
        <v>615</v>
      </c>
      <c r="C24" s="928">
        <v>38000</v>
      </c>
      <c r="D24" s="928">
        <v>48959</v>
      </c>
      <c r="E24" s="929">
        <v>0.06</v>
      </c>
      <c r="F24" s="325">
        <v>525000</v>
      </c>
      <c r="G24" s="935">
        <f>ROUND(($D24-$C24)/365.25,0)</f>
        <v>30</v>
      </c>
      <c r="H24" s="325">
        <v>8280</v>
      </c>
      <c r="I24" s="5">
        <f t="shared" ref="I24:I54" si="2">F24-H24</f>
        <v>516720</v>
      </c>
      <c r="J24" s="918">
        <f>(RATE(G24*2,-(E24*F24)/2,I24,-F24))*2</f>
        <v>6.1153861368713168E-2</v>
      </c>
      <c r="K24" s="5">
        <f>F24*J24</f>
        <v>32105.777218574414</v>
      </c>
      <c r="L24" s="925"/>
      <c r="M24" s="39"/>
      <c r="O24" s="926"/>
    </row>
    <row r="25" spans="1:15">
      <c r="A25" s="917">
        <f>A24+1</f>
        <v>102</v>
      </c>
      <c r="B25" s="958" t="s">
        <v>616</v>
      </c>
      <c r="C25" s="928">
        <v>38069</v>
      </c>
      <c r="D25" s="928">
        <v>49400</v>
      </c>
      <c r="E25" s="929">
        <v>5.7500000000000002E-2</v>
      </c>
      <c r="F25" s="325">
        <v>350000</v>
      </c>
      <c r="G25" s="935">
        <f t="shared" ref="G25:G57" si="3">ROUND(($D25-$C25)/365.25,0)</f>
        <v>31</v>
      </c>
      <c r="H25" s="325">
        <v>3216.5</v>
      </c>
      <c r="I25" s="5">
        <f t="shared" si="2"/>
        <v>346783.5</v>
      </c>
      <c r="J25" s="918">
        <f t="shared" ref="J25:J54" si="4">(RATE(G25*2,-(E25*F25)/2,I25,-F25))*2</f>
        <v>5.814314987689452E-2</v>
      </c>
      <c r="K25" s="5">
        <f t="shared" ref="K25:K54" si="5">F25*J25</f>
        <v>20350.102456913082</v>
      </c>
      <c r="L25" s="925"/>
      <c r="M25" s="39"/>
      <c r="N25" s="298"/>
      <c r="O25" s="926"/>
    </row>
    <row r="26" spans="1:15">
      <c r="A26" s="917">
        <f t="shared" ref="A26:A57" si="6">A25+1</f>
        <v>103</v>
      </c>
      <c r="B26" s="958" t="s">
        <v>617</v>
      </c>
      <c r="C26" s="928">
        <v>38371</v>
      </c>
      <c r="D26" s="928">
        <v>49689</v>
      </c>
      <c r="E26" s="929">
        <v>5.5500000000000001E-2</v>
      </c>
      <c r="F26" s="325">
        <v>250000</v>
      </c>
      <c r="G26" s="935">
        <f t="shared" si="3"/>
        <v>31</v>
      </c>
      <c r="H26" s="325">
        <v>3073.846</v>
      </c>
      <c r="I26" s="5">
        <f t="shared" si="2"/>
        <v>246926.15400000001</v>
      </c>
      <c r="J26" s="918">
        <f t="shared" si="4"/>
        <v>5.6343414504260142E-2</v>
      </c>
      <c r="K26" s="5">
        <f t="shared" si="5"/>
        <v>14085.853626065036</v>
      </c>
      <c r="L26" s="925"/>
      <c r="M26" s="39"/>
      <c r="O26" s="926"/>
    </row>
    <row r="27" spans="1:15">
      <c r="A27" s="917">
        <f t="shared" si="6"/>
        <v>104</v>
      </c>
      <c r="B27" s="958" t="s">
        <v>618</v>
      </c>
      <c r="C27" s="928">
        <v>38530</v>
      </c>
      <c r="D27" s="928">
        <v>49505</v>
      </c>
      <c r="E27" s="929">
        <v>5.3499999999999999E-2</v>
      </c>
      <c r="F27" s="325">
        <v>350000</v>
      </c>
      <c r="G27" s="935">
        <f t="shared" si="3"/>
        <v>30</v>
      </c>
      <c r="H27" s="325">
        <v>3230.5</v>
      </c>
      <c r="I27" s="5">
        <f t="shared" si="2"/>
        <v>346769.5</v>
      </c>
      <c r="J27" s="918">
        <f t="shared" si="4"/>
        <v>5.4125612750696946E-2</v>
      </c>
      <c r="K27" s="5">
        <f t="shared" si="5"/>
        <v>18943.96446274393</v>
      </c>
      <c r="L27" s="925"/>
      <c r="M27" s="39"/>
      <c r="O27" s="926"/>
    </row>
    <row r="28" spans="1:15">
      <c r="A28" s="917">
        <f t="shared" si="6"/>
        <v>105</v>
      </c>
      <c r="B28" s="958" t="s">
        <v>619</v>
      </c>
      <c r="C28" s="928">
        <v>38748</v>
      </c>
      <c r="D28" s="928">
        <v>49706</v>
      </c>
      <c r="E28" s="929">
        <v>5.6250000000000001E-2</v>
      </c>
      <c r="F28" s="325">
        <v>350000</v>
      </c>
      <c r="G28" s="935">
        <f t="shared" si="3"/>
        <v>30</v>
      </c>
      <c r="H28" s="325">
        <v>4287.5</v>
      </c>
      <c r="I28" s="5">
        <f t="shared" si="2"/>
        <v>345712.5</v>
      </c>
      <c r="J28" s="918">
        <f t="shared" si="4"/>
        <v>5.7108014561698187E-2</v>
      </c>
      <c r="K28" s="5">
        <f t="shared" si="5"/>
        <v>19987.805096594366</v>
      </c>
      <c r="L28" s="925"/>
      <c r="M28" s="39"/>
      <c r="O28" s="926"/>
    </row>
    <row r="29" spans="1:15">
      <c r="A29" s="917">
        <f t="shared" si="6"/>
        <v>106</v>
      </c>
      <c r="B29" s="958" t="s">
        <v>620</v>
      </c>
      <c r="C29" s="928">
        <v>39062</v>
      </c>
      <c r="D29" s="928">
        <v>50055</v>
      </c>
      <c r="E29" s="929">
        <v>5.5500000000000001E-2</v>
      </c>
      <c r="F29" s="325">
        <v>400000</v>
      </c>
      <c r="G29" s="935">
        <f t="shared" si="3"/>
        <v>30</v>
      </c>
      <c r="H29" s="325">
        <v>6176</v>
      </c>
      <c r="I29" s="5">
        <f t="shared" si="2"/>
        <v>393824</v>
      </c>
      <c r="J29" s="918">
        <f t="shared" si="4"/>
        <v>5.6575172725895399E-2</v>
      </c>
      <c r="K29" s="5">
        <f t="shared" si="5"/>
        <v>22630.06909035816</v>
      </c>
      <c r="L29" s="925"/>
      <c r="M29" s="39"/>
      <c r="O29" s="926"/>
    </row>
    <row r="30" spans="1:15">
      <c r="A30" s="917">
        <f t="shared" si="6"/>
        <v>107</v>
      </c>
      <c r="B30" s="958" t="s">
        <v>621</v>
      </c>
      <c r="C30" s="928">
        <v>39469</v>
      </c>
      <c r="D30" s="928">
        <v>50437</v>
      </c>
      <c r="E30" s="929">
        <v>5.9499999999999997E-2</v>
      </c>
      <c r="F30" s="325">
        <v>600000</v>
      </c>
      <c r="G30" s="935">
        <f t="shared" si="3"/>
        <v>30</v>
      </c>
      <c r="H30" s="325">
        <v>9110</v>
      </c>
      <c r="I30" s="5">
        <f t="shared" si="2"/>
        <v>590890</v>
      </c>
      <c r="J30" s="918">
        <f t="shared" si="4"/>
        <v>6.0604350787423024E-2</v>
      </c>
      <c r="K30" s="5">
        <f t="shared" si="5"/>
        <v>36362.610472453816</v>
      </c>
      <c r="L30" s="925"/>
      <c r="M30" s="39"/>
      <c r="O30" s="926"/>
    </row>
    <row r="31" spans="1:15">
      <c r="A31" s="917">
        <f t="shared" si="6"/>
        <v>108</v>
      </c>
      <c r="B31" s="958" t="s">
        <v>622</v>
      </c>
      <c r="C31" s="1090" t="s">
        <v>623</v>
      </c>
      <c r="D31" s="1090" t="s">
        <v>623</v>
      </c>
      <c r="E31" s="960" t="s">
        <v>623</v>
      </c>
      <c r="F31" s="340" t="s">
        <v>623</v>
      </c>
      <c r="G31" s="1091" t="s">
        <v>623</v>
      </c>
      <c r="H31" s="340" t="s">
        <v>623</v>
      </c>
      <c r="I31" s="1092" t="s">
        <v>623</v>
      </c>
      <c r="J31" s="1093" t="s">
        <v>623</v>
      </c>
      <c r="K31" s="1092" t="s">
        <v>623</v>
      </c>
      <c r="L31" s="925">
        <v>1</v>
      </c>
      <c r="M31" s="39"/>
      <c r="O31" s="926"/>
    </row>
    <row r="32" spans="1:15">
      <c r="A32" s="917">
        <f t="shared" si="6"/>
        <v>109</v>
      </c>
      <c r="B32" s="944" t="s">
        <v>624</v>
      </c>
      <c r="C32" s="928">
        <v>39892</v>
      </c>
      <c r="D32" s="928">
        <v>50844</v>
      </c>
      <c r="E32" s="929">
        <v>6.0499999999999998E-2</v>
      </c>
      <c r="F32" s="325">
        <v>500000</v>
      </c>
      <c r="G32" s="935">
        <f t="shared" si="3"/>
        <v>30</v>
      </c>
      <c r="H32" s="325">
        <v>8470</v>
      </c>
      <c r="I32" s="5">
        <f t="shared" si="2"/>
        <v>491530</v>
      </c>
      <c r="J32" s="918">
        <f t="shared" si="4"/>
        <v>6.1747187578585015E-2</v>
      </c>
      <c r="K32" s="5">
        <f t="shared" si="5"/>
        <v>30873.593789292507</v>
      </c>
      <c r="L32" s="925"/>
      <c r="M32" s="39"/>
      <c r="O32" s="926"/>
    </row>
    <row r="33" spans="1:15">
      <c r="A33" s="917">
        <f t="shared" si="6"/>
        <v>110</v>
      </c>
      <c r="B33" s="959" t="s">
        <v>625</v>
      </c>
      <c r="C33" s="928">
        <v>40248</v>
      </c>
      <c r="D33" s="928">
        <v>51210</v>
      </c>
      <c r="E33" s="929">
        <v>5.5E-2</v>
      </c>
      <c r="F33" s="325">
        <v>500000</v>
      </c>
      <c r="G33" s="935">
        <f t="shared" si="3"/>
        <v>30</v>
      </c>
      <c r="H33" s="325">
        <v>11365</v>
      </c>
      <c r="I33" s="5">
        <f t="shared" si="2"/>
        <v>488635</v>
      </c>
      <c r="J33" s="918">
        <f t="shared" si="4"/>
        <v>5.6582950497039763E-2</v>
      </c>
      <c r="K33" s="5">
        <f t="shared" si="5"/>
        <v>28291.475248519881</v>
      </c>
      <c r="L33" s="925"/>
      <c r="M33" s="39"/>
      <c r="O33" s="926"/>
    </row>
    <row r="34" spans="1:15">
      <c r="A34" s="917">
        <f t="shared" si="6"/>
        <v>111</v>
      </c>
      <c r="B34" s="958" t="s">
        <v>626</v>
      </c>
      <c r="C34" s="928">
        <v>40420</v>
      </c>
      <c r="D34" s="928">
        <v>51380</v>
      </c>
      <c r="E34" s="929">
        <v>4.4999999999999998E-2</v>
      </c>
      <c r="F34" s="325">
        <v>500000</v>
      </c>
      <c r="G34" s="935">
        <f t="shared" si="3"/>
        <v>30</v>
      </c>
      <c r="H34" s="325">
        <v>8505</v>
      </c>
      <c r="I34" s="5">
        <f t="shared" si="2"/>
        <v>491495</v>
      </c>
      <c r="J34" s="918">
        <f t="shared" si="4"/>
        <v>4.6051680419231418E-2</v>
      </c>
      <c r="K34" s="5">
        <f t="shared" si="5"/>
        <v>23025.840209615708</v>
      </c>
      <c r="L34" s="925"/>
      <c r="M34" s="39"/>
      <c r="O34" s="926"/>
    </row>
    <row r="35" spans="1:15">
      <c r="A35" s="917">
        <f t="shared" si="6"/>
        <v>112</v>
      </c>
      <c r="B35" s="958" t="s">
        <v>627</v>
      </c>
      <c r="C35" s="928">
        <v>40680</v>
      </c>
      <c r="D35" s="928">
        <v>44348</v>
      </c>
      <c r="E35" s="929">
        <v>3.875E-2</v>
      </c>
      <c r="F35" s="325">
        <v>500000</v>
      </c>
      <c r="G35" s="935">
        <f t="shared" si="3"/>
        <v>10</v>
      </c>
      <c r="H35" s="325">
        <v>7170</v>
      </c>
      <c r="I35" s="5">
        <f t="shared" si="2"/>
        <v>492830</v>
      </c>
      <c r="J35" s="918">
        <f t="shared" si="4"/>
        <v>4.0508279272036263E-2</v>
      </c>
      <c r="K35" s="5">
        <f t="shared" si="5"/>
        <v>20254.139636018132</v>
      </c>
      <c r="L35" s="925"/>
      <c r="M35" s="39"/>
      <c r="O35" s="926"/>
    </row>
    <row r="36" spans="1:15">
      <c r="A36" s="917">
        <f t="shared" si="6"/>
        <v>113</v>
      </c>
      <c r="B36" s="944" t="s">
        <v>628</v>
      </c>
      <c r="C36" s="928">
        <v>40859</v>
      </c>
      <c r="D36" s="928">
        <v>51836</v>
      </c>
      <c r="E36" s="929">
        <v>3.9E-2</v>
      </c>
      <c r="F36" s="325">
        <v>250000</v>
      </c>
      <c r="G36" s="935">
        <f t="shared" si="3"/>
        <v>30</v>
      </c>
      <c r="H36" s="325">
        <v>4117.5</v>
      </c>
      <c r="I36" s="5">
        <f t="shared" si="2"/>
        <v>245882.5</v>
      </c>
      <c r="J36" s="918">
        <f t="shared" si="4"/>
        <v>3.9947008990460907E-2</v>
      </c>
      <c r="K36" s="5">
        <f t="shared" si="5"/>
        <v>9986.7522476152262</v>
      </c>
      <c r="L36" s="925"/>
      <c r="M36" s="39"/>
      <c r="O36" s="926"/>
    </row>
    <row r="37" spans="1:15">
      <c r="A37" s="917">
        <f t="shared" si="6"/>
        <v>114</v>
      </c>
      <c r="B37" s="944" t="s">
        <v>629</v>
      </c>
      <c r="C37" s="928">
        <v>40981</v>
      </c>
      <c r="D37" s="928">
        <v>51940</v>
      </c>
      <c r="E37" s="929">
        <v>4.0500000000000001E-2</v>
      </c>
      <c r="F37" s="325">
        <v>400000</v>
      </c>
      <c r="G37" s="935">
        <f t="shared" si="3"/>
        <v>30</v>
      </c>
      <c r="H37" s="325">
        <v>9028.1899999999987</v>
      </c>
      <c r="I37" s="5">
        <f t="shared" si="2"/>
        <v>390971.81</v>
      </c>
      <c r="J37" s="918">
        <f t="shared" si="4"/>
        <v>4.1827501690688176E-2</v>
      </c>
      <c r="K37" s="5">
        <f t="shared" si="5"/>
        <v>16731.000676275271</v>
      </c>
      <c r="L37" s="925"/>
      <c r="M37" s="39"/>
      <c r="O37" s="926"/>
    </row>
    <row r="38" spans="1:15">
      <c r="A38" s="917">
        <f t="shared" si="6"/>
        <v>115</v>
      </c>
      <c r="B38" s="944" t="s">
        <v>630</v>
      </c>
      <c r="C38" s="928">
        <v>41340</v>
      </c>
      <c r="D38" s="928">
        <v>52305</v>
      </c>
      <c r="E38" s="929">
        <v>3.9E-2</v>
      </c>
      <c r="F38" s="325">
        <v>400000</v>
      </c>
      <c r="G38" s="935">
        <f t="shared" si="3"/>
        <v>30</v>
      </c>
      <c r="H38" s="325">
        <v>6709.82</v>
      </c>
      <c r="I38" s="5">
        <f t="shared" si="2"/>
        <v>393290.18</v>
      </c>
      <c r="J38" s="918">
        <f t="shared" si="4"/>
        <v>3.9964727283018524E-2</v>
      </c>
      <c r="K38" s="5">
        <f t="shared" si="5"/>
        <v>15985.89091320741</v>
      </c>
      <c r="L38" s="925"/>
      <c r="M38" s="39"/>
      <c r="O38" s="926"/>
    </row>
    <row r="39" spans="1:15">
      <c r="A39" s="917">
        <f t="shared" si="6"/>
        <v>116</v>
      </c>
      <c r="B39" s="944" t="s">
        <v>631</v>
      </c>
      <c r="C39" s="928">
        <v>41549</v>
      </c>
      <c r="D39" s="928">
        <v>45200</v>
      </c>
      <c r="E39" s="929">
        <v>3.5000000000000003E-2</v>
      </c>
      <c r="F39" s="325">
        <v>600000</v>
      </c>
      <c r="G39" s="935">
        <f t="shared" si="3"/>
        <v>10</v>
      </c>
      <c r="H39" s="325">
        <v>6269.0330000000004</v>
      </c>
      <c r="I39" s="5">
        <f t="shared" si="2"/>
        <v>593730.96699999995</v>
      </c>
      <c r="J39" s="918">
        <f t="shared" si="4"/>
        <v>3.6255001667021773E-2</v>
      </c>
      <c r="K39" s="5">
        <f t="shared" si="5"/>
        <v>21753.001000213062</v>
      </c>
      <c r="L39" s="925"/>
      <c r="M39" s="39"/>
      <c r="O39" s="926"/>
    </row>
    <row r="40" spans="1:15">
      <c r="A40" s="917">
        <f t="shared" si="6"/>
        <v>117</v>
      </c>
      <c r="B40" s="944" t="s">
        <v>632</v>
      </c>
      <c r="C40" s="928">
        <v>41549</v>
      </c>
      <c r="D40" s="928">
        <v>52505</v>
      </c>
      <c r="E40" s="929">
        <v>4.65E-2</v>
      </c>
      <c r="F40" s="325">
        <v>800000</v>
      </c>
      <c r="G40" s="935">
        <f t="shared" si="3"/>
        <v>30</v>
      </c>
      <c r="H40" s="325">
        <v>13851.630999999999</v>
      </c>
      <c r="I40" s="5">
        <f t="shared" si="2"/>
        <v>786148.36899999995</v>
      </c>
      <c r="J40" s="918">
        <f t="shared" si="4"/>
        <v>4.7589805461885716E-2</v>
      </c>
      <c r="K40" s="5">
        <f t="shared" si="5"/>
        <v>38071.844369508573</v>
      </c>
      <c r="L40" s="925"/>
      <c r="M40" s="39"/>
      <c r="O40" s="926"/>
    </row>
    <row r="41" spans="1:15">
      <c r="A41" s="917">
        <f t="shared" si="6"/>
        <v>118</v>
      </c>
      <c r="B41" s="944" t="s">
        <v>633</v>
      </c>
      <c r="C41" s="928">
        <v>42030</v>
      </c>
      <c r="D41" s="928">
        <v>44593</v>
      </c>
      <c r="E41" s="960">
        <v>1.8450000000000001E-2</v>
      </c>
      <c r="F41" s="340">
        <v>275000</v>
      </c>
      <c r="G41" s="935">
        <f t="shared" ref="G41:G46" si="7">ROUND(($D41-$C41)/365.25,0)</f>
        <v>7</v>
      </c>
      <c r="H41" s="340">
        <v>4452.4679999999998</v>
      </c>
      <c r="I41" s="5">
        <f t="shared" si="2"/>
        <v>270547.53200000001</v>
      </c>
      <c r="J41" s="918">
        <f t="shared" si="4"/>
        <v>2.0948773215854106E-2</v>
      </c>
      <c r="K41" s="5">
        <f>F41*J41</f>
        <v>5760.9126343598791</v>
      </c>
      <c r="L41" s="925"/>
      <c r="M41" s="39"/>
      <c r="O41" s="926"/>
    </row>
    <row r="42" spans="1:15">
      <c r="A42" s="917">
        <f t="shared" si="6"/>
        <v>119</v>
      </c>
      <c r="B42" s="944" t="s">
        <v>634</v>
      </c>
      <c r="C42" s="928">
        <v>42030</v>
      </c>
      <c r="D42" s="928">
        <v>44593</v>
      </c>
      <c r="E42" s="960">
        <v>2.4E-2</v>
      </c>
      <c r="F42" s="340">
        <v>325000</v>
      </c>
      <c r="G42" s="935">
        <f t="shared" si="7"/>
        <v>7</v>
      </c>
      <c r="H42" s="340">
        <v>2667.538</v>
      </c>
      <c r="I42" s="5">
        <f t="shared" si="2"/>
        <v>322332.462</v>
      </c>
      <c r="J42" s="918">
        <f t="shared" si="4"/>
        <v>2.5286756261738895E-2</v>
      </c>
      <c r="K42" s="5">
        <f t="shared" si="5"/>
        <v>8218.1957850651415</v>
      </c>
      <c r="L42" s="925"/>
      <c r="M42" s="39"/>
      <c r="O42" s="926"/>
    </row>
    <row r="43" spans="1:15">
      <c r="A43" s="917">
        <f t="shared" si="6"/>
        <v>120</v>
      </c>
      <c r="B43" s="944" t="s">
        <v>635</v>
      </c>
      <c r="C43" s="928">
        <v>42030</v>
      </c>
      <c r="D43" s="928">
        <v>52994</v>
      </c>
      <c r="E43" s="929">
        <v>3.5999999999999997E-2</v>
      </c>
      <c r="F43" s="325">
        <v>425000</v>
      </c>
      <c r="G43" s="935">
        <f t="shared" si="7"/>
        <v>30</v>
      </c>
      <c r="H43" s="325">
        <v>6309.7849999999999</v>
      </c>
      <c r="I43" s="5">
        <f>F43-H43</f>
        <v>418690.21500000003</v>
      </c>
      <c r="J43" s="918">
        <f>(RATE(G43*2,-(E43*F43)/2,I43,-F43))*2</f>
        <v>3.6821662079311084E-2</v>
      </c>
      <c r="K43" s="5">
        <f>F43*J43</f>
        <v>15649.206383707211</v>
      </c>
      <c r="L43" s="925"/>
      <c r="M43" s="39"/>
      <c r="O43" s="926"/>
    </row>
    <row r="44" spans="1:15">
      <c r="A44" s="917">
        <f t="shared" si="6"/>
        <v>121</v>
      </c>
      <c r="B44" s="944" t="s">
        <v>636</v>
      </c>
      <c r="C44" s="928">
        <v>42818</v>
      </c>
      <c r="D44" s="928">
        <v>53783</v>
      </c>
      <c r="E44" s="929">
        <v>0.04</v>
      </c>
      <c r="F44" s="325">
        <v>1000000</v>
      </c>
      <c r="G44" s="935">
        <f t="shared" si="7"/>
        <v>30</v>
      </c>
      <c r="H44" s="325">
        <v>-10735.913</v>
      </c>
      <c r="I44" s="5">
        <f>F44-H44</f>
        <v>1010735.9129999999</v>
      </c>
      <c r="J44" s="918">
        <f>(RATE(G44*2,-(E44*F44)/2,I44,-F44))*2</f>
        <v>3.9386875560716801E-2</v>
      </c>
      <c r="K44" s="5">
        <f>F44*J44</f>
        <v>39386.875560716799</v>
      </c>
      <c r="L44" s="925"/>
      <c r="M44" s="39"/>
      <c r="O44" s="926"/>
    </row>
    <row r="45" spans="1:15">
      <c r="A45" s="917">
        <f t="shared" si="6"/>
        <v>122</v>
      </c>
      <c r="B45" s="944" t="s">
        <v>637</v>
      </c>
      <c r="C45" s="928">
        <v>43164</v>
      </c>
      <c r="D45" s="928">
        <v>44256</v>
      </c>
      <c r="E45" s="929">
        <v>2.9000000000000001E-2</v>
      </c>
      <c r="F45" s="325">
        <v>350000</v>
      </c>
      <c r="G45" s="935">
        <f t="shared" si="7"/>
        <v>3</v>
      </c>
      <c r="H45" s="325">
        <f>1906+189</f>
        <v>2095</v>
      </c>
      <c r="I45" s="5">
        <f>F45-H45</f>
        <v>347905</v>
      </c>
      <c r="J45" s="918">
        <f>(RATE(G45*2,-(E45*F45)/2,I45,-F45))*2</f>
        <v>3.1105243829960272E-2</v>
      </c>
      <c r="K45" s="5">
        <f>F45*J45</f>
        <v>10886.835340486095</v>
      </c>
      <c r="L45" s="925">
        <v>2</v>
      </c>
      <c r="M45" s="39"/>
      <c r="O45" s="926"/>
    </row>
    <row r="46" spans="1:15">
      <c r="A46" s="917">
        <f t="shared" si="6"/>
        <v>123</v>
      </c>
      <c r="B46" s="944" t="s">
        <v>638</v>
      </c>
      <c r="C46" s="928">
        <v>43164</v>
      </c>
      <c r="D46" s="928">
        <v>46813</v>
      </c>
      <c r="E46" s="929">
        <v>3.6499999999999998E-2</v>
      </c>
      <c r="F46" s="325">
        <v>400000</v>
      </c>
      <c r="G46" s="935">
        <f t="shared" si="7"/>
        <v>10</v>
      </c>
      <c r="H46" s="325">
        <f>3306+728</f>
        <v>4034</v>
      </c>
      <c r="I46" s="5">
        <f>F46-H46</f>
        <v>395966</v>
      </c>
      <c r="J46" s="918">
        <f>(RATE(G46*2,-(E46*F46)/2,I46,-F46))*2</f>
        <v>3.7720002248746366E-2</v>
      </c>
      <c r="K46" s="5">
        <f>F46*J46</f>
        <v>15088.000899498547</v>
      </c>
      <c r="L46" s="925"/>
      <c r="M46" s="39"/>
      <c r="O46" s="926"/>
    </row>
    <row r="47" spans="1:15" s="298" customFormat="1">
      <c r="A47" s="917">
        <f t="shared" si="6"/>
        <v>124</v>
      </c>
      <c r="B47" s="944" t="s">
        <v>639</v>
      </c>
      <c r="C47" s="928">
        <v>43164</v>
      </c>
      <c r="D47" s="928">
        <v>54118</v>
      </c>
      <c r="E47" s="929">
        <v>4.1250000000000002E-2</v>
      </c>
      <c r="F47" s="325">
        <v>1300000</v>
      </c>
      <c r="G47" s="935">
        <f t="shared" si="3"/>
        <v>30</v>
      </c>
      <c r="H47" s="325">
        <f>13389+11851</f>
        <v>25240</v>
      </c>
      <c r="I47" s="305">
        <f t="shared" si="2"/>
        <v>1274760</v>
      </c>
      <c r="J47" s="930">
        <v>4.24E-2</v>
      </c>
      <c r="K47" s="305">
        <f>F47*J47</f>
        <v>55120</v>
      </c>
      <c r="L47" s="857"/>
      <c r="M47" s="232"/>
      <c r="O47" s="926"/>
    </row>
    <row r="48" spans="1:15" s="298" customFormat="1">
      <c r="A48" s="917">
        <f t="shared" si="6"/>
        <v>125</v>
      </c>
      <c r="B48" s="944" t="s">
        <v>640</v>
      </c>
      <c r="C48" s="928">
        <v>43255</v>
      </c>
      <c r="D48" s="928">
        <v>45078</v>
      </c>
      <c r="E48" s="929">
        <v>3.4000000000000002E-2</v>
      </c>
      <c r="F48" s="325">
        <v>300000</v>
      </c>
      <c r="G48" s="935">
        <f t="shared" si="3"/>
        <v>5</v>
      </c>
      <c r="H48" s="325">
        <f>2238+312</f>
        <v>2550</v>
      </c>
      <c r="I48" s="305">
        <f t="shared" si="2"/>
        <v>297450</v>
      </c>
      <c r="J48" s="930">
        <f t="shared" si="4"/>
        <v>3.5872171928312178E-2</v>
      </c>
      <c r="K48" s="305">
        <f t="shared" si="5"/>
        <v>10761.651578493653</v>
      </c>
      <c r="L48" s="857"/>
      <c r="M48" s="232"/>
      <c r="O48" s="926"/>
    </row>
    <row r="49" spans="1:15">
      <c r="A49" s="917">
        <f t="shared" si="6"/>
        <v>126</v>
      </c>
      <c r="B49" s="944" t="s">
        <v>641</v>
      </c>
      <c r="C49" s="928">
        <v>43314</v>
      </c>
      <c r="D49" s="928">
        <v>45870</v>
      </c>
      <c r="E49" s="929">
        <v>3.6999999999999998E-2</v>
      </c>
      <c r="F49" s="325">
        <v>300000</v>
      </c>
      <c r="G49" s="935">
        <f t="shared" si="3"/>
        <v>7</v>
      </c>
      <c r="H49" s="325">
        <f>2228+21208</f>
        <v>23436</v>
      </c>
      <c r="I49" s="305">
        <f t="shared" ref="I49" si="8">F49-H49</f>
        <v>276564</v>
      </c>
      <c r="J49" s="930">
        <f t="shared" ref="J49" si="9">(RATE(G49*2,-(E49*F49)/2,I49,-F49))*2</f>
        <v>5.0381908793523444E-2</v>
      </c>
      <c r="K49" s="305">
        <f t="shared" ref="K49" si="10">F49*J49</f>
        <v>15114.572638057034</v>
      </c>
      <c r="L49" s="925"/>
      <c r="M49" s="39"/>
      <c r="O49" s="926"/>
    </row>
    <row r="50" spans="1:15">
      <c r="A50" s="917">
        <f t="shared" si="6"/>
        <v>127</v>
      </c>
      <c r="B50" s="944" t="s">
        <v>642</v>
      </c>
      <c r="C50" s="1090" t="s">
        <v>623</v>
      </c>
      <c r="D50" s="1090" t="s">
        <v>623</v>
      </c>
      <c r="E50" s="960" t="s">
        <v>623</v>
      </c>
      <c r="F50" s="340" t="s">
        <v>623</v>
      </c>
      <c r="G50" s="1091" t="s">
        <v>623</v>
      </c>
      <c r="H50" s="340" t="s">
        <v>623</v>
      </c>
      <c r="I50" s="1092" t="s">
        <v>623</v>
      </c>
      <c r="J50" s="1093" t="s">
        <v>623</v>
      </c>
      <c r="K50" s="1092" t="s">
        <v>623</v>
      </c>
      <c r="L50" s="925">
        <v>3</v>
      </c>
      <c r="M50" s="39"/>
      <c r="O50" s="926"/>
    </row>
    <row r="51" spans="1:15" ht="13.15" customHeight="1">
      <c r="A51" s="917">
        <f t="shared" si="6"/>
        <v>128</v>
      </c>
      <c r="B51" s="944" t="s">
        <v>643</v>
      </c>
      <c r="C51" s="928">
        <v>41369</v>
      </c>
      <c r="D51" s="928">
        <v>46844</v>
      </c>
      <c r="E51" s="929">
        <v>1.9E-2</v>
      </c>
      <c r="F51" s="325">
        <v>38500</v>
      </c>
      <c r="G51" s="935">
        <f t="shared" si="3"/>
        <v>15</v>
      </c>
      <c r="H51" s="325">
        <v>325.161</v>
      </c>
      <c r="I51" s="5">
        <f t="shared" si="2"/>
        <v>38174.839</v>
      </c>
      <c r="J51" s="918">
        <f t="shared" si="4"/>
        <v>1.9652854512078773E-2</v>
      </c>
      <c r="K51" s="5">
        <f t="shared" si="5"/>
        <v>756.6348987150327</v>
      </c>
      <c r="L51" s="925"/>
      <c r="M51" s="39"/>
      <c r="O51" s="926"/>
    </row>
    <row r="52" spans="1:15">
      <c r="A52" s="917">
        <f t="shared" si="6"/>
        <v>129</v>
      </c>
      <c r="B52" s="944" t="s">
        <v>644</v>
      </c>
      <c r="C52" s="928">
        <v>38819</v>
      </c>
      <c r="D52" s="928">
        <v>48884</v>
      </c>
      <c r="E52" s="960">
        <v>2.6249999999999999E-2</v>
      </c>
      <c r="F52" s="325">
        <v>135000</v>
      </c>
      <c r="G52" s="935">
        <f t="shared" si="3"/>
        <v>28</v>
      </c>
      <c r="H52" s="325">
        <v>2490.0329999999999</v>
      </c>
      <c r="I52" s="5">
        <f t="shared" si="2"/>
        <v>132509.967</v>
      </c>
      <c r="J52" s="918">
        <f t="shared" si="4"/>
        <v>2.7195330333813161E-2</v>
      </c>
      <c r="K52" s="5">
        <f t="shared" si="5"/>
        <v>3671.3695950647766</v>
      </c>
      <c r="L52" s="925"/>
      <c r="M52" s="39"/>
      <c r="O52" s="926"/>
    </row>
    <row r="53" spans="1:15">
      <c r="A53" s="917">
        <f t="shared" si="6"/>
        <v>130</v>
      </c>
      <c r="B53" s="944" t="s">
        <v>645</v>
      </c>
      <c r="C53" s="928">
        <v>42095</v>
      </c>
      <c r="D53" s="928">
        <v>48000</v>
      </c>
      <c r="E53" s="960">
        <v>1.8749999999999999E-2</v>
      </c>
      <c r="F53" s="340">
        <v>75000</v>
      </c>
      <c r="G53" s="935">
        <f t="shared" si="3"/>
        <v>16</v>
      </c>
      <c r="H53" s="325">
        <v>873.79499999999996</v>
      </c>
      <c r="I53" s="5">
        <f t="shared" si="2"/>
        <v>74126.205000000002</v>
      </c>
      <c r="J53" s="918">
        <f t="shared" si="4"/>
        <v>1.9601841673308321E-2</v>
      </c>
      <c r="K53" s="5">
        <f t="shared" si="5"/>
        <v>1470.1381254981241</v>
      </c>
      <c r="L53" s="925"/>
      <c r="M53" s="39"/>
      <c r="O53" s="926"/>
    </row>
    <row r="54" spans="1:15">
      <c r="A54" s="917">
        <f t="shared" si="6"/>
        <v>131</v>
      </c>
      <c r="B54" s="944" t="s">
        <v>646</v>
      </c>
      <c r="C54" s="928">
        <v>42095</v>
      </c>
      <c r="D54" s="928">
        <v>47209</v>
      </c>
      <c r="E54" s="929">
        <v>1.8749999999999999E-2</v>
      </c>
      <c r="F54" s="325">
        <v>55540</v>
      </c>
      <c r="G54" s="935">
        <f t="shared" si="3"/>
        <v>14</v>
      </c>
      <c r="H54" s="325">
        <v>994.726</v>
      </c>
      <c r="I54" s="305">
        <f t="shared" si="2"/>
        <v>54545.273999999998</v>
      </c>
      <c r="J54" s="930">
        <f t="shared" si="4"/>
        <v>2.0225361565881093E-2</v>
      </c>
      <c r="K54" s="305">
        <f t="shared" si="5"/>
        <v>1123.3165813690359</v>
      </c>
      <c r="L54" s="857"/>
      <c r="M54" s="39"/>
      <c r="O54" s="926"/>
    </row>
    <row r="55" spans="1:15">
      <c r="A55" s="917">
        <f t="shared" si="6"/>
        <v>132</v>
      </c>
      <c r="B55" s="944" t="s">
        <v>647</v>
      </c>
      <c r="C55" s="928">
        <v>38047</v>
      </c>
      <c r="D55" s="928">
        <v>49461</v>
      </c>
      <c r="E55" s="929">
        <v>0.05</v>
      </c>
      <c r="F55" s="325">
        <v>144400</v>
      </c>
      <c r="G55" s="935">
        <f t="shared" si="3"/>
        <v>31</v>
      </c>
      <c r="H55" s="325">
        <v>1300</v>
      </c>
      <c r="I55" s="305">
        <f t="shared" ref="I55:I56" si="11">F55-H55</f>
        <v>143100</v>
      </c>
      <c r="J55" s="930">
        <f t="shared" ref="J55:J56" si="12">(RATE(G55*2,-(E55*F55)/2,I55,-F55))*2</f>
        <v>5.0578275350677437E-2</v>
      </c>
      <c r="K55" s="305">
        <f t="shared" ref="K55:K56" si="13">F55*J55</f>
        <v>7303.5029606378221</v>
      </c>
      <c r="L55" s="857"/>
      <c r="M55" s="39"/>
      <c r="O55" s="926"/>
    </row>
    <row r="56" spans="1:15">
      <c r="A56" s="917">
        <f>A55+1</f>
        <v>133</v>
      </c>
      <c r="B56" s="944" t="s">
        <v>648</v>
      </c>
      <c r="C56" s="928">
        <v>42095</v>
      </c>
      <c r="D56" s="928">
        <v>47209</v>
      </c>
      <c r="E56" s="960">
        <v>1.8749999999999999E-2</v>
      </c>
      <c r="F56" s="340">
        <v>203460</v>
      </c>
      <c r="G56" s="935">
        <f t="shared" si="3"/>
        <v>14</v>
      </c>
      <c r="H56" s="340">
        <v>2271.4520000000002</v>
      </c>
      <c r="I56" s="305">
        <f t="shared" si="11"/>
        <v>201188.54800000001</v>
      </c>
      <c r="J56" s="930">
        <f t="shared" si="12"/>
        <v>1.9666135550513469E-2</v>
      </c>
      <c r="K56" s="305">
        <f t="shared" si="13"/>
        <v>4001.2719391074706</v>
      </c>
      <c r="L56" s="857"/>
      <c r="M56" s="39"/>
      <c r="O56" s="926"/>
    </row>
    <row r="57" spans="1:15">
      <c r="A57" s="917">
        <f t="shared" si="6"/>
        <v>134</v>
      </c>
      <c r="B57" s="944" t="s">
        <v>649</v>
      </c>
      <c r="C57" s="928">
        <v>40442</v>
      </c>
      <c r="D57" s="928">
        <v>47362</v>
      </c>
      <c r="E57" s="929">
        <v>4.4999999999999998E-2</v>
      </c>
      <c r="F57" s="325">
        <v>100000</v>
      </c>
      <c r="G57" s="935">
        <f t="shared" si="3"/>
        <v>19</v>
      </c>
      <c r="H57" s="325">
        <v>2000</v>
      </c>
      <c r="I57" s="305">
        <f t="shared" ref="I57" si="14">F57-H57</f>
        <v>98000</v>
      </c>
      <c r="J57" s="930">
        <f t="shared" ref="J57" si="15">(RATE(G57*2,-(E57*F57)/2,I57,-F57))*2</f>
        <v>4.659794557629398E-2</v>
      </c>
      <c r="K57" s="305">
        <f t="shared" ref="K57" si="16">F57*J57</f>
        <v>4659.7945576293978</v>
      </c>
      <c r="L57" s="857"/>
      <c r="M57" s="39"/>
      <c r="O57" s="926"/>
    </row>
    <row r="58" spans="1:15">
      <c r="A58" s="917">
        <f>A57+1</f>
        <v>135</v>
      </c>
      <c r="B58" s="944" t="s">
        <v>650</v>
      </c>
      <c r="C58" s="1090" t="s">
        <v>623</v>
      </c>
      <c r="D58" s="1090" t="s">
        <v>623</v>
      </c>
      <c r="E58" s="960" t="s">
        <v>623</v>
      </c>
      <c r="F58" s="340" t="s">
        <v>623</v>
      </c>
      <c r="G58" s="1091" t="s">
        <v>623</v>
      </c>
      <c r="H58" s="340" t="s">
        <v>623</v>
      </c>
      <c r="I58" s="968" t="s">
        <v>623</v>
      </c>
      <c r="J58" s="1094" t="s">
        <v>623</v>
      </c>
      <c r="K58" s="968" t="s">
        <v>623</v>
      </c>
      <c r="L58" s="857">
        <v>4</v>
      </c>
      <c r="M58" s="39"/>
      <c r="O58" s="926"/>
    </row>
    <row r="59" spans="1:15">
      <c r="A59" s="917">
        <f>A58+1</f>
        <v>136</v>
      </c>
      <c r="B59" s="944" t="s">
        <v>651</v>
      </c>
      <c r="C59" s="928">
        <v>36251</v>
      </c>
      <c r="D59" s="928">
        <v>47209</v>
      </c>
      <c r="E59" s="960">
        <v>6.6500000000000004E-2</v>
      </c>
      <c r="F59" s="340">
        <v>300000</v>
      </c>
      <c r="G59" s="935">
        <v>30</v>
      </c>
      <c r="H59" s="340">
        <v>4827</v>
      </c>
      <c r="I59" s="305">
        <v>295173</v>
      </c>
      <c r="J59" s="930">
        <v>6.7760000000000001E-2</v>
      </c>
      <c r="K59" s="305">
        <f>F59*J59</f>
        <v>20328</v>
      </c>
      <c r="L59" s="857"/>
      <c r="M59" s="10"/>
    </row>
    <row r="60" spans="1:15">
      <c r="A60" s="917">
        <f>A59+1</f>
        <v>137</v>
      </c>
      <c r="B60" s="985" t="s">
        <v>652</v>
      </c>
      <c r="C60" s="928">
        <v>37865</v>
      </c>
      <c r="D60" s="928">
        <v>56128</v>
      </c>
      <c r="E60" s="960">
        <v>5.0599999999999999E-2</v>
      </c>
      <c r="F60" s="325">
        <v>6490</v>
      </c>
      <c r="G60" s="935">
        <v>50</v>
      </c>
      <c r="H60" s="340">
        <v>0</v>
      </c>
      <c r="I60" s="305">
        <v>6490</v>
      </c>
      <c r="J60" s="930">
        <v>5.0600000000000006E-2</v>
      </c>
      <c r="K60" s="305">
        <f>F60*J60</f>
        <v>328.39400000000006</v>
      </c>
      <c r="L60" s="857">
        <v>5</v>
      </c>
      <c r="M60" s="10"/>
    </row>
    <row r="61" spans="1:15">
      <c r="A61" s="917"/>
      <c r="B61" s="25" t="s">
        <v>653</v>
      </c>
      <c r="C61" s="10"/>
      <c r="D61" s="10"/>
      <c r="E61" s="10"/>
      <c r="F61" s="10"/>
      <c r="L61" s="931"/>
    </row>
    <row r="62" spans="1:15">
      <c r="A62" s="917"/>
      <c r="B62" s="25"/>
      <c r="C62" s="10"/>
      <c r="D62" s="10"/>
      <c r="E62" s="10"/>
      <c r="F62" s="10"/>
      <c r="L62" s="931"/>
    </row>
    <row r="63" spans="1:15">
      <c r="A63" s="917"/>
      <c r="B63" s="663" t="s">
        <v>654</v>
      </c>
      <c r="C63" s="663" t="s">
        <v>655</v>
      </c>
      <c r="D63" s="10"/>
      <c r="E63" s="10"/>
      <c r="F63" s="10"/>
      <c r="L63" s="931"/>
    </row>
    <row r="64" spans="1:15">
      <c r="A64" s="917"/>
      <c r="B64" s="496">
        <v>1</v>
      </c>
      <c r="C64" s="770" t="s">
        <v>656</v>
      </c>
      <c r="D64" s="770"/>
      <c r="E64" s="770"/>
      <c r="F64" s="770"/>
      <c r="G64" s="770"/>
      <c r="H64" s="770"/>
      <c r="I64" s="58"/>
      <c r="J64" s="58"/>
      <c r="K64" s="58"/>
      <c r="L64" s="932"/>
    </row>
    <row r="65" spans="1:13">
      <c r="A65" s="917"/>
      <c r="B65" s="496">
        <v>2</v>
      </c>
      <c r="C65" s="770" t="s">
        <v>657</v>
      </c>
      <c r="D65" s="770"/>
      <c r="E65" s="770"/>
      <c r="F65" s="770"/>
      <c r="G65" s="770"/>
      <c r="H65" s="770"/>
      <c r="I65" s="58"/>
      <c r="J65" s="58"/>
      <c r="K65" s="58"/>
      <c r="L65" s="932"/>
    </row>
    <row r="66" spans="1:13">
      <c r="A66" s="917"/>
      <c r="B66" s="496">
        <v>3</v>
      </c>
      <c r="C66" s="342" t="s">
        <v>658</v>
      </c>
      <c r="D66" s="770"/>
      <c r="E66" s="770"/>
      <c r="F66" s="770"/>
      <c r="G66" s="770"/>
      <c r="H66" s="770"/>
      <c r="I66" s="58"/>
      <c r="J66" s="58"/>
      <c r="K66" s="58"/>
      <c r="L66" s="932"/>
    </row>
    <row r="67" spans="1:13">
      <c r="A67" s="917"/>
      <c r="B67" s="496">
        <v>4</v>
      </c>
      <c r="C67" s="496" t="s">
        <v>659</v>
      </c>
      <c r="D67" s="770"/>
      <c r="E67" s="770"/>
      <c r="F67" s="770"/>
      <c r="G67" s="770"/>
      <c r="H67" s="770"/>
      <c r="I67" s="58"/>
      <c r="J67" s="58"/>
      <c r="K67" s="58"/>
      <c r="L67" s="932"/>
    </row>
    <row r="68" spans="1:13">
      <c r="A68" s="917"/>
      <c r="B68" s="496">
        <v>5</v>
      </c>
      <c r="C68" s="770" t="s">
        <v>660</v>
      </c>
      <c r="D68" s="770"/>
      <c r="E68" s="770"/>
      <c r="F68" s="770"/>
      <c r="G68" s="770"/>
      <c r="H68" s="770"/>
      <c r="I68" s="58"/>
      <c r="J68" s="58"/>
      <c r="K68" s="58"/>
      <c r="L68" s="932"/>
    </row>
    <row r="69" spans="1:13">
      <c r="A69" s="917"/>
      <c r="B69" s="985" t="s">
        <v>661</v>
      </c>
      <c r="C69" s="770"/>
      <c r="D69" s="58"/>
      <c r="E69" s="58"/>
      <c r="F69" s="58"/>
      <c r="G69" s="58"/>
      <c r="H69" s="58"/>
      <c r="I69" s="58"/>
      <c r="J69" s="58"/>
      <c r="K69" s="58"/>
      <c r="L69" s="932"/>
    </row>
    <row r="70" spans="1:13">
      <c r="A70" s="917">
        <v>200</v>
      </c>
      <c r="E70" s="40" t="s">
        <v>662</v>
      </c>
      <c r="F70" s="5">
        <f>SUM(F$24:F$60)*1000</f>
        <v>13008390000</v>
      </c>
      <c r="J70" s="40" t="s">
        <v>663</v>
      </c>
      <c r="K70" s="42">
        <f>SUM(K$24:K$60)*1000</f>
        <v>589068393.99237454</v>
      </c>
    </row>
    <row r="71" spans="1:13">
      <c r="A71" s="917"/>
      <c r="F71" s="37"/>
    </row>
    <row r="72" spans="1:13">
      <c r="A72" s="917"/>
      <c r="B72" s="1" t="s">
        <v>664</v>
      </c>
    </row>
    <row r="73" spans="1:13">
      <c r="A73" s="917"/>
      <c r="B73" s="1"/>
    </row>
    <row r="74" spans="1:13">
      <c r="A74" s="917"/>
      <c r="B74" s="52" t="s">
        <v>307</v>
      </c>
      <c r="C74" s="52" t="s">
        <v>308</v>
      </c>
      <c r="D74" s="52" t="s">
        <v>309</v>
      </c>
      <c r="E74" s="52" t="s">
        <v>310</v>
      </c>
      <c r="F74" s="52" t="s">
        <v>311</v>
      </c>
      <c r="M74" s="933"/>
    </row>
    <row r="75" spans="1:13" s="10" customFormat="1" ht="13.5" thickBot="1">
      <c r="A75" s="917"/>
      <c r="B75" s="300"/>
      <c r="C75" s="300"/>
      <c r="D75" s="300"/>
      <c r="E75" s="300"/>
      <c r="F75" s="311"/>
      <c r="G75" s="768"/>
      <c r="H75" s="768"/>
      <c r="I75" s="768"/>
      <c r="J75" s="768"/>
      <c r="K75" s="768"/>
      <c r="L75" s="768"/>
      <c r="M75" s="683"/>
    </row>
    <row r="76" spans="1:13" s="10" customFormat="1" ht="26.25" thickBot="1">
      <c r="A76" s="917"/>
      <c r="B76" s="919" t="s">
        <v>604</v>
      </c>
      <c r="C76" s="1182" t="s">
        <v>605</v>
      </c>
      <c r="D76" s="1182" t="s">
        <v>606</v>
      </c>
      <c r="E76" s="920" t="s">
        <v>607</v>
      </c>
      <c r="F76" s="1112" t="s">
        <v>665</v>
      </c>
      <c r="G76" s="1126" t="s">
        <v>666</v>
      </c>
      <c r="H76" s="1127"/>
      <c r="I76" s="768"/>
      <c r="J76" s="768"/>
      <c r="K76" s="768"/>
      <c r="L76" s="768"/>
      <c r="M76" s="683"/>
    </row>
    <row r="77" spans="1:13" s="10" customFormat="1">
      <c r="A77" s="917">
        <v>201</v>
      </c>
      <c r="B77" s="927" t="s">
        <v>650</v>
      </c>
      <c r="C77" s="928" t="s">
        <v>623</v>
      </c>
      <c r="D77" s="928" t="s">
        <v>623</v>
      </c>
      <c r="E77" s="929" t="s">
        <v>623</v>
      </c>
      <c r="F77" s="325" t="s">
        <v>623</v>
      </c>
      <c r="G77" s="325" t="s">
        <v>659</v>
      </c>
      <c r="H77" s="325"/>
      <c r="I77" s="768"/>
      <c r="J77" s="768"/>
      <c r="K77" s="768"/>
      <c r="L77" s="768"/>
      <c r="M77" s="683"/>
    </row>
    <row r="78" spans="1:13" s="10" customFormat="1">
      <c r="A78" s="917">
        <v>202</v>
      </c>
      <c r="B78" s="927" t="s">
        <v>661</v>
      </c>
      <c r="C78" s="928"/>
      <c r="D78" s="928"/>
      <c r="E78" s="929"/>
      <c r="F78" s="325"/>
      <c r="G78" s="325"/>
      <c r="H78" s="325"/>
      <c r="I78" s="768"/>
      <c r="J78" s="768"/>
      <c r="K78" s="768"/>
      <c r="L78" s="768"/>
      <c r="M78" s="683"/>
    </row>
    <row r="79" spans="1:13" s="10" customFormat="1">
      <c r="A79" s="917">
        <v>203</v>
      </c>
      <c r="B79" s="300"/>
      <c r="C79" s="300"/>
      <c r="D79" s="300"/>
      <c r="E79" s="40" t="s">
        <v>667</v>
      </c>
      <c r="F79" s="305">
        <f>+SUM(F77:F78)*1000</f>
        <v>0</v>
      </c>
      <c r="G79" s="300"/>
      <c r="H79" s="300"/>
      <c r="I79" s="300"/>
      <c r="J79" s="300"/>
      <c r="K79" s="300"/>
      <c r="L79" s="300"/>
      <c r="M79" s="683"/>
    </row>
    <row r="80" spans="1:13" s="10" customFormat="1">
      <c r="A80" s="917"/>
      <c r="B80" s="300"/>
      <c r="C80" s="300"/>
      <c r="D80" s="300"/>
      <c r="E80" s="40"/>
      <c r="F80" s="305"/>
      <c r="G80" s="300"/>
      <c r="H80" s="300"/>
      <c r="I80" s="300"/>
      <c r="J80" s="300"/>
      <c r="K80" s="300"/>
      <c r="L80" s="300"/>
      <c r="M80" s="683"/>
    </row>
    <row r="81" spans="1:13" s="10" customFormat="1">
      <c r="A81" s="917"/>
      <c r="B81" s="25" t="s">
        <v>668</v>
      </c>
      <c r="G81" s="768"/>
      <c r="H81" s="768"/>
      <c r="I81" s="768"/>
      <c r="J81" s="768"/>
      <c r="K81" s="768"/>
      <c r="L81" s="931"/>
      <c r="M81" s="683"/>
    </row>
    <row r="82" spans="1:13" s="10" customFormat="1">
      <c r="A82" s="917"/>
      <c r="B82" s="25"/>
      <c r="G82" s="768"/>
      <c r="H82" s="768"/>
      <c r="I82" s="768"/>
      <c r="J82" s="768"/>
      <c r="K82" s="768"/>
      <c r="L82" s="931"/>
      <c r="M82" s="683"/>
    </row>
    <row r="83" spans="1:13" s="10" customFormat="1">
      <c r="A83" s="917"/>
      <c r="B83" s="663" t="s">
        <v>654</v>
      </c>
      <c r="C83" s="663" t="s">
        <v>655</v>
      </c>
      <c r="G83" s="768"/>
      <c r="H83" s="768"/>
      <c r="I83" s="768"/>
      <c r="J83" s="768"/>
      <c r="K83" s="768"/>
      <c r="L83" s="931"/>
      <c r="M83" s="683"/>
    </row>
    <row r="84" spans="1:13" s="10" customFormat="1">
      <c r="A84" s="917"/>
      <c r="B84" s="95"/>
      <c r="C84" s="325"/>
      <c r="D84" s="58"/>
      <c r="E84" s="58"/>
      <c r="F84" s="58"/>
      <c r="G84" s="58"/>
      <c r="H84" s="58"/>
      <c r="I84" s="58"/>
      <c r="J84" s="58"/>
      <c r="K84" s="58"/>
      <c r="L84" s="932"/>
      <c r="M84" s="683"/>
    </row>
    <row r="85" spans="1:13" s="10" customFormat="1">
      <c r="A85" s="917"/>
      <c r="B85" s="95"/>
      <c r="C85" s="770"/>
      <c r="D85" s="58"/>
      <c r="E85" s="58"/>
      <c r="F85" s="58"/>
      <c r="G85" s="58"/>
      <c r="H85" s="58"/>
      <c r="I85" s="58"/>
      <c r="J85" s="58"/>
      <c r="K85" s="58"/>
      <c r="L85" s="932"/>
      <c r="M85" s="683"/>
    </row>
    <row r="86" spans="1:13" s="10" customFormat="1">
      <c r="A86" s="917"/>
      <c r="B86" s="95"/>
      <c r="C86" s="770"/>
      <c r="D86" s="58"/>
      <c r="E86" s="58"/>
      <c r="F86" s="58"/>
      <c r="G86" s="58"/>
      <c r="H86" s="58"/>
      <c r="I86" s="58"/>
      <c r="J86" s="58"/>
      <c r="K86" s="58"/>
      <c r="L86" s="932"/>
      <c r="M86" s="683"/>
    </row>
    <row r="87" spans="1:13" s="10" customFormat="1">
      <c r="A87" s="917"/>
      <c r="F87" s="37"/>
    </row>
    <row r="88" spans="1:13">
      <c r="B88" s="1" t="s">
        <v>226</v>
      </c>
    </row>
    <row r="89" spans="1:13">
      <c r="B89" s="298" t="s">
        <v>669</v>
      </c>
    </row>
    <row r="90" spans="1:13">
      <c r="B90" s="298" t="s">
        <v>670</v>
      </c>
    </row>
    <row r="91" spans="1:13">
      <c r="B91" s="298" t="s">
        <v>671</v>
      </c>
    </row>
    <row r="92" spans="1:13">
      <c r="B92" s="300" t="s">
        <v>672</v>
      </c>
    </row>
    <row r="93" spans="1:13">
      <c r="B93" s="300"/>
    </row>
  </sheetData>
  <mergeCells count="1">
    <mergeCell ref="G76:H76"/>
  </mergeCells>
  <pageMargins left="0.7" right="0.7" top="0.75" bottom="0.75" header="0.3" footer="0.3"/>
  <pageSetup scale="60" orientation="landscape" r:id="rId1"/>
  <headerFooter>
    <oddHeader>&amp;CSchedule 5 ROR-3
Return and Capitalization&amp;RTO2020 Draft Annual Update 
Attachment1</oddHeader>
    <oddFooter>&amp;R5-ROR-3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79"/>
  <sheetViews>
    <sheetView zoomScaleNormal="100" workbookViewId="0"/>
  </sheetViews>
  <sheetFormatPr defaultColWidth="8.85546875" defaultRowHeight="12.75"/>
  <cols>
    <col min="1" max="1" width="4.7109375" style="768" customWidth="1"/>
    <col min="2" max="2" width="28.85546875" style="768" customWidth="1"/>
    <col min="3" max="3" width="12.7109375" style="768" customWidth="1"/>
    <col min="4" max="4" width="13.7109375" style="768" customWidth="1"/>
    <col min="5" max="5" width="14.7109375" style="768" customWidth="1"/>
    <col min="6" max="6" width="12.7109375" style="768" customWidth="1"/>
    <col min="7" max="8" width="13.42578125" style="768" customWidth="1"/>
    <col min="9" max="9" width="15.7109375" style="768" customWidth="1"/>
    <col min="10" max="10" width="14.140625" style="768" customWidth="1"/>
    <col min="11" max="12" width="12.7109375" style="768" customWidth="1"/>
    <col min="13" max="16384" width="8.85546875" style="768"/>
  </cols>
  <sheetData>
    <row r="1" spans="1:7">
      <c r="A1" s="1" t="s">
        <v>160</v>
      </c>
    </row>
    <row r="2" spans="1:7">
      <c r="B2" s="296" t="s">
        <v>579</v>
      </c>
      <c r="C2" s="95">
        <v>2018</v>
      </c>
    </row>
    <row r="4" spans="1:7">
      <c r="B4" s="1" t="s">
        <v>673</v>
      </c>
    </row>
    <row r="5" spans="1:7">
      <c r="A5" s="28" t="s">
        <v>243</v>
      </c>
      <c r="E5" s="2" t="s">
        <v>79</v>
      </c>
      <c r="F5" s="2" t="s">
        <v>251</v>
      </c>
    </row>
    <row r="6" spans="1:7">
      <c r="A6" s="379">
        <v>1</v>
      </c>
      <c r="D6" s="296" t="s">
        <v>674</v>
      </c>
      <c r="E6" s="5">
        <f>J33</f>
        <v>126019184.07969923</v>
      </c>
      <c r="F6" s="11" t="str">
        <f>"Line "&amp;A33&amp;", Col 9"</f>
        <v>Line 112, Col 9</v>
      </c>
      <c r="G6" s="10"/>
    </row>
    <row r="7" spans="1:7">
      <c r="A7" s="379">
        <f>A6+1</f>
        <v>2</v>
      </c>
      <c r="D7" s="296" t="s">
        <v>675</v>
      </c>
      <c r="E7" s="55">
        <f>G68</f>
        <v>1027661.2402995675</v>
      </c>
      <c r="F7" s="11" t="str">
        <f>"Line "&amp;A68&amp;", Col 6"</f>
        <v>Line 312, Col 6</v>
      </c>
      <c r="G7" s="10"/>
    </row>
    <row r="8" spans="1:7">
      <c r="A8" s="379">
        <f t="shared" ref="A8:A14" si="0">A7+1</f>
        <v>3</v>
      </c>
      <c r="D8" s="296" t="s">
        <v>676</v>
      </c>
      <c r="E8" s="5">
        <f>SUM(E6:E7)</f>
        <v>127046845.3199988</v>
      </c>
      <c r="F8" s="371" t="s">
        <v>585</v>
      </c>
      <c r="G8" s="10"/>
    </row>
    <row r="9" spans="1:7">
      <c r="A9" s="379">
        <f t="shared" si="0"/>
        <v>4</v>
      </c>
      <c r="F9" s="38"/>
    </row>
    <row r="10" spans="1:7">
      <c r="A10" s="379">
        <f t="shared" si="0"/>
        <v>5</v>
      </c>
      <c r="D10" s="296" t="s">
        <v>677</v>
      </c>
      <c r="E10" s="787">
        <v>2245054950</v>
      </c>
      <c r="F10" s="11" t="s">
        <v>678</v>
      </c>
    </row>
    <row r="11" spans="1:7">
      <c r="A11" s="379">
        <f t="shared" si="0"/>
        <v>6</v>
      </c>
      <c r="D11" s="296" t="s">
        <v>679</v>
      </c>
      <c r="E11" s="55">
        <f>E68</f>
        <v>18337973.014893856</v>
      </c>
      <c r="F11" s="11" t="str">
        <f>"Line "&amp;A68&amp;", Col 4"</f>
        <v>Line 312, Col 4</v>
      </c>
      <c r="G11" s="10"/>
    </row>
    <row r="12" spans="1:7">
      <c r="A12" s="379">
        <f t="shared" si="0"/>
        <v>7</v>
      </c>
      <c r="D12" s="296" t="s">
        <v>680</v>
      </c>
      <c r="E12" s="5">
        <f>E10-E11</f>
        <v>2226716976.985106</v>
      </c>
      <c r="F12" s="371" t="s">
        <v>681</v>
      </c>
      <c r="G12" s="10"/>
    </row>
    <row r="13" spans="1:7">
      <c r="A13" s="379">
        <f t="shared" si="0"/>
        <v>8</v>
      </c>
      <c r="F13" s="38"/>
      <c r="G13" s="10"/>
    </row>
    <row r="14" spans="1:7">
      <c r="A14" s="379">
        <f t="shared" si="0"/>
        <v>9</v>
      </c>
      <c r="D14" s="296" t="s">
        <v>682</v>
      </c>
      <c r="E14" s="6">
        <f>E8/E12</f>
        <v>5.7055677319178488E-2</v>
      </c>
      <c r="F14" s="371" t="s">
        <v>683</v>
      </c>
      <c r="G14" s="10"/>
    </row>
    <row r="15" spans="1:7">
      <c r="A15" s="379"/>
    </row>
    <row r="16" spans="1:7">
      <c r="A16" s="379"/>
      <c r="B16" s="1" t="s">
        <v>684</v>
      </c>
      <c r="F16" s="298" t="s">
        <v>128</v>
      </c>
    </row>
    <row r="17" spans="1:12">
      <c r="A17" s="379"/>
    </row>
    <row r="18" spans="1:12">
      <c r="A18" s="379"/>
      <c r="B18" s="52" t="s">
        <v>307</v>
      </c>
      <c r="C18" s="52" t="s">
        <v>308</v>
      </c>
      <c r="D18" s="52" t="s">
        <v>309</v>
      </c>
      <c r="E18" s="52" t="s">
        <v>310</v>
      </c>
      <c r="F18" s="52" t="s">
        <v>311</v>
      </c>
      <c r="G18" s="52" t="s">
        <v>312</v>
      </c>
      <c r="H18" s="52" t="s">
        <v>313</v>
      </c>
      <c r="I18" s="52" t="s">
        <v>314</v>
      </c>
      <c r="J18" s="52" t="s">
        <v>315</v>
      </c>
      <c r="K18" s="52"/>
    </row>
    <row r="19" spans="1:12">
      <c r="A19" s="379"/>
      <c r="B19" s="680" t="s">
        <v>685</v>
      </c>
      <c r="C19" s="680" t="s">
        <v>199</v>
      </c>
      <c r="D19" s="680" t="s">
        <v>685</v>
      </c>
      <c r="E19" s="680" t="s">
        <v>686</v>
      </c>
      <c r="F19" s="680" t="s">
        <v>687</v>
      </c>
      <c r="G19" s="680" t="s">
        <v>688</v>
      </c>
      <c r="H19" s="680" t="s">
        <v>689</v>
      </c>
      <c r="I19" s="680" t="s">
        <v>690</v>
      </c>
      <c r="J19" s="680" t="s">
        <v>691</v>
      </c>
      <c r="K19" s="52"/>
    </row>
    <row r="20" spans="1:12" ht="13.5" thickBot="1">
      <c r="I20" s="379" t="s">
        <v>150</v>
      </c>
    </row>
    <row r="21" spans="1:12" ht="55.15" customHeight="1" thickBot="1">
      <c r="A21" s="28" t="s">
        <v>243</v>
      </c>
      <c r="B21" s="1184" t="s">
        <v>156</v>
      </c>
      <c r="C21" s="1113" t="s">
        <v>692</v>
      </c>
      <c r="D21" s="934" t="s">
        <v>693</v>
      </c>
      <c r="E21" s="1114" t="s">
        <v>694</v>
      </c>
      <c r="F21" s="934" t="s">
        <v>695</v>
      </c>
      <c r="G21" s="1185" t="s">
        <v>696</v>
      </c>
      <c r="H21" s="934" t="s">
        <v>697</v>
      </c>
      <c r="I21" s="934" t="s">
        <v>698</v>
      </c>
      <c r="J21" s="1115" t="s">
        <v>699</v>
      </c>
      <c r="K21" s="1112" t="s">
        <v>98</v>
      </c>
    </row>
    <row r="22" spans="1:12">
      <c r="A22" s="379">
        <v>101</v>
      </c>
      <c r="B22" s="341" t="s">
        <v>700</v>
      </c>
      <c r="C22" s="936">
        <v>17295</v>
      </c>
      <c r="D22" s="937">
        <v>4.3200000000000002E-2</v>
      </c>
      <c r="E22" s="938">
        <v>41335.724999999999</v>
      </c>
      <c r="F22" s="37">
        <f>C41</f>
        <v>-763</v>
      </c>
      <c r="G22" s="939">
        <f t="shared" ref="G22:G31" si="1">E22-F22</f>
        <v>42098.724999999999</v>
      </c>
      <c r="H22" s="940">
        <f t="shared" ref="H22:H31" si="2">G22/E22</f>
        <v>1.0184586093506283</v>
      </c>
      <c r="I22" s="1030">
        <f>D22/H22</f>
        <v>4.2417040421057886E-2</v>
      </c>
      <c r="J22" s="939">
        <f t="shared" ref="J22:J25" si="3">E22*I22</f>
        <v>1753.3391181587328</v>
      </c>
      <c r="K22" s="58"/>
      <c r="L22" s="941"/>
    </row>
    <row r="23" spans="1:12">
      <c r="A23" s="379">
        <f>A22+1</f>
        <v>102</v>
      </c>
      <c r="B23" s="341" t="s">
        <v>701</v>
      </c>
      <c r="C23" s="942">
        <v>18402</v>
      </c>
      <c r="D23" s="937">
        <v>4.0800000000000003E-2</v>
      </c>
      <c r="E23" s="938">
        <v>16250</v>
      </c>
      <c r="F23" s="37">
        <f t="shared" ref="F23:F31" si="4">C42</f>
        <v>-40</v>
      </c>
      <c r="G23" s="939">
        <f t="shared" si="1"/>
        <v>16290</v>
      </c>
      <c r="H23" s="940">
        <f t="shared" si="2"/>
        <v>1.0024615384615385</v>
      </c>
      <c r="I23" s="1089">
        <f>D23/H23</f>
        <v>4.0699815837937386E-2</v>
      </c>
      <c r="J23" s="939">
        <f>E23*I23</f>
        <v>661.37200736648253</v>
      </c>
      <c r="K23" s="58"/>
      <c r="L23" s="941"/>
    </row>
    <row r="24" spans="1:12">
      <c r="A24" s="379">
        <f t="shared" ref="A24:A33" si="5">A23+1</f>
        <v>103</v>
      </c>
      <c r="B24" s="341" t="s">
        <v>702</v>
      </c>
      <c r="C24" s="942">
        <v>20500</v>
      </c>
      <c r="D24" s="937">
        <v>4.24E-2</v>
      </c>
      <c r="E24" s="938">
        <v>30000</v>
      </c>
      <c r="F24" s="37">
        <f t="shared" si="4"/>
        <v>-84</v>
      </c>
      <c r="G24" s="939">
        <f t="shared" si="1"/>
        <v>30084</v>
      </c>
      <c r="H24" s="940">
        <f t="shared" si="2"/>
        <v>1.0027999999999999</v>
      </c>
      <c r="I24" s="1030">
        <f t="shared" ref="I24:I25" si="6">D24/H24</f>
        <v>4.2281611487834068E-2</v>
      </c>
      <c r="J24" s="939">
        <f t="shared" si="3"/>
        <v>1268.4483446350221</v>
      </c>
      <c r="K24" s="58"/>
      <c r="L24" s="941"/>
    </row>
    <row r="25" spans="1:12">
      <c r="A25" s="379">
        <f t="shared" si="5"/>
        <v>104</v>
      </c>
      <c r="B25" s="341" t="s">
        <v>703</v>
      </c>
      <c r="C25" s="942">
        <v>21226</v>
      </c>
      <c r="D25" s="937">
        <v>4.7800000000000002E-2</v>
      </c>
      <c r="E25" s="938">
        <v>32419.224999999999</v>
      </c>
      <c r="F25" s="37">
        <f t="shared" si="4"/>
        <v>-50</v>
      </c>
      <c r="G25" s="939">
        <f t="shared" si="1"/>
        <v>32469.224999999999</v>
      </c>
      <c r="H25" s="940">
        <f t="shared" si="2"/>
        <v>1.001542294734066</v>
      </c>
      <c r="I25" s="1030">
        <f t="shared" si="6"/>
        <v>4.772639183719353E-2</v>
      </c>
      <c r="J25" s="939">
        <f t="shared" si="3"/>
        <v>1547.2526354081403</v>
      </c>
      <c r="K25" s="58"/>
      <c r="L25" s="941"/>
    </row>
    <row r="26" spans="1:12">
      <c r="A26" s="379">
        <f t="shared" si="5"/>
        <v>105</v>
      </c>
      <c r="B26" s="341" t="s">
        <v>704</v>
      </c>
      <c r="C26" s="942">
        <v>40925</v>
      </c>
      <c r="D26" s="937">
        <v>6.25E-2</v>
      </c>
      <c r="E26" s="943">
        <v>350000</v>
      </c>
      <c r="F26" s="37">
        <f t="shared" si="4"/>
        <v>5957.2889999999998</v>
      </c>
      <c r="G26" s="939">
        <f t="shared" si="1"/>
        <v>344042.71100000001</v>
      </c>
      <c r="H26" s="940">
        <f t="shared" si="2"/>
        <v>0.98297917428571435</v>
      </c>
      <c r="I26" s="1030">
        <v>6.4826262465199791E-2</v>
      </c>
      <c r="J26" s="939">
        <v>22689.191862819927</v>
      </c>
      <c r="K26" s="95"/>
      <c r="L26" s="941"/>
    </row>
    <row r="27" spans="1:12">
      <c r="A27" s="379">
        <f t="shared" si="5"/>
        <v>106</v>
      </c>
      <c r="B27" s="341" t="s">
        <v>705</v>
      </c>
      <c r="C27" s="942">
        <v>41303</v>
      </c>
      <c r="D27" s="937">
        <v>5.0999999999999997E-2</v>
      </c>
      <c r="E27" s="943">
        <v>400010</v>
      </c>
      <c r="F27" s="37">
        <f t="shared" si="4"/>
        <v>12972.286</v>
      </c>
      <c r="G27" s="939">
        <f t="shared" si="1"/>
        <v>387037.71399999998</v>
      </c>
      <c r="H27" s="940">
        <f t="shared" si="2"/>
        <v>0.96757009574760622</v>
      </c>
      <c r="I27" s="1030">
        <v>5.3168989814364298E-2</v>
      </c>
      <c r="J27" s="939">
        <v>21268.127615643862</v>
      </c>
      <c r="K27" s="95"/>
      <c r="L27" s="941"/>
    </row>
    <row r="28" spans="1:12">
      <c r="A28" s="379">
        <f t="shared" si="5"/>
        <v>107</v>
      </c>
      <c r="B28" s="341" t="s">
        <v>706</v>
      </c>
      <c r="C28" s="942">
        <v>41704</v>
      </c>
      <c r="D28" s="937">
        <v>5.7500000000000002E-2</v>
      </c>
      <c r="E28" s="943">
        <v>275010</v>
      </c>
      <c r="F28" s="37">
        <f t="shared" si="4"/>
        <v>6272.3580000000002</v>
      </c>
      <c r="G28" s="939">
        <f t="shared" si="1"/>
        <v>268737.64199999999</v>
      </c>
      <c r="H28" s="940">
        <f t="shared" si="2"/>
        <v>0.97719225482709715</v>
      </c>
      <c r="I28" s="1030">
        <v>6.0557349317951155E-2</v>
      </c>
      <c r="J28" s="939">
        <v>16653.876635929748</v>
      </c>
      <c r="K28" s="95"/>
      <c r="L28" s="941"/>
    </row>
    <row r="29" spans="1:12">
      <c r="A29" s="379">
        <f t="shared" si="5"/>
        <v>108</v>
      </c>
      <c r="B29" s="341" t="s">
        <v>707</v>
      </c>
      <c r="C29" s="942">
        <v>42240</v>
      </c>
      <c r="D29" s="937">
        <v>5.3749999999999999E-2</v>
      </c>
      <c r="E29" s="943">
        <v>325010</v>
      </c>
      <c r="F29" s="37">
        <f t="shared" si="4"/>
        <v>6419.5780000000004</v>
      </c>
      <c r="G29" s="939">
        <f t="shared" si="1"/>
        <v>318590.42200000002</v>
      </c>
      <c r="H29" s="940">
        <f t="shared" si="2"/>
        <v>0.98024806005969056</v>
      </c>
      <c r="I29" s="1030">
        <v>5.6347183692221123E-2</v>
      </c>
      <c r="J29" s="939">
        <v>18313.398171808789</v>
      </c>
      <c r="K29" s="95"/>
      <c r="L29" s="941"/>
    </row>
    <row r="30" spans="1:12">
      <c r="A30" s="379">
        <f t="shared" si="5"/>
        <v>109</v>
      </c>
      <c r="B30" s="944" t="s">
        <v>708</v>
      </c>
      <c r="C30" s="945">
        <v>42437</v>
      </c>
      <c r="D30" s="946">
        <v>5.45E-2</v>
      </c>
      <c r="E30" s="943">
        <v>300010</v>
      </c>
      <c r="F30" s="37">
        <f t="shared" si="4"/>
        <v>6959.81</v>
      </c>
      <c r="G30" s="939">
        <f t="shared" si="1"/>
        <v>293050.19</v>
      </c>
      <c r="H30" s="940">
        <f t="shared" si="2"/>
        <v>0.97680140661977932</v>
      </c>
      <c r="I30" s="1030">
        <v>5.7567522761067455E-2</v>
      </c>
      <c r="J30" s="939">
        <v>17270.832503547848</v>
      </c>
      <c r="K30" s="95"/>
      <c r="L30" s="941"/>
    </row>
    <row r="31" spans="1:12">
      <c r="A31" s="379">
        <f t="shared" si="5"/>
        <v>110</v>
      </c>
      <c r="B31" s="944" t="s">
        <v>709</v>
      </c>
      <c r="C31" s="945">
        <v>42912</v>
      </c>
      <c r="D31" s="946">
        <v>0.05</v>
      </c>
      <c r="E31" s="943">
        <v>475010</v>
      </c>
      <c r="F31" s="37">
        <f t="shared" si="4"/>
        <v>12800.62</v>
      </c>
      <c r="G31" s="939">
        <f t="shared" si="1"/>
        <v>462209.38</v>
      </c>
      <c r="H31" s="940">
        <f t="shared" si="2"/>
        <v>0.9730518936443443</v>
      </c>
      <c r="I31" s="1030">
        <v>5.1774373559252816E-2</v>
      </c>
      <c r="J31" s="939">
        <v>24593.34518438068</v>
      </c>
      <c r="K31" s="95"/>
      <c r="L31" s="941"/>
    </row>
    <row r="32" spans="1:12">
      <c r="A32" s="379">
        <f t="shared" si="5"/>
        <v>111</v>
      </c>
      <c r="B32" s="745" t="s">
        <v>661</v>
      </c>
      <c r="C32" s="58"/>
      <c r="D32" s="58"/>
      <c r="E32" s="58"/>
      <c r="F32" s="37"/>
      <c r="K32" s="58"/>
    </row>
    <row r="33" spans="1:11">
      <c r="A33" s="379">
        <f t="shared" si="5"/>
        <v>112</v>
      </c>
      <c r="D33" s="40"/>
      <c r="E33" s="939"/>
      <c r="I33" s="40" t="s">
        <v>663</v>
      </c>
      <c r="J33" s="939">
        <f>SUM(J22:J32)*1000</f>
        <v>126019184.07969923</v>
      </c>
      <c r="K33" s="10"/>
    </row>
    <row r="35" spans="1:11">
      <c r="B35" s="1" t="s">
        <v>710</v>
      </c>
    </row>
    <row r="36" spans="1:11">
      <c r="B36" s="1"/>
    </row>
    <row r="37" spans="1:11">
      <c r="B37" s="52" t="s">
        <v>307</v>
      </c>
      <c r="C37" s="52" t="s">
        <v>308</v>
      </c>
      <c r="D37" s="52" t="s">
        <v>309</v>
      </c>
      <c r="E37" s="52" t="s">
        <v>310</v>
      </c>
      <c r="F37" s="52"/>
    </row>
    <row r="38" spans="1:11">
      <c r="A38" s="10"/>
      <c r="B38" s="64" t="s">
        <v>711</v>
      </c>
      <c r="C38" s="64" t="s">
        <v>199</v>
      </c>
      <c r="D38" s="64" t="s">
        <v>199</v>
      </c>
    </row>
    <row r="39" spans="1:11" ht="13.5" thickBot="1"/>
    <row r="40" spans="1:11" ht="55.15" customHeight="1" thickBot="1">
      <c r="A40" s="28" t="s">
        <v>243</v>
      </c>
      <c r="B40" s="1184" t="s">
        <v>156</v>
      </c>
      <c r="C40" s="1186" t="s">
        <v>695</v>
      </c>
      <c r="D40" s="947" t="s">
        <v>712</v>
      </c>
      <c r="E40" s="1131" t="s">
        <v>98</v>
      </c>
      <c r="F40" s="1132"/>
      <c r="G40" s="1133"/>
    </row>
    <row r="41" spans="1:11">
      <c r="A41" s="379">
        <v>201</v>
      </c>
      <c r="B41" s="341" t="s">
        <v>700</v>
      </c>
      <c r="C41" s="948">
        <v>-763</v>
      </c>
      <c r="D41" s="95" t="s">
        <v>351</v>
      </c>
      <c r="E41" s="944">
        <v>30</v>
      </c>
      <c r="F41" s="58" t="s">
        <v>713</v>
      </c>
      <c r="G41" s="58"/>
    </row>
    <row r="42" spans="1:11">
      <c r="A42" s="379">
        <f>A41+1</f>
        <v>202</v>
      </c>
      <c r="B42" s="341" t="s">
        <v>701</v>
      </c>
      <c r="C42" s="948">
        <v>-40</v>
      </c>
      <c r="D42" s="95" t="s">
        <v>351</v>
      </c>
      <c r="E42" s="944">
        <v>30</v>
      </c>
      <c r="F42" s="58" t="s">
        <v>713</v>
      </c>
      <c r="G42" s="58"/>
    </row>
    <row r="43" spans="1:11">
      <c r="A43" s="379">
        <f t="shared" ref="A43:A51" si="7">A42+1</f>
        <v>203</v>
      </c>
      <c r="B43" s="341" t="s">
        <v>702</v>
      </c>
      <c r="C43" s="948">
        <v>-84</v>
      </c>
      <c r="D43" s="95" t="s">
        <v>351</v>
      </c>
      <c r="E43" s="944">
        <v>30</v>
      </c>
      <c r="F43" s="58" t="s">
        <v>713</v>
      </c>
      <c r="G43" s="58"/>
    </row>
    <row r="44" spans="1:11">
      <c r="A44" s="379">
        <f t="shared" si="7"/>
        <v>204</v>
      </c>
      <c r="B44" s="341" t="s">
        <v>703</v>
      </c>
      <c r="C44" s="948">
        <v>-50</v>
      </c>
      <c r="D44" s="95" t="s">
        <v>351</v>
      </c>
      <c r="E44" s="944">
        <v>30</v>
      </c>
      <c r="F44" s="58" t="s">
        <v>713</v>
      </c>
      <c r="G44" s="58"/>
    </row>
    <row r="45" spans="1:11">
      <c r="A45" s="379">
        <f t="shared" si="7"/>
        <v>205</v>
      </c>
      <c r="B45" s="341" t="s">
        <v>704</v>
      </c>
      <c r="C45" s="948">
        <v>5957.2889999999998</v>
      </c>
      <c r="D45" s="95">
        <v>1836.8307749999994</v>
      </c>
      <c r="E45" s="944">
        <v>10</v>
      </c>
      <c r="F45" s="58"/>
      <c r="G45" s="58"/>
    </row>
    <row r="46" spans="1:11">
      <c r="A46" s="379">
        <f t="shared" si="7"/>
        <v>206</v>
      </c>
      <c r="B46" s="341" t="s">
        <v>705</v>
      </c>
      <c r="C46" s="948">
        <v>12972.286</v>
      </c>
      <c r="D46" s="95">
        <v>10413.863730555557</v>
      </c>
      <c r="E46" s="944">
        <v>30</v>
      </c>
      <c r="F46" s="58" t="s">
        <v>714</v>
      </c>
      <c r="G46" s="58"/>
    </row>
    <row r="47" spans="1:11">
      <c r="A47" s="379">
        <f t="shared" si="7"/>
        <v>207</v>
      </c>
      <c r="B47" s="341" t="s">
        <v>706</v>
      </c>
      <c r="C47" s="948">
        <v>6272.3580000000002</v>
      </c>
      <c r="D47" s="95">
        <v>3240.7183000000005</v>
      </c>
      <c r="E47" s="944">
        <v>10</v>
      </c>
      <c r="F47" s="58"/>
      <c r="G47" s="58"/>
    </row>
    <row r="48" spans="1:11">
      <c r="A48" s="379">
        <f t="shared" si="7"/>
        <v>208</v>
      </c>
      <c r="B48" s="341" t="s">
        <v>707</v>
      </c>
      <c r="C48" s="948">
        <v>6419.5780000000004</v>
      </c>
      <c r="D48" s="95">
        <v>4279.7186666666676</v>
      </c>
      <c r="E48" s="944">
        <v>10</v>
      </c>
      <c r="F48" s="58"/>
      <c r="G48" s="58"/>
    </row>
    <row r="49" spans="1:12">
      <c r="A49" s="379">
        <f t="shared" si="7"/>
        <v>209</v>
      </c>
      <c r="B49" s="341" t="s">
        <v>708</v>
      </c>
      <c r="C49" s="948">
        <v>6959.81</v>
      </c>
      <c r="D49" s="95">
        <v>4987.8638333333338</v>
      </c>
      <c r="E49" s="944">
        <v>10</v>
      </c>
      <c r="F49" s="58" t="s">
        <v>715</v>
      </c>
      <c r="G49" s="58"/>
    </row>
    <row r="50" spans="1:12">
      <c r="A50" s="379">
        <f t="shared" si="7"/>
        <v>210</v>
      </c>
      <c r="B50" s="944" t="s">
        <v>709</v>
      </c>
      <c r="C50" s="948">
        <v>12800.62</v>
      </c>
      <c r="D50" s="95">
        <v>12160.589</v>
      </c>
      <c r="E50" s="944">
        <v>30</v>
      </c>
      <c r="F50" s="58"/>
      <c r="G50" s="58"/>
    </row>
    <row r="51" spans="1:12">
      <c r="A51" s="379">
        <f t="shared" si="7"/>
        <v>211</v>
      </c>
      <c r="B51" s="745" t="s">
        <v>661</v>
      </c>
      <c r="C51" s="58"/>
      <c r="D51" s="58"/>
      <c r="E51" s="58"/>
      <c r="F51" s="58"/>
      <c r="G51" s="58"/>
    </row>
    <row r="53" spans="1:12">
      <c r="B53" s="1" t="s">
        <v>716</v>
      </c>
    </row>
    <row r="54" spans="1:12">
      <c r="B54" s="1"/>
    </row>
    <row r="55" spans="1:12">
      <c r="B55" s="52" t="s">
        <v>307</v>
      </c>
      <c r="C55" s="52" t="s">
        <v>308</v>
      </c>
      <c r="D55" s="52" t="s">
        <v>309</v>
      </c>
      <c r="E55" s="52" t="s">
        <v>310</v>
      </c>
      <c r="F55" s="52" t="s">
        <v>311</v>
      </c>
      <c r="G55" s="52" t="s">
        <v>312</v>
      </c>
    </row>
    <row r="56" spans="1:12">
      <c r="B56" s="64" t="s">
        <v>199</v>
      </c>
      <c r="C56" s="64" t="s">
        <v>199</v>
      </c>
      <c r="D56" s="64" t="s">
        <v>199</v>
      </c>
      <c r="E56" s="64" t="s">
        <v>199</v>
      </c>
      <c r="F56" s="64" t="s">
        <v>199</v>
      </c>
      <c r="G56" s="64" t="s">
        <v>717</v>
      </c>
    </row>
    <row r="57" spans="1:12" ht="13.5" thickBot="1"/>
    <row r="58" spans="1:12" ht="51.75" thickBot="1">
      <c r="A58" s="28" t="s">
        <v>243</v>
      </c>
      <c r="B58" s="1184" t="s">
        <v>156</v>
      </c>
      <c r="C58" s="1113" t="s">
        <v>718</v>
      </c>
      <c r="D58" s="947" t="s">
        <v>695</v>
      </c>
      <c r="E58" s="947" t="s">
        <v>719</v>
      </c>
      <c r="F58" s="947" t="s">
        <v>720</v>
      </c>
      <c r="G58" s="947" t="s">
        <v>721</v>
      </c>
      <c r="H58" s="1128" t="s">
        <v>98</v>
      </c>
      <c r="I58" s="1129"/>
      <c r="J58" s="1129"/>
      <c r="K58" s="1129"/>
      <c r="L58" s="1130"/>
    </row>
    <row r="59" spans="1:12">
      <c r="A59" s="379">
        <v>301</v>
      </c>
      <c r="B59" s="949" t="s">
        <v>722</v>
      </c>
      <c r="C59" s="924">
        <v>31352</v>
      </c>
      <c r="D59" s="787">
        <v>-286.60000000000002</v>
      </c>
      <c r="E59" s="787">
        <v>-7.0245098039215463</v>
      </c>
      <c r="F59" s="496">
        <v>34</v>
      </c>
      <c r="G59" s="37">
        <f>D59/F59</f>
        <v>-8.4294117647058826</v>
      </c>
      <c r="H59" s="341" t="s">
        <v>723</v>
      </c>
      <c r="I59" s="58"/>
      <c r="J59" s="58"/>
      <c r="K59" s="58"/>
      <c r="L59" s="58"/>
    </row>
    <row r="60" spans="1:12">
      <c r="A60" s="379">
        <f>A59+1</f>
        <v>302</v>
      </c>
      <c r="B60" s="949" t="s">
        <v>724</v>
      </c>
      <c r="C60" s="924">
        <v>31444</v>
      </c>
      <c r="D60" s="787">
        <v>6247.5</v>
      </c>
      <c r="E60" s="787">
        <v>199.0625</v>
      </c>
      <c r="F60" s="496">
        <v>34</v>
      </c>
      <c r="G60" s="37">
        <f t="shared" ref="G60:G66" si="8">D60/F60</f>
        <v>183.75</v>
      </c>
      <c r="H60" s="341" t="s">
        <v>725</v>
      </c>
      <c r="I60" s="58"/>
      <c r="J60" s="58"/>
      <c r="K60" s="58"/>
      <c r="L60" s="58"/>
    </row>
    <row r="61" spans="1:12">
      <c r="A61" s="379">
        <f t="shared" ref="A61:A68" si="9">A60+1</f>
        <v>303</v>
      </c>
      <c r="B61" s="949" t="s">
        <v>724</v>
      </c>
      <c r="C61" s="924">
        <v>31444</v>
      </c>
      <c r="D61" s="787">
        <v>1025</v>
      </c>
      <c r="E61" s="787">
        <v>32.659313725490165</v>
      </c>
      <c r="F61" s="496">
        <v>34</v>
      </c>
      <c r="G61" s="37">
        <f t="shared" si="8"/>
        <v>30.147058823529413</v>
      </c>
      <c r="H61" s="341" t="s">
        <v>726</v>
      </c>
      <c r="I61" s="58"/>
      <c r="J61" s="58"/>
      <c r="K61" s="58"/>
      <c r="L61" s="58"/>
    </row>
    <row r="62" spans="1:12">
      <c r="A62" s="379">
        <f t="shared" si="9"/>
        <v>304</v>
      </c>
      <c r="B62" s="341" t="s">
        <v>727</v>
      </c>
      <c r="C62" s="924">
        <v>41076</v>
      </c>
      <c r="D62" s="787">
        <v>0</v>
      </c>
      <c r="E62" s="787">
        <v>0</v>
      </c>
      <c r="F62" s="496">
        <v>5</v>
      </c>
      <c r="G62" s="37">
        <f t="shared" si="8"/>
        <v>0</v>
      </c>
      <c r="H62" s="341" t="s">
        <v>713</v>
      </c>
      <c r="I62" s="58"/>
      <c r="J62" s="58"/>
      <c r="K62" s="58"/>
      <c r="L62" s="58"/>
    </row>
    <row r="63" spans="1:12">
      <c r="A63" s="379">
        <f t="shared" si="9"/>
        <v>305</v>
      </c>
      <c r="B63" s="341" t="s">
        <v>728</v>
      </c>
      <c r="C63" s="924">
        <v>41333</v>
      </c>
      <c r="D63" s="787">
        <v>2586.35098055555</v>
      </c>
      <c r="E63" s="787">
        <v>2083.4494010030821</v>
      </c>
      <c r="F63" s="496">
        <v>30</v>
      </c>
      <c r="G63" s="37">
        <f t="shared" si="8"/>
        <v>86.211699351851664</v>
      </c>
      <c r="H63" s="341" t="s">
        <v>729</v>
      </c>
      <c r="I63" s="58"/>
      <c r="J63" s="58"/>
      <c r="K63" s="58"/>
      <c r="L63" s="58"/>
    </row>
    <row r="64" spans="1:12">
      <c r="A64" s="379">
        <f t="shared" si="9"/>
        <v>306</v>
      </c>
      <c r="B64" s="341" t="s">
        <v>730</v>
      </c>
      <c r="C64" s="924">
        <v>41333</v>
      </c>
      <c r="D64" s="787">
        <v>2886.8659722222401</v>
      </c>
      <c r="E64" s="787">
        <v>2325.5309220679155</v>
      </c>
      <c r="F64" s="496">
        <v>30</v>
      </c>
      <c r="G64" s="37">
        <f t="shared" si="8"/>
        <v>96.228865740741341</v>
      </c>
      <c r="H64" s="341" t="s">
        <v>729</v>
      </c>
      <c r="I64" s="58"/>
      <c r="J64" s="58"/>
      <c r="K64" s="58"/>
      <c r="L64" s="58"/>
    </row>
    <row r="65" spans="1:12">
      <c r="A65" s="379">
        <f t="shared" si="9"/>
        <v>307</v>
      </c>
      <c r="B65" s="341" t="s">
        <v>731</v>
      </c>
      <c r="C65" s="924">
        <v>42460</v>
      </c>
      <c r="D65" s="787">
        <v>2147.8025000000098</v>
      </c>
      <c r="E65" s="787">
        <v>1557.1568125000081</v>
      </c>
      <c r="F65" s="496">
        <v>10</v>
      </c>
      <c r="G65" s="37">
        <f t="shared" si="8"/>
        <v>214.78025000000099</v>
      </c>
      <c r="H65" s="341" t="s">
        <v>732</v>
      </c>
      <c r="I65" s="58"/>
      <c r="J65" s="58"/>
      <c r="K65" s="58"/>
      <c r="L65" s="58"/>
    </row>
    <row r="66" spans="1:12">
      <c r="A66" s="379">
        <f t="shared" si="9"/>
        <v>308</v>
      </c>
      <c r="B66" s="341" t="s">
        <v>733</v>
      </c>
      <c r="C66" s="924">
        <v>42935</v>
      </c>
      <c r="D66" s="787">
        <v>12749.1833444445</v>
      </c>
      <c r="E66" s="787">
        <v>12147.138575401277</v>
      </c>
      <c r="F66" s="496">
        <v>30</v>
      </c>
      <c r="G66" s="37">
        <f t="shared" si="8"/>
        <v>424.97277814814998</v>
      </c>
      <c r="H66" s="217" t="s">
        <v>734</v>
      </c>
      <c r="I66" s="58"/>
      <c r="J66" s="58"/>
      <c r="K66" s="58"/>
      <c r="L66" s="58"/>
    </row>
    <row r="67" spans="1:12">
      <c r="A67" s="379">
        <f>#REF!+1</f>
        <v>311</v>
      </c>
      <c r="B67" s="745" t="s">
        <v>661</v>
      </c>
      <c r="C67" s="924"/>
      <c r="D67" s="787"/>
      <c r="E67" s="787"/>
      <c r="F67" s="58"/>
      <c r="G67" s="10"/>
      <c r="H67" s="218"/>
      <c r="I67" s="58"/>
      <c r="J67" s="58"/>
      <c r="K67" s="58"/>
      <c r="L67" s="58"/>
    </row>
    <row r="68" spans="1:12">
      <c r="A68" s="379">
        <f t="shared" si="9"/>
        <v>312</v>
      </c>
      <c r="D68" s="40" t="s">
        <v>663</v>
      </c>
      <c r="E68" s="5">
        <f>SUM(E59:E67)*1000</f>
        <v>18337973.014893856</v>
      </c>
      <c r="G68" s="5">
        <f>SUM(G59:G67)*1000</f>
        <v>1027661.2402995675</v>
      </c>
    </row>
    <row r="69" spans="1:12">
      <c r="A69" s="379"/>
      <c r="D69" s="40"/>
      <c r="E69" s="5"/>
      <c r="G69" s="5"/>
    </row>
    <row r="70" spans="1:12">
      <c r="B70" s="28" t="s">
        <v>226</v>
      </c>
    </row>
    <row r="71" spans="1:12">
      <c r="B71" s="298" t="s">
        <v>735</v>
      </c>
    </row>
    <row r="72" spans="1:12">
      <c r="B72" s="302" t="s">
        <v>736</v>
      </c>
      <c r="E72" s="1031"/>
    </row>
    <row r="73" spans="1:12">
      <c r="E73" s="1031"/>
    </row>
    <row r="74" spans="1:12">
      <c r="E74" s="1031"/>
    </row>
    <row r="75" spans="1:12">
      <c r="E75" s="1031"/>
    </row>
    <row r="76" spans="1:12">
      <c r="B76" s="300"/>
      <c r="E76" s="1031"/>
    </row>
    <row r="77" spans="1:12">
      <c r="E77" s="1031"/>
    </row>
    <row r="78" spans="1:12">
      <c r="E78" s="1031"/>
    </row>
    <row r="79" spans="1:12">
      <c r="E79" s="1031"/>
    </row>
  </sheetData>
  <mergeCells count="2">
    <mergeCell ref="H58:L58"/>
    <mergeCell ref="E40:G40"/>
  </mergeCells>
  <pageMargins left="0.7" right="0.7" top="0.75" bottom="0.75" header="0.3" footer="0.3"/>
  <pageSetup scale="70" orientation="landscape" r:id="rId1"/>
  <headerFooter>
    <oddHeader>&amp;CSchedule 5 ROR-4
Return and Capitalization&amp;RTO2020 Draft Annual Update 
Attachment1</oddHeader>
    <oddFooter>&amp;R5-ROR-4</oddFooter>
  </headerFooter>
  <rowBreaks count="1" manualBreakCount="1">
    <brk id="51"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5"/>
  <sheetViews>
    <sheetView zoomScaleNormal="100" workbookViewId="0"/>
  </sheetViews>
  <sheetFormatPr defaultColWidth="8.85546875" defaultRowHeight="12.75"/>
  <cols>
    <col min="1" max="1" width="4.7109375" style="768" customWidth="1"/>
    <col min="2" max="2" width="10.7109375" style="768" customWidth="1"/>
    <col min="3" max="6" width="13.7109375" style="768" customWidth="1"/>
    <col min="7" max="7" width="14.42578125" style="768" customWidth="1"/>
    <col min="8" max="12" width="13.7109375" style="768" customWidth="1"/>
    <col min="13" max="13" width="15.7109375" style="768" customWidth="1"/>
    <col min="14" max="14" width="8.85546875" style="768"/>
    <col min="15" max="15" width="14.42578125" style="768" customWidth="1"/>
    <col min="16" max="16" width="15.140625" style="768" customWidth="1"/>
    <col min="17" max="16384" width="8.85546875" style="768"/>
  </cols>
  <sheetData>
    <row r="1" spans="1:13">
      <c r="A1" s="227" t="s">
        <v>737</v>
      </c>
      <c r="B1" s="133"/>
      <c r="C1" s="133"/>
      <c r="D1" s="133"/>
      <c r="E1" s="133"/>
      <c r="F1" s="133"/>
      <c r="G1" s="133"/>
      <c r="H1" s="133"/>
      <c r="I1" s="770" t="s">
        <v>738</v>
      </c>
      <c r="J1" s="769"/>
      <c r="K1" s="133"/>
      <c r="L1" s="133"/>
    </row>
    <row r="2" spans="1:13">
      <c r="A2" s="227"/>
      <c r="B2" s="133"/>
      <c r="C2" s="133"/>
      <c r="D2" s="133"/>
      <c r="E2" s="133"/>
      <c r="F2" s="133"/>
      <c r="G2" s="133"/>
      <c r="H2" s="133"/>
      <c r="I2" s="133"/>
      <c r="J2" s="133"/>
      <c r="K2" s="133"/>
      <c r="L2" s="133"/>
    </row>
    <row r="3" spans="1:13">
      <c r="A3" s="227"/>
      <c r="B3" s="227" t="s">
        <v>739</v>
      </c>
      <c r="C3" s="133"/>
      <c r="D3" s="133"/>
      <c r="E3" s="133"/>
      <c r="F3" s="133"/>
      <c r="G3" s="133"/>
      <c r="H3" s="133"/>
      <c r="I3" s="133"/>
      <c r="J3" s="133"/>
      <c r="K3" s="133"/>
      <c r="L3" s="133"/>
    </row>
    <row r="4" spans="1:13">
      <c r="A4" s="227"/>
      <c r="B4" s="227"/>
      <c r="C4" s="133"/>
      <c r="D4" s="133"/>
      <c r="E4" s="133"/>
      <c r="F4" s="133"/>
      <c r="G4" s="133"/>
      <c r="H4" s="133"/>
      <c r="I4" s="133"/>
      <c r="J4" s="133"/>
      <c r="K4" s="133"/>
      <c r="L4" s="133"/>
    </row>
    <row r="5" spans="1:13">
      <c r="A5" s="227"/>
      <c r="B5" s="298" t="s">
        <v>740</v>
      </c>
      <c r="C5" s="133"/>
      <c r="D5" s="133"/>
      <c r="E5" s="133"/>
      <c r="F5" s="133"/>
      <c r="G5" s="133"/>
      <c r="H5" s="298"/>
      <c r="I5" s="685" t="s">
        <v>579</v>
      </c>
      <c r="J5" s="684">
        <v>2018</v>
      </c>
      <c r="K5" s="133"/>
      <c r="L5" s="133"/>
    </row>
    <row r="6" spans="1:13">
      <c r="A6" s="227"/>
      <c r="B6" s="298"/>
      <c r="C6" s="133"/>
      <c r="D6" s="133"/>
      <c r="E6" s="133"/>
      <c r="F6" s="133"/>
      <c r="G6" s="133"/>
      <c r="H6" s="133"/>
      <c r="I6" s="133"/>
      <c r="J6" s="133"/>
      <c r="K6" s="133"/>
      <c r="L6" s="133"/>
    </row>
    <row r="7" spans="1:13">
      <c r="A7" s="227"/>
      <c r="B7" s="52" t="s">
        <v>307</v>
      </c>
      <c r="C7" s="52" t="s">
        <v>308</v>
      </c>
      <c r="D7" s="52" t="s">
        <v>309</v>
      </c>
      <c r="E7" s="52" t="s">
        <v>310</v>
      </c>
      <c r="F7" s="52" t="s">
        <v>311</v>
      </c>
      <c r="G7" s="52" t="s">
        <v>312</v>
      </c>
      <c r="H7" s="52" t="s">
        <v>313</v>
      </c>
      <c r="I7" s="52" t="s">
        <v>314</v>
      </c>
      <c r="J7" s="52" t="s">
        <v>315</v>
      </c>
      <c r="K7" s="52" t="s">
        <v>534</v>
      </c>
      <c r="L7" s="52" t="s">
        <v>535</v>
      </c>
      <c r="M7" s="52" t="s">
        <v>536</v>
      </c>
    </row>
    <row r="8" spans="1:13">
      <c r="A8" s="133"/>
      <c r="B8" s="279"/>
      <c r="C8" s="133"/>
      <c r="D8" s="133"/>
      <c r="E8" s="133"/>
      <c r="F8" s="133"/>
      <c r="G8" s="133"/>
      <c r="H8" s="133"/>
      <c r="I8" s="133"/>
      <c r="J8" s="133"/>
      <c r="K8" s="133"/>
      <c r="M8" s="149" t="s">
        <v>741</v>
      </c>
    </row>
    <row r="9" spans="1:13">
      <c r="A9" s="133"/>
      <c r="B9" s="64"/>
      <c r="C9" s="52"/>
      <c r="D9" s="52"/>
      <c r="E9" s="133"/>
      <c r="F9" s="133"/>
      <c r="G9" s="133"/>
      <c r="H9" s="133"/>
      <c r="I9" s="133"/>
      <c r="J9" s="133"/>
      <c r="K9" s="133"/>
      <c r="L9" s="133"/>
    </row>
    <row r="10" spans="1:13">
      <c r="A10" s="28" t="s">
        <v>243</v>
      </c>
      <c r="B10" s="74" t="s">
        <v>742</v>
      </c>
      <c r="C10" s="52">
        <v>350.1</v>
      </c>
      <c r="D10" s="52">
        <v>350.2</v>
      </c>
      <c r="E10" s="52">
        <v>352</v>
      </c>
      <c r="F10" s="52">
        <v>353</v>
      </c>
      <c r="G10" s="52">
        <v>354</v>
      </c>
      <c r="H10" s="52">
        <v>355</v>
      </c>
      <c r="I10" s="52">
        <v>356</v>
      </c>
      <c r="J10" s="52">
        <v>357</v>
      </c>
      <c r="K10" s="52">
        <v>358</v>
      </c>
      <c r="L10" s="52">
        <v>359</v>
      </c>
      <c r="M10" s="2" t="s">
        <v>388</v>
      </c>
    </row>
    <row r="11" spans="1:13">
      <c r="A11" s="379">
        <v>1</v>
      </c>
      <c r="B11" s="744" t="s">
        <v>743</v>
      </c>
      <c r="C11" s="325">
        <v>87876203.008566424</v>
      </c>
      <c r="D11" s="377">
        <v>164901118.05652422</v>
      </c>
      <c r="E11" s="772">
        <v>569698022.78641224</v>
      </c>
      <c r="F11" s="325">
        <v>3409447773.7821789</v>
      </c>
      <c r="G11" s="325">
        <v>2283380921.7859855</v>
      </c>
      <c r="H11" s="325">
        <v>364424080.37077081</v>
      </c>
      <c r="I11" s="325">
        <v>1245933686.0102172</v>
      </c>
      <c r="J11" s="325">
        <v>190222488.7243827</v>
      </c>
      <c r="K11" s="325">
        <v>84920373.963020414</v>
      </c>
      <c r="L11" s="325">
        <v>172640885.01442629</v>
      </c>
      <c r="M11" s="135">
        <f t="shared" ref="M11:M23" si="0">SUM(C11:L11)</f>
        <v>8573445553.5024843</v>
      </c>
    </row>
    <row r="12" spans="1:13">
      <c r="A12" s="379">
        <f>A11+1</f>
        <v>2</v>
      </c>
      <c r="B12" s="529" t="s">
        <v>744</v>
      </c>
      <c r="C12" s="137">
        <f>C130+C197 +C11</f>
        <v>87726550.295030251</v>
      </c>
      <c r="D12" s="137">
        <f>D130+D197 +D11</f>
        <v>164912801.54263821</v>
      </c>
      <c r="E12" s="137">
        <f t="shared" ref="E12:L12" si="1">E130+E197 +E11</f>
        <v>572332929.20922089</v>
      </c>
      <c r="F12" s="137">
        <f t="shared" si="1"/>
        <v>3412113168.1990914</v>
      </c>
      <c r="G12" s="137">
        <f t="shared" si="1"/>
        <v>2283554236.1751165</v>
      </c>
      <c r="H12" s="137">
        <f t="shared" si="1"/>
        <v>365210290.26166874</v>
      </c>
      <c r="I12" s="137">
        <f t="shared" si="1"/>
        <v>1262415948.0157156</v>
      </c>
      <c r="J12" s="137">
        <f t="shared" si="1"/>
        <v>190266138.75236934</v>
      </c>
      <c r="K12" s="137">
        <f t="shared" si="1"/>
        <v>84940910.169124484</v>
      </c>
      <c r="L12" s="137">
        <f t="shared" si="1"/>
        <v>172627083.39453855</v>
      </c>
      <c r="M12" s="135">
        <f t="shared" si="0"/>
        <v>8596100056.014513</v>
      </c>
    </row>
    <row r="13" spans="1:13">
      <c r="A13" s="379">
        <f t="shared" ref="A13:A24" si="2">A12+1</f>
        <v>3</v>
      </c>
      <c r="B13" s="528" t="s">
        <v>745</v>
      </c>
      <c r="C13" s="137">
        <f t="shared" ref="C13:D22" si="3">C131+C198 +C12</f>
        <v>87725071.925030246</v>
      </c>
      <c r="D13" s="137">
        <f t="shared" si="3"/>
        <v>164931367.93501177</v>
      </c>
      <c r="E13" s="137">
        <f t="shared" ref="E13:E22" si="4">E131+E198 +E12</f>
        <v>575091120.28117836</v>
      </c>
      <c r="F13" s="137">
        <f t="shared" ref="F13:F22" si="5">F131+F198 +F12</f>
        <v>3418289127.0852575</v>
      </c>
      <c r="G13" s="137">
        <f t="shared" ref="G13:G22" si="6">G131+G198 +G12</f>
        <v>2283947645.2078562</v>
      </c>
      <c r="H13" s="137">
        <f t="shared" ref="H13:H22" si="7">H131+H198 +H12</f>
        <v>366128749.83100766</v>
      </c>
      <c r="I13" s="137">
        <f t="shared" ref="I13:I22" si="8">I131+I198 +I12</f>
        <v>1263115450.7844269</v>
      </c>
      <c r="J13" s="137">
        <f t="shared" ref="J13:J22" si="9">J131+J198 +J12</f>
        <v>190339338.03184837</v>
      </c>
      <c r="K13" s="137">
        <f t="shared" ref="K13:K22" si="10">K131+K198 +K12</f>
        <v>84952338.659547508</v>
      </c>
      <c r="L13" s="137">
        <f t="shared" ref="L13:L22" si="11">L131+L198 +L12</f>
        <v>172672087.5772987</v>
      </c>
      <c r="M13" s="135">
        <f t="shared" si="0"/>
        <v>8607192297.3184624</v>
      </c>
    </row>
    <row r="14" spans="1:13">
      <c r="A14" s="379">
        <f t="shared" si="2"/>
        <v>4</v>
      </c>
      <c r="B14" s="528" t="s">
        <v>746</v>
      </c>
      <c r="C14" s="137">
        <f t="shared" si="3"/>
        <v>87282778.050498858</v>
      </c>
      <c r="D14" s="137">
        <f t="shared" si="3"/>
        <v>164965584.46389008</v>
      </c>
      <c r="E14" s="137">
        <f t="shared" si="4"/>
        <v>577997993.67482126</v>
      </c>
      <c r="F14" s="137">
        <f t="shared" si="5"/>
        <v>3426831317.1984086</v>
      </c>
      <c r="G14" s="137">
        <f t="shared" si="6"/>
        <v>2284109107.0256138</v>
      </c>
      <c r="H14" s="137">
        <f t="shared" si="7"/>
        <v>368947730.82697117</v>
      </c>
      <c r="I14" s="137">
        <f t="shared" si="8"/>
        <v>1265485090.2645762</v>
      </c>
      <c r="J14" s="137">
        <f t="shared" si="9"/>
        <v>190420082.23930779</v>
      </c>
      <c r="K14" s="137">
        <f t="shared" si="10"/>
        <v>83759856.782664135</v>
      </c>
      <c r="L14" s="137">
        <f t="shared" si="11"/>
        <v>172736333.7240822</v>
      </c>
      <c r="M14" s="135">
        <f t="shared" si="0"/>
        <v>8622535874.2508335</v>
      </c>
    </row>
    <row r="15" spans="1:13">
      <c r="A15" s="379">
        <f t="shared" si="2"/>
        <v>5</v>
      </c>
      <c r="B15" s="529" t="s">
        <v>747</v>
      </c>
      <c r="C15" s="137">
        <f t="shared" si="3"/>
        <v>87297163.262084171</v>
      </c>
      <c r="D15" s="137">
        <f t="shared" si="3"/>
        <v>164964203.66195709</v>
      </c>
      <c r="E15" s="137">
        <f t="shared" si="4"/>
        <v>581033320.59054029</v>
      </c>
      <c r="F15" s="137">
        <f t="shared" si="5"/>
        <v>3431680464.0246916</v>
      </c>
      <c r="G15" s="137">
        <f t="shared" si="6"/>
        <v>2284271822.0833359</v>
      </c>
      <c r="H15" s="137">
        <f t="shared" si="7"/>
        <v>370175480.7862587</v>
      </c>
      <c r="I15" s="137">
        <f t="shared" si="8"/>
        <v>1264883890.4770119</v>
      </c>
      <c r="J15" s="137">
        <f t="shared" si="9"/>
        <v>190542108.31817213</v>
      </c>
      <c r="K15" s="137">
        <f t="shared" si="10"/>
        <v>83819139.803474218</v>
      </c>
      <c r="L15" s="137">
        <f t="shared" si="11"/>
        <v>172689915.91054222</v>
      </c>
      <c r="M15" s="135">
        <f t="shared" si="0"/>
        <v>8631357508.9180679</v>
      </c>
    </row>
    <row r="16" spans="1:13">
      <c r="A16" s="379">
        <f t="shared" si="2"/>
        <v>6</v>
      </c>
      <c r="B16" s="528" t="s">
        <v>748</v>
      </c>
      <c r="C16" s="137">
        <f t="shared" si="3"/>
        <v>87298131.989949092</v>
      </c>
      <c r="D16" s="137">
        <f t="shared" si="3"/>
        <v>164972544.51068327</v>
      </c>
      <c r="E16" s="137">
        <f t="shared" si="4"/>
        <v>580581318.31957078</v>
      </c>
      <c r="F16" s="137">
        <f t="shared" si="5"/>
        <v>3433781768.0646935</v>
      </c>
      <c r="G16" s="137">
        <f t="shared" si="6"/>
        <v>2284323094.6043339</v>
      </c>
      <c r="H16" s="137">
        <f t="shared" si="7"/>
        <v>370936065.77365226</v>
      </c>
      <c r="I16" s="137">
        <f t="shared" si="8"/>
        <v>1270451267.1966119</v>
      </c>
      <c r="J16" s="137">
        <f t="shared" si="9"/>
        <v>190615515.87645289</v>
      </c>
      <c r="K16" s="137">
        <f t="shared" si="10"/>
        <v>83855422.869540393</v>
      </c>
      <c r="L16" s="137">
        <f t="shared" si="11"/>
        <v>172705862.6798611</v>
      </c>
      <c r="M16" s="135">
        <f t="shared" si="0"/>
        <v>8639520991.8853474</v>
      </c>
    </row>
    <row r="17" spans="1:15">
      <c r="A17" s="379">
        <f t="shared" si="2"/>
        <v>7</v>
      </c>
      <c r="B17" s="528" t="s">
        <v>749</v>
      </c>
      <c r="C17" s="137">
        <f t="shared" si="3"/>
        <v>87307461.899949089</v>
      </c>
      <c r="D17" s="137">
        <f t="shared" si="3"/>
        <v>165165006.39891922</v>
      </c>
      <c r="E17" s="137">
        <f t="shared" si="4"/>
        <v>585796088.41930866</v>
      </c>
      <c r="F17" s="137">
        <f t="shared" si="5"/>
        <v>3444242237.7036147</v>
      </c>
      <c r="G17" s="137">
        <f t="shared" si="6"/>
        <v>2284518162.1724162</v>
      </c>
      <c r="H17" s="137">
        <f t="shared" si="7"/>
        <v>371768073.84521317</v>
      </c>
      <c r="I17" s="137">
        <f t="shared" si="8"/>
        <v>1271328345.7563059</v>
      </c>
      <c r="J17" s="137">
        <f t="shared" si="9"/>
        <v>190661683.91195875</v>
      </c>
      <c r="K17" s="137">
        <f t="shared" si="10"/>
        <v>83878067.024656311</v>
      </c>
      <c r="L17" s="137">
        <f t="shared" si="11"/>
        <v>172883402.04519692</v>
      </c>
      <c r="M17" s="135">
        <f t="shared" si="0"/>
        <v>8657548529.1775379</v>
      </c>
    </row>
    <row r="18" spans="1:15">
      <c r="A18" s="379">
        <f t="shared" si="2"/>
        <v>8</v>
      </c>
      <c r="B18" s="529" t="s">
        <v>750</v>
      </c>
      <c r="C18" s="137">
        <f t="shared" si="3"/>
        <v>87306975.551286086</v>
      </c>
      <c r="D18" s="137">
        <f t="shared" si="3"/>
        <v>165176355.41463006</v>
      </c>
      <c r="E18" s="137">
        <f t="shared" si="4"/>
        <v>589092910.36993051</v>
      </c>
      <c r="F18" s="137">
        <f t="shared" si="5"/>
        <v>3447324974.5936556</v>
      </c>
      <c r="G18" s="137">
        <f t="shared" si="6"/>
        <v>2284562679.5661802</v>
      </c>
      <c r="H18" s="137">
        <f t="shared" si="7"/>
        <v>372042703.36830395</v>
      </c>
      <c r="I18" s="137">
        <f t="shared" si="8"/>
        <v>1272813056.1168413</v>
      </c>
      <c r="J18" s="137">
        <f t="shared" si="9"/>
        <v>190691596.60811177</v>
      </c>
      <c r="K18" s="137">
        <f t="shared" si="10"/>
        <v>83892934.011575431</v>
      </c>
      <c r="L18" s="137">
        <f t="shared" si="11"/>
        <v>172836726.08459714</v>
      </c>
      <c r="M18" s="135">
        <f t="shared" si="0"/>
        <v>8665740911.685112</v>
      </c>
    </row>
    <row r="19" spans="1:15">
      <c r="A19" s="379">
        <f t="shared" si="2"/>
        <v>9</v>
      </c>
      <c r="B19" s="528" t="s">
        <v>751</v>
      </c>
      <c r="C19" s="137">
        <f t="shared" si="3"/>
        <v>87330957.31634979</v>
      </c>
      <c r="D19" s="137">
        <f t="shared" si="3"/>
        <v>165183770.20535582</v>
      </c>
      <c r="E19" s="137">
        <f t="shared" si="4"/>
        <v>597444040.49741554</v>
      </c>
      <c r="F19" s="137">
        <f t="shared" si="5"/>
        <v>3455667215.9685163</v>
      </c>
      <c r="G19" s="137">
        <f t="shared" si="6"/>
        <v>2284539001.2219119</v>
      </c>
      <c r="H19" s="137">
        <f t="shared" si="7"/>
        <v>381776185.63943297</v>
      </c>
      <c r="I19" s="137">
        <f t="shared" si="8"/>
        <v>1288343514.1273477</v>
      </c>
      <c r="J19" s="137">
        <f t="shared" si="9"/>
        <v>190713761.43200237</v>
      </c>
      <c r="K19" s="137">
        <f t="shared" si="10"/>
        <v>83903902.361348167</v>
      </c>
      <c r="L19" s="137">
        <f t="shared" si="11"/>
        <v>172900764.77340519</v>
      </c>
      <c r="M19" s="135">
        <f t="shared" si="0"/>
        <v>8707803113.5430851</v>
      </c>
    </row>
    <row r="20" spans="1:15">
      <c r="A20" s="379">
        <f t="shared" si="2"/>
        <v>10</v>
      </c>
      <c r="B20" s="528" t="s">
        <v>752</v>
      </c>
      <c r="C20" s="137">
        <f t="shared" si="3"/>
        <v>87331478.886349782</v>
      </c>
      <c r="D20" s="137">
        <f t="shared" si="3"/>
        <v>165177384.16560277</v>
      </c>
      <c r="E20" s="137">
        <f t="shared" si="4"/>
        <v>604383752.92188764</v>
      </c>
      <c r="F20" s="137">
        <f t="shared" si="5"/>
        <v>3456584434.313148</v>
      </c>
      <c r="G20" s="137">
        <f t="shared" si="6"/>
        <v>2284549099.1997643</v>
      </c>
      <c r="H20" s="137">
        <f t="shared" si="7"/>
        <v>383272977.52429754</v>
      </c>
      <c r="I20" s="137">
        <f t="shared" si="8"/>
        <v>1289977382.7310002</v>
      </c>
      <c r="J20" s="137">
        <f t="shared" si="9"/>
        <v>190781811.03604817</v>
      </c>
      <c r="K20" s="137">
        <f t="shared" si="10"/>
        <v>83936902.267854542</v>
      </c>
      <c r="L20" s="137">
        <f t="shared" si="11"/>
        <v>172921318.42057058</v>
      </c>
      <c r="M20" s="135">
        <f t="shared" si="0"/>
        <v>8718916541.4665241</v>
      </c>
    </row>
    <row r="21" spans="1:15">
      <c r="A21" s="379">
        <f t="shared" si="2"/>
        <v>11</v>
      </c>
      <c r="B21" s="529" t="s">
        <v>753</v>
      </c>
      <c r="C21" s="137">
        <f t="shared" si="3"/>
        <v>87345206.596388966</v>
      </c>
      <c r="D21" s="137">
        <f t="shared" si="3"/>
        <v>165189259.08128485</v>
      </c>
      <c r="E21" s="137">
        <f t="shared" si="4"/>
        <v>607654477.30842483</v>
      </c>
      <c r="F21" s="137">
        <f t="shared" si="5"/>
        <v>3452212580.5756984</v>
      </c>
      <c r="G21" s="137">
        <f t="shared" si="6"/>
        <v>2284577055.1636887</v>
      </c>
      <c r="H21" s="137">
        <f t="shared" si="7"/>
        <v>384624601.74367285</v>
      </c>
      <c r="I21" s="137">
        <f t="shared" si="8"/>
        <v>1292243484.1460822</v>
      </c>
      <c r="J21" s="137">
        <f t="shared" si="9"/>
        <v>190831339.03385022</v>
      </c>
      <c r="K21" s="137">
        <f t="shared" si="10"/>
        <v>83961794.35010764</v>
      </c>
      <c r="L21" s="137">
        <f t="shared" si="11"/>
        <v>173487023.93781778</v>
      </c>
      <c r="M21" s="135">
        <f t="shared" si="0"/>
        <v>8722126821.9370155</v>
      </c>
    </row>
    <row r="22" spans="1:15">
      <c r="A22" s="379">
        <f t="shared" si="2"/>
        <v>12</v>
      </c>
      <c r="B22" s="529" t="s">
        <v>754</v>
      </c>
      <c r="C22" s="137">
        <f t="shared" si="3"/>
        <v>87344390.961959019</v>
      </c>
      <c r="D22" s="137">
        <f t="shared" si="3"/>
        <v>165233271.26135975</v>
      </c>
      <c r="E22" s="137">
        <f t="shared" si="4"/>
        <v>610126156.19005215</v>
      </c>
      <c r="F22" s="137">
        <f t="shared" si="5"/>
        <v>3458389095.0579753</v>
      </c>
      <c r="G22" s="137">
        <f t="shared" si="6"/>
        <v>2284536272.5836568</v>
      </c>
      <c r="H22" s="137">
        <f t="shared" si="7"/>
        <v>385813372.16361815</v>
      </c>
      <c r="I22" s="137">
        <f t="shared" si="8"/>
        <v>1293205824.1771352</v>
      </c>
      <c r="J22" s="137">
        <f t="shared" si="9"/>
        <v>190855519.91790837</v>
      </c>
      <c r="K22" s="137">
        <f t="shared" si="10"/>
        <v>83971830.958077177</v>
      </c>
      <c r="L22" s="137">
        <f t="shared" si="11"/>
        <v>173636576.85711002</v>
      </c>
      <c r="M22" s="135">
        <f t="shared" si="0"/>
        <v>8733112310.1288528</v>
      </c>
    </row>
    <row r="23" spans="1:15">
      <c r="A23" s="379">
        <f t="shared" si="2"/>
        <v>13</v>
      </c>
      <c r="B23" s="528" t="s">
        <v>755</v>
      </c>
      <c r="C23" s="68">
        <v>87352690.443103433</v>
      </c>
      <c r="D23" s="68">
        <v>165261946.55689645</v>
      </c>
      <c r="E23" s="286">
        <f>'7-PlantStudy'!E10</f>
        <v>643675309.99396908</v>
      </c>
      <c r="F23" s="286">
        <f>'7-PlantStudy'!E11</f>
        <v>3459763553.0064859</v>
      </c>
      <c r="G23" s="286">
        <f>'7-PlantStudy'!E20</f>
        <v>2284709794.5614529</v>
      </c>
      <c r="H23" s="286">
        <f>'7-PlantStudy'!E21</f>
        <v>386542291.49892306</v>
      </c>
      <c r="I23" s="286">
        <f>'7-PlantStudy'!E22</f>
        <v>1311509387.2981901</v>
      </c>
      <c r="J23" s="286">
        <f>'7-PlantStudy'!E23</f>
        <v>190891202.22581026</v>
      </c>
      <c r="K23" s="286">
        <f>'7-PlantStudy'!E24</f>
        <v>83989219.417170852</v>
      </c>
      <c r="L23" s="286">
        <f>'7-PlantStudy'!E25</f>
        <v>173783602.50683868</v>
      </c>
      <c r="M23" s="206">
        <f t="shared" si="0"/>
        <v>8787478997.5088406</v>
      </c>
      <c r="O23" s="1"/>
    </row>
    <row r="24" spans="1:15">
      <c r="A24" s="379">
        <f t="shared" si="2"/>
        <v>14</v>
      </c>
      <c r="B24" s="861" t="s">
        <v>756</v>
      </c>
      <c r="C24" s="135">
        <f t="shared" ref="C24:M24" si="12">AVERAGE(C11:C23)</f>
        <v>87425004.629734248</v>
      </c>
      <c r="D24" s="135">
        <f t="shared" si="12"/>
        <v>165079585.63498104</v>
      </c>
      <c r="E24" s="135">
        <f t="shared" si="12"/>
        <v>591915956.96636403</v>
      </c>
      <c r="F24" s="135">
        <f t="shared" si="12"/>
        <v>3438948285.3518009</v>
      </c>
      <c r="G24" s="135">
        <f t="shared" si="12"/>
        <v>2284275299.3347163</v>
      </c>
      <c r="H24" s="135">
        <f t="shared" si="12"/>
        <v>374743277.20259929</v>
      </c>
      <c r="I24" s="135">
        <f t="shared" si="12"/>
        <v>1276285102.084728</v>
      </c>
      <c r="J24" s="135">
        <f t="shared" si="12"/>
        <v>190602506.62370947</v>
      </c>
      <c r="K24" s="135">
        <f t="shared" si="12"/>
        <v>84137130.202935487</v>
      </c>
      <c r="L24" s="135">
        <f t="shared" si="12"/>
        <v>172963198.68663737</v>
      </c>
      <c r="M24" s="135">
        <f t="shared" si="12"/>
        <v>8666375346.7182045</v>
      </c>
    </row>
    <row r="25" spans="1:15">
      <c r="A25" s="298"/>
      <c r="B25" s="298"/>
      <c r="C25" s="298"/>
      <c r="D25" s="298"/>
      <c r="E25" s="298"/>
      <c r="F25" s="298"/>
      <c r="G25" s="298"/>
      <c r="H25" s="298"/>
      <c r="I25" s="298"/>
      <c r="J25" s="298"/>
      <c r="K25" s="298"/>
      <c r="L25" s="298"/>
    </row>
    <row r="26" spans="1:15">
      <c r="A26" s="298"/>
      <c r="B26" s="227" t="s">
        <v>757</v>
      </c>
      <c r="C26" s="298"/>
      <c r="D26" s="298"/>
      <c r="E26" s="298"/>
      <c r="F26" s="298"/>
      <c r="G26" s="298"/>
      <c r="H26" s="298"/>
      <c r="I26" s="298"/>
      <c r="J26" s="298"/>
      <c r="K26" s="298"/>
      <c r="L26" s="298"/>
    </row>
    <row r="27" spans="1:15">
      <c r="A27" s="298"/>
      <c r="B27" s="227"/>
      <c r="C27" s="298"/>
      <c r="D27" s="298"/>
      <c r="E27" s="298"/>
      <c r="F27" s="298"/>
      <c r="G27" s="298"/>
      <c r="H27" s="298"/>
      <c r="I27" s="298"/>
      <c r="J27" s="298"/>
      <c r="K27" s="298"/>
      <c r="L27" s="298"/>
    </row>
    <row r="28" spans="1:15">
      <c r="A28" s="298"/>
      <c r="B28" s="141" t="s">
        <v>758</v>
      </c>
      <c r="C28" s="300"/>
      <c r="D28" s="300"/>
      <c r="E28" s="300"/>
      <c r="F28" s="300"/>
      <c r="G28" s="300"/>
      <c r="H28" s="300"/>
      <c r="I28" s="298"/>
      <c r="J28" s="298"/>
      <c r="K28" s="298"/>
      <c r="L28" s="298"/>
    </row>
    <row r="29" spans="1:15">
      <c r="A29" s="298"/>
      <c r="B29" s="227"/>
      <c r="C29" s="298"/>
      <c r="D29" s="298"/>
      <c r="E29" s="298"/>
      <c r="F29" s="298"/>
      <c r="G29" s="298"/>
      <c r="H29" s="298"/>
      <c r="I29" s="298"/>
      <c r="J29" s="298"/>
      <c r="K29" s="298"/>
      <c r="L29" s="298"/>
    </row>
    <row r="30" spans="1:15">
      <c r="A30" s="227"/>
      <c r="B30" s="52" t="s">
        <v>307</v>
      </c>
      <c r="C30" s="52" t="s">
        <v>308</v>
      </c>
      <c r="D30" s="52" t="s">
        <v>309</v>
      </c>
      <c r="E30" s="52" t="s">
        <v>310</v>
      </c>
      <c r="F30" s="52" t="s">
        <v>311</v>
      </c>
      <c r="G30" s="298"/>
      <c r="H30" s="298"/>
      <c r="I30" s="298"/>
      <c r="J30" s="298"/>
      <c r="K30" s="298"/>
      <c r="L30" s="298"/>
    </row>
    <row r="31" spans="1:15">
      <c r="A31" s="133"/>
      <c r="B31" s="149"/>
      <c r="C31" s="133"/>
      <c r="D31" s="133"/>
      <c r="E31" s="133"/>
      <c r="F31" s="149" t="s">
        <v>759</v>
      </c>
      <c r="G31" s="298"/>
      <c r="H31" s="298"/>
      <c r="K31" s="298"/>
      <c r="L31" s="298"/>
    </row>
    <row r="32" spans="1:15">
      <c r="A32" s="133"/>
      <c r="B32" s="64"/>
      <c r="C32" s="52"/>
      <c r="D32" s="52"/>
      <c r="E32" s="133"/>
      <c r="F32" s="133"/>
      <c r="G32" s="298"/>
      <c r="H32" s="298"/>
      <c r="K32" s="298"/>
      <c r="L32" s="298"/>
    </row>
    <row r="33" spans="1:12" ht="12.75" customHeight="1">
      <c r="A33" s="28" t="s">
        <v>243</v>
      </c>
      <c r="B33" s="74" t="s">
        <v>742</v>
      </c>
      <c r="C33" s="207">
        <v>360</v>
      </c>
      <c r="D33" s="207">
        <v>361</v>
      </c>
      <c r="E33" s="207">
        <v>362</v>
      </c>
      <c r="F33" s="2" t="s">
        <v>388</v>
      </c>
      <c r="G33" s="298"/>
      <c r="H33" s="298"/>
      <c r="K33" s="298"/>
      <c r="L33" s="298"/>
    </row>
    <row r="34" spans="1:12" ht="12.75" customHeight="1">
      <c r="A34" s="379">
        <f>A24+1</f>
        <v>15</v>
      </c>
      <c r="B34" s="528" t="s">
        <v>743</v>
      </c>
      <c r="C34" s="772">
        <v>0</v>
      </c>
      <c r="D34" s="772">
        <v>0</v>
      </c>
      <c r="E34" s="772">
        <v>0</v>
      </c>
      <c r="F34" s="135">
        <f>SUM(C34:E34)</f>
        <v>0</v>
      </c>
      <c r="G34" s="298"/>
      <c r="H34" s="298"/>
      <c r="K34" s="298"/>
      <c r="L34" s="298"/>
    </row>
    <row r="35" spans="1:12" ht="12.75" customHeight="1">
      <c r="A35" s="379">
        <f>A34+1</f>
        <v>16</v>
      </c>
      <c r="B35" s="528" t="s">
        <v>755</v>
      </c>
      <c r="C35" s="228">
        <v>0</v>
      </c>
      <c r="D35" s="228">
        <v>0</v>
      </c>
      <c r="E35" s="228">
        <v>0</v>
      </c>
      <c r="F35" s="206">
        <f>SUM(C35:E35)</f>
        <v>0</v>
      </c>
      <c r="G35" s="298"/>
      <c r="H35" s="298"/>
      <c r="K35" s="298"/>
      <c r="L35" s="298"/>
    </row>
    <row r="36" spans="1:12" ht="12.75" customHeight="1">
      <c r="A36" s="379">
        <f>A35+1</f>
        <v>17</v>
      </c>
      <c r="B36" s="861" t="s">
        <v>760</v>
      </c>
      <c r="C36" s="135">
        <f>AVERAGE(C34:C35)</f>
        <v>0</v>
      </c>
      <c r="D36" s="135">
        <f>AVERAGE(D34:D35)</f>
        <v>0</v>
      </c>
      <c r="E36" s="135">
        <f>AVERAGE(E34:E35)</f>
        <v>0</v>
      </c>
      <c r="F36" s="135">
        <f>AVERAGE(F34:F35)</f>
        <v>0</v>
      </c>
      <c r="G36" s="298"/>
      <c r="H36" s="298"/>
      <c r="K36" s="298"/>
      <c r="L36" s="298"/>
    </row>
    <row r="37" spans="1:12" ht="12.75" customHeight="1">
      <c r="A37" s="298"/>
      <c r="B37" s="298"/>
      <c r="C37" s="298"/>
      <c r="D37" s="298"/>
      <c r="E37" s="298"/>
      <c r="F37" s="298"/>
      <c r="G37" s="298"/>
      <c r="H37" s="298"/>
      <c r="K37" s="298"/>
      <c r="L37" s="298"/>
    </row>
    <row r="38" spans="1:12">
      <c r="A38" s="298"/>
      <c r="B38" s="1" t="s">
        <v>761</v>
      </c>
      <c r="C38" s="444"/>
      <c r="D38" s="444"/>
      <c r="E38" s="862"/>
      <c r="F38" s="863"/>
      <c r="G38" s="864"/>
      <c r="H38" s="298"/>
      <c r="K38" s="298"/>
      <c r="L38" s="298"/>
    </row>
    <row r="39" spans="1:12">
      <c r="A39" s="298"/>
      <c r="B39" s="298" t="s">
        <v>762</v>
      </c>
      <c r="C39" s="444"/>
      <c r="D39" s="444"/>
      <c r="E39" s="862"/>
      <c r="F39" s="863"/>
      <c r="G39" s="864"/>
      <c r="H39" s="298"/>
      <c r="K39" s="298"/>
      <c r="L39" s="298"/>
    </row>
    <row r="40" spans="1:12">
      <c r="A40" s="298"/>
      <c r="B40" s="298"/>
      <c r="C40" s="444"/>
      <c r="D40" s="444"/>
      <c r="E40" s="862"/>
      <c r="F40" s="863"/>
      <c r="G40" s="864"/>
      <c r="H40" s="298"/>
      <c r="K40" s="298"/>
      <c r="L40" s="298"/>
    </row>
    <row r="41" spans="1:12">
      <c r="A41" s="298"/>
      <c r="B41" s="298"/>
      <c r="C41" s="444"/>
      <c r="D41" s="865" t="s">
        <v>79</v>
      </c>
      <c r="E41" s="866" t="s">
        <v>763</v>
      </c>
      <c r="F41" s="863"/>
      <c r="G41" s="864"/>
      <c r="H41" s="298"/>
      <c r="K41" s="298"/>
      <c r="L41" s="298"/>
    </row>
    <row r="42" spans="1:12">
      <c r="A42" s="379">
        <f>A36+1</f>
        <v>18</v>
      </c>
      <c r="B42" s="298"/>
      <c r="C42" s="862" t="s">
        <v>764</v>
      </c>
      <c r="D42" s="863">
        <f>M24+F36</f>
        <v>8666375346.7182045</v>
      </c>
      <c r="E42" s="867" t="str">
        <f>"Sum of Line "&amp;A24&amp;", "&amp;M7&amp;" and Line "&amp;A36&amp;", "&amp;F30&amp;""</f>
        <v>Sum of Line 14, Col 12 and Line 17, Col 5</v>
      </c>
      <c r="F42" s="298"/>
      <c r="G42" s="298"/>
      <c r="H42" s="300"/>
      <c r="K42" s="298"/>
      <c r="L42" s="298"/>
    </row>
    <row r="43" spans="1:12">
      <c r="A43" s="379">
        <f>A42+1</f>
        <v>19</v>
      </c>
      <c r="B43" s="298"/>
      <c r="C43" s="862" t="s">
        <v>765</v>
      </c>
      <c r="D43" s="863">
        <f>M23+F35</f>
        <v>8787478997.5088406</v>
      </c>
      <c r="E43" s="867" t="str">
        <f>"Sum of Line "&amp;A23&amp;", "&amp;M7&amp;" and Line "&amp;A35&amp;", "&amp;F30&amp;""</f>
        <v>Sum of Line 13, Col 12 and Line 16, Col 5</v>
      </c>
      <c r="F43" s="298"/>
      <c r="G43" s="298"/>
      <c r="H43" s="300"/>
      <c r="I43" s="298"/>
      <c r="J43" s="298"/>
      <c r="K43" s="298"/>
      <c r="L43" s="298"/>
    </row>
    <row r="44" spans="1:12">
      <c r="A44" s="298"/>
      <c r="B44" s="298"/>
      <c r="C44" s="444"/>
      <c r="D44" s="444"/>
      <c r="E44" s="868"/>
      <c r="F44" s="869"/>
      <c r="G44" s="870"/>
      <c r="H44" s="298"/>
      <c r="I44" s="298"/>
      <c r="J44" s="298"/>
      <c r="K44" s="298"/>
      <c r="L44" s="298"/>
    </row>
    <row r="45" spans="1:12">
      <c r="A45" s="298"/>
      <c r="B45" s="1" t="s">
        <v>766</v>
      </c>
      <c r="C45" s="298"/>
      <c r="D45" s="298"/>
      <c r="E45" s="868"/>
      <c r="F45" s="869"/>
      <c r="G45" s="870"/>
      <c r="H45" s="298"/>
      <c r="I45" s="298"/>
      <c r="J45" s="298"/>
      <c r="K45" s="298"/>
      <c r="L45" s="298"/>
    </row>
    <row r="46" spans="1:12">
      <c r="A46" s="298"/>
      <c r="B46" s="302" t="s">
        <v>767</v>
      </c>
      <c r="C46" s="298"/>
      <c r="D46" s="298"/>
      <c r="E46" s="868"/>
      <c r="F46" s="869"/>
      <c r="G46" s="870"/>
      <c r="H46" s="298"/>
      <c r="I46" s="298"/>
      <c r="J46" s="298"/>
      <c r="K46" s="298"/>
      <c r="L46" s="298"/>
    </row>
    <row r="47" spans="1:12" ht="12.75" customHeight="1">
      <c r="A47" s="298"/>
      <c r="B47" s="302"/>
      <c r="C47" s="298"/>
      <c r="D47" s="298"/>
      <c r="E47" s="868"/>
      <c r="F47" s="869"/>
      <c r="G47" s="870"/>
      <c r="H47" s="298"/>
      <c r="I47" s="298"/>
      <c r="J47" s="298"/>
      <c r="K47" s="298"/>
      <c r="L47" s="298"/>
    </row>
    <row r="48" spans="1:12">
      <c r="A48" s="298"/>
      <c r="B48" s="1"/>
      <c r="C48" s="149" t="s">
        <v>150</v>
      </c>
      <c r="D48" s="298"/>
      <c r="E48" s="868"/>
      <c r="F48" s="52" t="s">
        <v>307</v>
      </c>
      <c r="G48" s="52" t="s">
        <v>308</v>
      </c>
      <c r="H48" s="52" t="s">
        <v>309</v>
      </c>
      <c r="I48" s="298"/>
      <c r="J48" s="298"/>
      <c r="K48" s="298"/>
      <c r="L48" s="298"/>
    </row>
    <row r="49" spans="1:12">
      <c r="A49" s="298"/>
      <c r="B49" s="1"/>
      <c r="C49" s="379" t="s">
        <v>387</v>
      </c>
      <c r="D49" s="868"/>
      <c r="F49" s="379" t="s">
        <v>768</v>
      </c>
      <c r="G49" s="379" t="s">
        <v>769</v>
      </c>
      <c r="H49" s="851" t="s">
        <v>388</v>
      </c>
      <c r="I49" s="870"/>
      <c r="J49" s="298"/>
      <c r="K49" s="298"/>
      <c r="L49" s="298"/>
    </row>
    <row r="50" spans="1:12">
      <c r="A50" s="298"/>
      <c r="B50" s="298"/>
      <c r="C50" s="379" t="s">
        <v>343</v>
      </c>
      <c r="D50" s="451" t="s">
        <v>770</v>
      </c>
      <c r="F50" s="451" t="s">
        <v>771</v>
      </c>
      <c r="G50" s="451" t="s">
        <v>771</v>
      </c>
      <c r="H50" s="451" t="s">
        <v>772</v>
      </c>
      <c r="I50" s="451"/>
      <c r="J50" s="298"/>
      <c r="K50" s="298"/>
      <c r="L50" s="298"/>
    </row>
    <row r="51" spans="1:12">
      <c r="A51" s="298"/>
      <c r="B51" s="298"/>
      <c r="C51" s="2" t="s">
        <v>342</v>
      </c>
      <c r="D51" s="435" t="s">
        <v>763</v>
      </c>
      <c r="F51" s="448" t="s">
        <v>773</v>
      </c>
      <c r="G51" s="448" t="s">
        <v>773</v>
      </c>
      <c r="H51" s="448" t="s">
        <v>773</v>
      </c>
      <c r="I51" s="871" t="s">
        <v>98</v>
      </c>
      <c r="J51" s="298"/>
      <c r="K51" s="298"/>
      <c r="L51" s="298"/>
    </row>
    <row r="52" spans="1:12">
      <c r="A52" s="379">
        <f>A43+1</f>
        <v>20</v>
      </c>
      <c r="B52" s="298"/>
      <c r="C52" s="432" t="s">
        <v>350</v>
      </c>
      <c r="D52" s="850" t="s">
        <v>774</v>
      </c>
      <c r="F52" s="787">
        <v>3102162333</v>
      </c>
      <c r="G52" s="325">
        <v>1324870316</v>
      </c>
      <c r="H52" s="863">
        <f>SUM(F52:G52)</f>
        <v>4427032649</v>
      </c>
      <c r="I52" s="850" t="s">
        <v>775</v>
      </c>
      <c r="J52" s="300"/>
      <c r="K52" s="298"/>
      <c r="L52" s="298"/>
    </row>
    <row r="53" spans="1:12" ht="12.75" customHeight="1">
      <c r="A53" s="379">
        <f>A52+1</f>
        <v>21</v>
      </c>
      <c r="B53" s="298"/>
      <c r="C53" s="439" t="s">
        <v>350</v>
      </c>
      <c r="D53" s="850" t="s">
        <v>776</v>
      </c>
      <c r="E53" s="10"/>
      <c r="F53" s="787">
        <v>3095312496</v>
      </c>
      <c r="G53" s="325">
        <v>1211743818</v>
      </c>
      <c r="H53" s="863">
        <f>SUM(F53:G53)</f>
        <v>4307056314</v>
      </c>
      <c r="I53" s="297" t="s">
        <v>777</v>
      </c>
      <c r="J53" s="300"/>
      <c r="K53" s="298"/>
      <c r="L53" s="298"/>
    </row>
    <row r="54" spans="1:12" ht="12.75" customHeight="1">
      <c r="A54" s="298"/>
      <c r="B54" s="298"/>
      <c r="C54" s="439"/>
      <c r="D54" s="872"/>
      <c r="E54" s="873"/>
      <c r="F54" s="863"/>
      <c r="G54" s="302"/>
      <c r="H54" s="298"/>
      <c r="I54" s="298"/>
      <c r="J54" s="298"/>
      <c r="K54" s="298"/>
      <c r="L54" s="298"/>
    </row>
    <row r="55" spans="1:12" ht="12.75" customHeight="1">
      <c r="A55" s="298"/>
      <c r="B55" s="298"/>
      <c r="C55" s="444" t="s">
        <v>778</v>
      </c>
      <c r="D55" s="444"/>
      <c r="E55" s="868"/>
      <c r="F55" s="866" t="s">
        <v>79</v>
      </c>
      <c r="G55" s="874" t="s">
        <v>763</v>
      </c>
      <c r="H55" s="298"/>
      <c r="I55" s="298"/>
      <c r="J55" s="298"/>
      <c r="K55" s="298"/>
      <c r="L55" s="298"/>
    </row>
    <row r="56" spans="1:12">
      <c r="A56" s="379">
        <f>A53+1</f>
        <v>22</v>
      </c>
      <c r="B56" s="298"/>
      <c r="C56" s="444"/>
      <c r="D56" s="444"/>
      <c r="E56" s="862" t="s">
        <v>779</v>
      </c>
      <c r="F56" s="863">
        <f>(H52+H53)/2</f>
        <v>4367044481.5</v>
      </c>
      <c r="G56" s="331" t="str">
        <f>"Average of Line "&amp;A52&amp;" and "&amp;A53&amp;"."</f>
        <v>Average of Line 20 and 21.</v>
      </c>
      <c r="H56" s="298"/>
      <c r="I56" s="300"/>
      <c r="J56" s="298"/>
      <c r="K56" s="298"/>
      <c r="L56" s="298"/>
    </row>
    <row r="57" spans="1:12">
      <c r="A57" s="379">
        <f>A56+1</f>
        <v>23</v>
      </c>
      <c r="B57" s="298"/>
      <c r="C57" s="444"/>
      <c r="D57" s="444"/>
      <c r="E57" s="415" t="s">
        <v>780</v>
      </c>
      <c r="F57" s="875">
        <f>'27-Allocators'!G14</f>
        <v>5.9033379723389116E-2</v>
      </c>
      <c r="G57" s="331" t="str">
        <f>"27-Allocators, Line "&amp;'27-Allocators'!A14&amp;""</f>
        <v>27-Allocators, Line 9</v>
      </c>
      <c r="H57" s="298"/>
      <c r="I57" s="300"/>
      <c r="J57" s="298"/>
      <c r="K57" s="298"/>
      <c r="L57" s="298"/>
    </row>
    <row r="58" spans="1:12">
      <c r="A58" s="379">
        <f>A57+1</f>
        <v>24</v>
      </c>
      <c r="B58" s="298"/>
      <c r="C58" s="444"/>
      <c r="D58" s="444"/>
      <c r="E58" s="415" t="s">
        <v>781</v>
      </c>
      <c r="F58" s="863">
        <f>F56*F57</f>
        <v>257801395.14532045</v>
      </c>
      <c r="G58" s="331" t="str">
        <f>"Line "&amp;A56&amp;" * Line "&amp;A57&amp;"."</f>
        <v>Line 22 * Line 23.</v>
      </c>
      <c r="H58" s="298"/>
      <c r="I58" s="300"/>
      <c r="J58" s="298"/>
      <c r="K58" s="298"/>
      <c r="L58" s="298"/>
    </row>
    <row r="59" spans="1:12">
      <c r="A59" s="298"/>
      <c r="B59" s="298"/>
      <c r="C59" s="444"/>
      <c r="D59" s="444"/>
      <c r="E59" s="415"/>
      <c r="F59" s="863"/>
      <c r="G59" s="864"/>
      <c r="H59" s="298"/>
      <c r="I59" s="298"/>
      <c r="J59" s="298"/>
      <c r="K59" s="298"/>
      <c r="L59" s="298"/>
    </row>
    <row r="60" spans="1:12">
      <c r="A60" s="298"/>
      <c r="B60" s="298"/>
      <c r="C60" s="444" t="s">
        <v>782</v>
      </c>
      <c r="D60" s="444"/>
      <c r="E60" s="868"/>
      <c r="F60" s="866" t="s">
        <v>79</v>
      </c>
      <c r="G60" s="874" t="s">
        <v>763</v>
      </c>
      <c r="H60" s="298"/>
      <c r="I60" s="298"/>
      <c r="J60" s="298"/>
      <c r="K60" s="298"/>
      <c r="L60" s="298"/>
    </row>
    <row r="61" spans="1:12">
      <c r="A61" s="379">
        <f>A58+1</f>
        <v>25</v>
      </c>
      <c r="B61" s="298"/>
      <c r="C61" s="444"/>
      <c r="D61" s="444"/>
      <c r="E61" s="862" t="s">
        <v>765</v>
      </c>
      <c r="F61" s="863">
        <f>H53</f>
        <v>4307056314</v>
      </c>
      <c r="G61" s="331" t="str">
        <f>"Line "&amp;A53&amp;"."</f>
        <v>Line 21.</v>
      </c>
      <c r="H61" s="300"/>
      <c r="I61" s="298"/>
      <c r="J61" s="298"/>
      <c r="K61" s="298"/>
      <c r="L61" s="298"/>
    </row>
    <row r="62" spans="1:12">
      <c r="A62" s="379">
        <f>A61+1</f>
        <v>26</v>
      </c>
      <c r="B62" s="298"/>
      <c r="C62" s="444"/>
      <c r="D62" s="444"/>
      <c r="E62" s="415" t="s">
        <v>780</v>
      </c>
      <c r="F62" s="875">
        <f>'27-Allocators'!G14</f>
        <v>5.9033379723389116E-2</v>
      </c>
      <c r="G62" s="331" t="str">
        <f>"27-Allocators, Line "&amp;'27-Allocators'!A14&amp;""</f>
        <v>27-Allocators, Line 9</v>
      </c>
      <c r="H62" s="300"/>
      <c r="I62" s="298"/>
      <c r="J62" s="298"/>
      <c r="K62" s="298"/>
      <c r="L62" s="298"/>
    </row>
    <row r="63" spans="1:12">
      <c r="A63" s="379">
        <f>A62+1</f>
        <v>27</v>
      </c>
      <c r="B63" s="298"/>
      <c r="C63" s="444"/>
      <c r="D63" s="444"/>
      <c r="E63" s="415" t="s">
        <v>781</v>
      </c>
      <c r="F63" s="863">
        <f>F61*F62</f>
        <v>254260090.87438267</v>
      </c>
      <c r="G63" s="331" t="str">
        <f>"Line "&amp;A61&amp;" * Line "&amp;A62&amp;"."</f>
        <v>Line 25 * Line 26.</v>
      </c>
      <c r="H63" s="300"/>
      <c r="I63" s="298"/>
      <c r="J63" s="298"/>
      <c r="K63" s="298"/>
      <c r="L63" s="298"/>
    </row>
    <row r="64" spans="1:12">
      <c r="A64" s="298"/>
      <c r="B64" s="298"/>
      <c r="C64" s="298"/>
      <c r="D64" s="298"/>
      <c r="E64" s="298"/>
      <c r="F64" s="298"/>
      <c r="G64" s="298"/>
      <c r="H64" s="298"/>
      <c r="I64" s="298"/>
      <c r="J64" s="298"/>
      <c r="K64" s="298"/>
      <c r="L64" s="298"/>
    </row>
    <row r="65" spans="1:14">
      <c r="A65" s="298"/>
      <c r="B65" s="298"/>
      <c r="C65" s="298"/>
      <c r="D65" s="298"/>
      <c r="E65" s="298"/>
      <c r="F65" s="298"/>
      <c r="G65" s="298"/>
      <c r="H65" s="298"/>
      <c r="I65" s="298"/>
      <c r="J65" s="298"/>
      <c r="K65" s="298"/>
      <c r="L65" s="298"/>
    </row>
    <row r="66" spans="1:14">
      <c r="A66" s="298"/>
      <c r="B66" s="1" t="s">
        <v>783</v>
      </c>
      <c r="C66" s="298"/>
      <c r="D66" s="298"/>
      <c r="E66" s="298"/>
      <c r="F66" s="298"/>
      <c r="G66" s="298"/>
      <c r="H66" s="298"/>
      <c r="I66" s="298"/>
      <c r="J66" s="298"/>
      <c r="K66" s="298"/>
      <c r="L66" s="298"/>
    </row>
    <row r="67" spans="1:14">
      <c r="A67" s="298"/>
      <c r="C67" s="298"/>
      <c r="D67" s="298"/>
      <c r="E67" s="298"/>
      <c r="F67" s="298"/>
      <c r="G67" s="298"/>
      <c r="H67" s="298"/>
      <c r="I67" s="298"/>
      <c r="J67" s="298"/>
      <c r="K67" s="298"/>
      <c r="L67" s="298"/>
    </row>
    <row r="68" spans="1:14">
      <c r="B68" s="1" t="s">
        <v>784</v>
      </c>
      <c r="C68" s="298"/>
      <c r="D68" s="298"/>
      <c r="E68" s="298"/>
      <c r="F68" s="298"/>
      <c r="G68" s="298"/>
      <c r="H68" s="298"/>
      <c r="I68" s="298"/>
      <c r="J68" s="298"/>
      <c r="K68" s="298"/>
      <c r="L68" s="298"/>
    </row>
    <row r="69" spans="1:14">
      <c r="A69" s="298"/>
      <c r="C69" s="298"/>
      <c r="D69" s="298"/>
      <c r="E69" s="298"/>
      <c r="F69" s="298"/>
      <c r="G69" s="298"/>
      <c r="H69" s="298"/>
      <c r="I69" s="298"/>
      <c r="J69" s="298"/>
      <c r="K69" s="298"/>
      <c r="L69" s="298"/>
    </row>
    <row r="70" spans="1:14">
      <c r="A70" s="227"/>
      <c r="B70" s="52" t="s">
        <v>307</v>
      </c>
      <c r="C70" s="52" t="s">
        <v>308</v>
      </c>
      <c r="D70" s="52" t="s">
        <v>309</v>
      </c>
      <c r="E70" s="52" t="s">
        <v>310</v>
      </c>
      <c r="F70" s="52" t="s">
        <v>311</v>
      </c>
      <c r="G70" s="52" t="s">
        <v>312</v>
      </c>
      <c r="H70" s="52" t="s">
        <v>313</v>
      </c>
      <c r="I70" s="52" t="s">
        <v>314</v>
      </c>
      <c r="J70" s="52" t="s">
        <v>315</v>
      </c>
      <c r="K70" s="52" t="s">
        <v>534</v>
      </c>
      <c r="L70" s="52" t="s">
        <v>535</v>
      </c>
      <c r="M70" s="52" t="s">
        <v>536</v>
      </c>
    </row>
    <row r="71" spans="1:14">
      <c r="A71" s="133"/>
      <c r="B71" s="149"/>
      <c r="C71" s="133"/>
      <c r="D71" s="133"/>
      <c r="E71" s="133"/>
      <c r="F71" s="133"/>
      <c r="G71" s="133"/>
      <c r="H71" s="133"/>
      <c r="I71" s="133"/>
      <c r="J71" s="133"/>
      <c r="K71" s="133"/>
      <c r="M71" s="149" t="s">
        <v>741</v>
      </c>
    </row>
    <row r="72" spans="1:14">
      <c r="A72" s="28"/>
      <c r="B72" s="74" t="s">
        <v>742</v>
      </c>
      <c r="C72" s="52">
        <v>350.1</v>
      </c>
      <c r="D72" s="52">
        <v>350.2</v>
      </c>
      <c r="E72" s="52">
        <v>352</v>
      </c>
      <c r="F72" s="52">
        <v>353</v>
      </c>
      <c r="G72" s="52">
        <v>354</v>
      </c>
      <c r="H72" s="52">
        <v>355</v>
      </c>
      <c r="I72" s="52">
        <v>356</v>
      </c>
      <c r="J72" s="52">
        <v>357</v>
      </c>
      <c r="K72" s="52">
        <v>358</v>
      </c>
      <c r="L72" s="52">
        <v>359</v>
      </c>
      <c r="M72" s="2" t="s">
        <v>388</v>
      </c>
    </row>
    <row r="73" spans="1:14">
      <c r="A73" s="379">
        <f>A63+1</f>
        <v>28</v>
      </c>
      <c r="B73" s="744" t="s">
        <v>743</v>
      </c>
      <c r="C73" s="325">
        <v>132152045.08</v>
      </c>
      <c r="D73" s="325">
        <v>211042975.33000001</v>
      </c>
      <c r="E73" s="772">
        <v>879621909.91999996</v>
      </c>
      <c r="F73" s="772">
        <v>5902949228.2599993</v>
      </c>
      <c r="G73" s="772">
        <v>2343145352.1400003</v>
      </c>
      <c r="H73" s="772">
        <v>1292702466.8500001</v>
      </c>
      <c r="I73" s="772">
        <v>1524531166.8500001</v>
      </c>
      <c r="J73" s="772">
        <v>256348021.38999999</v>
      </c>
      <c r="K73" s="772">
        <v>376710003.5</v>
      </c>
      <c r="L73" s="772">
        <v>193773411.15000001</v>
      </c>
      <c r="M73" s="135">
        <f t="shared" ref="M73:M85" si="13">SUM(C73:L73)</f>
        <v>13112976580.469999</v>
      </c>
      <c r="N73" s="10"/>
    </row>
    <row r="74" spans="1:14">
      <c r="A74" s="379">
        <f t="shared" ref="A74:A85" si="14">A73+1</f>
        <v>29</v>
      </c>
      <c r="B74" s="529" t="s">
        <v>744</v>
      </c>
      <c r="C74" s="325">
        <v>132002194.22</v>
      </c>
      <c r="D74" s="325">
        <v>211061379.38000003</v>
      </c>
      <c r="E74" s="772">
        <v>883614185.41999996</v>
      </c>
      <c r="F74" s="772">
        <v>5912927542.0299997</v>
      </c>
      <c r="G74" s="772">
        <v>2343801080.04</v>
      </c>
      <c r="H74" s="772">
        <v>1300634527.8300002</v>
      </c>
      <c r="I74" s="772">
        <v>1556508082.3000002</v>
      </c>
      <c r="J74" s="772">
        <v>258389963.34</v>
      </c>
      <c r="K74" s="772">
        <v>381423088.94</v>
      </c>
      <c r="L74" s="772">
        <v>193796221.95000002</v>
      </c>
      <c r="M74" s="135">
        <f t="shared" si="13"/>
        <v>13174158265.450003</v>
      </c>
      <c r="N74" s="10"/>
    </row>
    <row r="75" spans="1:14">
      <c r="A75" s="379">
        <f t="shared" si="14"/>
        <v>30</v>
      </c>
      <c r="B75" s="744" t="s">
        <v>745</v>
      </c>
      <c r="C75" s="325">
        <v>132000715.84999999</v>
      </c>
      <c r="D75" s="325">
        <v>211091194.35000002</v>
      </c>
      <c r="E75" s="772">
        <v>887792515.23000002</v>
      </c>
      <c r="F75" s="772">
        <v>5936193717.0199995</v>
      </c>
      <c r="G75" s="772">
        <v>2341991366.4000001</v>
      </c>
      <c r="H75" s="772">
        <v>1309042929.6600001</v>
      </c>
      <c r="I75" s="772">
        <v>1557716058.8300002</v>
      </c>
      <c r="J75" s="772">
        <v>258465856.72999999</v>
      </c>
      <c r="K75" s="772">
        <v>381501896.36000001</v>
      </c>
      <c r="L75" s="772">
        <v>193844024.62</v>
      </c>
      <c r="M75" s="135">
        <f t="shared" si="13"/>
        <v>13209640275.050001</v>
      </c>
      <c r="N75" s="10"/>
    </row>
    <row r="76" spans="1:14">
      <c r="A76" s="379">
        <f t="shared" si="14"/>
        <v>31</v>
      </c>
      <c r="B76" s="529" t="s">
        <v>746</v>
      </c>
      <c r="C76" s="325">
        <v>131553678.59999999</v>
      </c>
      <c r="D76" s="325">
        <v>211146072.48000002</v>
      </c>
      <c r="E76" s="772">
        <v>892557739.15999997</v>
      </c>
      <c r="F76" s="772">
        <v>5967886746.8199997</v>
      </c>
      <c r="G76" s="772">
        <v>2338465086.0300002</v>
      </c>
      <c r="H76" s="772">
        <v>1335127949.3300002</v>
      </c>
      <c r="I76" s="772">
        <v>1565033200.77</v>
      </c>
      <c r="J76" s="772">
        <v>259085544.49000001</v>
      </c>
      <c r="K76" s="772">
        <v>380559668.88999999</v>
      </c>
      <c r="L76" s="772">
        <v>193910444.75</v>
      </c>
      <c r="M76" s="135">
        <f t="shared" si="13"/>
        <v>13275326131.32</v>
      </c>
      <c r="N76" s="10"/>
    </row>
    <row r="77" spans="1:14">
      <c r="A77" s="379">
        <f t="shared" si="14"/>
        <v>32</v>
      </c>
      <c r="B77" s="744" t="s">
        <v>747</v>
      </c>
      <c r="C77" s="325">
        <v>131563543.45999999</v>
      </c>
      <c r="D77" s="325">
        <v>211143563.86000001</v>
      </c>
      <c r="E77" s="772">
        <v>897155827.62</v>
      </c>
      <c r="F77" s="772">
        <v>5986255168.1000004</v>
      </c>
      <c r="G77" s="772">
        <v>2339813420.27</v>
      </c>
      <c r="H77" s="772">
        <v>1346959845.8800001</v>
      </c>
      <c r="I77" s="772">
        <v>1563864930.6200001</v>
      </c>
      <c r="J77" s="772">
        <v>264372294.94</v>
      </c>
      <c r="K77" s="772">
        <v>382209405.67000002</v>
      </c>
      <c r="L77" s="772">
        <v>193791233.08000001</v>
      </c>
      <c r="M77" s="135">
        <f t="shared" si="13"/>
        <v>13317129233.500004</v>
      </c>
      <c r="N77" s="10"/>
    </row>
    <row r="78" spans="1:14">
      <c r="A78" s="379">
        <f t="shared" si="14"/>
        <v>33</v>
      </c>
      <c r="B78" s="529" t="s">
        <v>748</v>
      </c>
      <c r="C78" s="325">
        <v>131562038.59</v>
      </c>
      <c r="D78" s="325">
        <v>211156537.07000002</v>
      </c>
      <c r="E78" s="772">
        <v>896518648.63</v>
      </c>
      <c r="F78" s="772">
        <v>5995211916.9000006</v>
      </c>
      <c r="G78" s="772">
        <v>2340779687.5700002</v>
      </c>
      <c r="H78" s="772">
        <v>1354095465.9100001</v>
      </c>
      <c r="I78" s="772">
        <v>1573775490.4000001</v>
      </c>
      <c r="J78" s="772">
        <v>265260197.81999999</v>
      </c>
      <c r="K78" s="772">
        <v>383575877.26999998</v>
      </c>
      <c r="L78" s="772">
        <v>193807913.09</v>
      </c>
      <c r="M78" s="135">
        <f t="shared" si="13"/>
        <v>13345743773.25</v>
      </c>
      <c r="N78" s="10"/>
    </row>
    <row r="79" spans="1:14">
      <c r="A79" s="379">
        <f t="shared" si="14"/>
        <v>34</v>
      </c>
      <c r="B79" s="744" t="s">
        <v>749</v>
      </c>
      <c r="C79" s="325">
        <v>131571368.5</v>
      </c>
      <c r="D79" s="325">
        <v>211464949.52000001</v>
      </c>
      <c r="E79" s="772">
        <v>904257704.79000008</v>
      </c>
      <c r="F79" s="772">
        <v>6016839045.5</v>
      </c>
      <c r="G79" s="772">
        <v>2341316407.3800001</v>
      </c>
      <c r="H79" s="772">
        <v>1360640149.6200001</v>
      </c>
      <c r="I79" s="772">
        <v>1575001853.5</v>
      </c>
      <c r="J79" s="772">
        <v>265658046.41999999</v>
      </c>
      <c r="K79" s="772">
        <v>385903311.69</v>
      </c>
      <c r="L79" s="772">
        <v>193987417.51000002</v>
      </c>
      <c r="M79" s="135">
        <f t="shared" si="13"/>
        <v>13386640254.43</v>
      </c>
      <c r="N79" s="10"/>
    </row>
    <row r="80" spans="1:14">
      <c r="A80" s="379">
        <f t="shared" si="14"/>
        <v>35</v>
      </c>
      <c r="B80" s="529" t="s">
        <v>750</v>
      </c>
      <c r="C80" s="325">
        <v>131570852.56999999</v>
      </c>
      <c r="D80" s="325">
        <v>211482836.06000003</v>
      </c>
      <c r="E80" s="772">
        <v>909225318.51999998</v>
      </c>
      <c r="F80" s="772">
        <v>6028396139.25</v>
      </c>
      <c r="G80" s="772">
        <v>2341638295.9300003</v>
      </c>
      <c r="H80" s="772">
        <v>1364401441.8800001</v>
      </c>
      <c r="I80" s="772">
        <v>1577651215.5900002</v>
      </c>
      <c r="J80" s="772">
        <v>265816142.75999999</v>
      </c>
      <c r="K80" s="772">
        <v>386315434.66000003</v>
      </c>
      <c r="L80" s="772">
        <v>193941498.27000001</v>
      </c>
      <c r="M80" s="135">
        <f t="shared" si="13"/>
        <v>13410439175.49</v>
      </c>
      <c r="N80" s="10"/>
    </row>
    <row r="81" spans="1:14">
      <c r="A81" s="379">
        <f t="shared" si="14"/>
        <v>36</v>
      </c>
      <c r="B81" s="744" t="s">
        <v>751</v>
      </c>
      <c r="C81" s="325">
        <v>131590861.61</v>
      </c>
      <c r="D81" s="325">
        <v>211494701.68000004</v>
      </c>
      <c r="E81" s="772">
        <v>916991327.83000004</v>
      </c>
      <c r="F81" s="772">
        <v>6041683890.4499998</v>
      </c>
      <c r="G81" s="772">
        <v>2354634552.5300002</v>
      </c>
      <c r="H81" s="772">
        <v>1456568002.27</v>
      </c>
      <c r="I81" s="772">
        <v>1608031923.7</v>
      </c>
      <c r="J81" s="772">
        <v>266024387.38</v>
      </c>
      <c r="K81" s="772">
        <v>386759045.25</v>
      </c>
      <c r="L81" s="772">
        <v>194055426.95000002</v>
      </c>
      <c r="M81" s="135">
        <f t="shared" si="13"/>
        <v>13567834119.650002</v>
      </c>
      <c r="N81" s="10"/>
    </row>
    <row r="82" spans="1:14">
      <c r="A82" s="379">
        <f t="shared" si="14"/>
        <v>37</v>
      </c>
      <c r="B82" s="529" t="s">
        <v>752</v>
      </c>
      <c r="C82" s="325">
        <v>131591383.18000001</v>
      </c>
      <c r="D82" s="325">
        <v>211483746.38000003</v>
      </c>
      <c r="E82" s="772">
        <v>927495761.75999999</v>
      </c>
      <c r="F82" s="772">
        <v>6045058098.54</v>
      </c>
      <c r="G82" s="772">
        <v>2358493306.5</v>
      </c>
      <c r="H82" s="772">
        <v>1470663403.3600001</v>
      </c>
      <c r="I82" s="772">
        <v>1611187770.52</v>
      </c>
      <c r="J82" s="772">
        <v>268039958.03999999</v>
      </c>
      <c r="K82" s="772">
        <v>389890506.42000002</v>
      </c>
      <c r="L82" s="772">
        <v>194084631.97</v>
      </c>
      <c r="M82" s="135">
        <f t="shared" si="13"/>
        <v>13607988566.670002</v>
      </c>
      <c r="N82" s="10"/>
    </row>
    <row r="83" spans="1:14">
      <c r="A83" s="379">
        <f t="shared" si="14"/>
        <v>38</v>
      </c>
      <c r="B83" s="744" t="s">
        <v>753</v>
      </c>
      <c r="C83" s="325">
        <v>131602724.84</v>
      </c>
      <c r="D83" s="325">
        <v>211502720.18000001</v>
      </c>
      <c r="E83" s="772">
        <v>932408821.87</v>
      </c>
      <c r="F83" s="772">
        <v>6028403511.0200005</v>
      </c>
      <c r="G83" s="772">
        <v>2356531854.1800003</v>
      </c>
      <c r="H83" s="772">
        <v>1483457844.24</v>
      </c>
      <c r="I83" s="772">
        <v>1615595395.6300001</v>
      </c>
      <c r="J83" s="772">
        <v>267202744.69</v>
      </c>
      <c r="K83" s="772">
        <v>390891957.05000001</v>
      </c>
      <c r="L83" s="772">
        <v>195116886.23000002</v>
      </c>
      <c r="M83" s="135">
        <f t="shared" si="13"/>
        <v>13612714459.929998</v>
      </c>
      <c r="N83" s="10"/>
    </row>
    <row r="84" spans="1:14">
      <c r="A84" s="379">
        <f t="shared" si="14"/>
        <v>39</v>
      </c>
      <c r="B84" s="529" t="s">
        <v>754</v>
      </c>
      <c r="C84" s="325">
        <v>131605853.40000001</v>
      </c>
      <c r="D84" s="325">
        <v>211571363.10000002</v>
      </c>
      <c r="E84" s="772">
        <v>936123141.12</v>
      </c>
      <c r="F84" s="772">
        <v>6051481091.6500006</v>
      </c>
      <c r="G84" s="772">
        <v>2356826641.6900001</v>
      </c>
      <c r="H84" s="772">
        <v>1492485756.21</v>
      </c>
      <c r="I84" s="772">
        <v>1617144681.4200001</v>
      </c>
      <c r="J84" s="772">
        <v>270411211.38999999</v>
      </c>
      <c r="K84" s="772">
        <v>398292964.04000002</v>
      </c>
      <c r="L84" s="772">
        <v>195317099.26000002</v>
      </c>
      <c r="M84" s="206">
        <f t="shared" si="13"/>
        <v>13661259803.280003</v>
      </c>
      <c r="N84" s="10"/>
    </row>
    <row r="85" spans="1:14">
      <c r="A85" s="379">
        <f t="shared" si="14"/>
        <v>40</v>
      </c>
      <c r="B85" s="744" t="s">
        <v>755</v>
      </c>
      <c r="C85" s="325">
        <v>131612781.18000001</v>
      </c>
      <c r="D85" s="325">
        <v>211617314.11000001</v>
      </c>
      <c r="E85" s="311">
        <f>'7-PlantStudy'!C10</f>
        <v>983751073</v>
      </c>
      <c r="F85" s="311">
        <f>'7-PlantStudy'!C11</f>
        <v>6072137167</v>
      </c>
      <c r="G85" s="311">
        <f>'7-PlantStudy'!C20</f>
        <v>2355779001</v>
      </c>
      <c r="H85" s="311">
        <f>'7-PlantStudy'!C21</f>
        <v>1500195881</v>
      </c>
      <c r="I85" s="311">
        <f>'7-PlantStudy'!C22</f>
        <v>1653093431</v>
      </c>
      <c r="J85" s="311">
        <f>'7-PlantStudy'!C23</f>
        <v>271487039</v>
      </c>
      <c r="K85" s="311">
        <f>'7-PlantStudy'!C24</f>
        <v>399339545</v>
      </c>
      <c r="L85" s="311">
        <f>'7-PlantStudy'!C25</f>
        <v>195497058</v>
      </c>
      <c r="M85" s="135">
        <f t="shared" si="13"/>
        <v>13774510290.290001</v>
      </c>
      <c r="N85" s="10"/>
    </row>
    <row r="87" spans="1:14">
      <c r="B87" s="25" t="s">
        <v>785</v>
      </c>
      <c r="C87" s="10"/>
      <c r="D87" s="10"/>
      <c r="E87" s="10"/>
    </row>
    <row r="88" spans="1:14">
      <c r="B88" s="10"/>
      <c r="C88" s="10"/>
      <c r="D88" s="10"/>
    </row>
    <row r="89" spans="1:14">
      <c r="A89" s="227"/>
      <c r="B89" s="200" t="s">
        <v>307</v>
      </c>
      <c r="C89" s="200" t="s">
        <v>308</v>
      </c>
      <c r="D89" s="200" t="s">
        <v>309</v>
      </c>
      <c r="E89" s="52" t="s">
        <v>310</v>
      </c>
      <c r="F89" s="52" t="s">
        <v>311</v>
      </c>
      <c r="G89" s="52" t="s">
        <v>312</v>
      </c>
      <c r="H89" s="52" t="s">
        <v>313</v>
      </c>
      <c r="I89" s="52" t="s">
        <v>314</v>
      </c>
      <c r="J89" s="52" t="s">
        <v>315</v>
      </c>
      <c r="K89" s="52" t="s">
        <v>534</v>
      </c>
      <c r="L89" s="52" t="s">
        <v>535</v>
      </c>
      <c r="M89" s="52" t="s">
        <v>536</v>
      </c>
    </row>
    <row r="90" spans="1:14">
      <c r="A90" s="133"/>
      <c r="B90" s="281"/>
      <c r="C90" s="141"/>
      <c r="D90" s="141"/>
      <c r="E90" s="133"/>
      <c r="F90" s="133"/>
      <c r="G90" s="133"/>
      <c r="H90" s="133"/>
      <c r="I90" s="133"/>
      <c r="J90" s="133"/>
      <c r="K90" s="133"/>
      <c r="M90" s="149" t="s">
        <v>741</v>
      </c>
    </row>
    <row r="91" spans="1:14">
      <c r="A91" s="28"/>
      <c r="B91" s="74" t="s">
        <v>742</v>
      </c>
      <c r="C91" s="200">
        <v>350.1</v>
      </c>
      <c r="D91" s="200">
        <v>350.2</v>
      </c>
      <c r="E91" s="52">
        <v>352</v>
      </c>
      <c r="F91" s="52">
        <v>353</v>
      </c>
      <c r="G91" s="52">
        <v>354</v>
      </c>
      <c r="H91" s="52">
        <v>355</v>
      </c>
      <c r="I91" s="52">
        <v>356</v>
      </c>
      <c r="J91" s="52">
        <v>357</v>
      </c>
      <c r="K91" s="52">
        <v>358</v>
      </c>
      <c r="L91" s="52">
        <v>359</v>
      </c>
      <c r="M91" s="2" t="s">
        <v>388</v>
      </c>
    </row>
    <row r="92" spans="1:14">
      <c r="A92" s="379">
        <f>A85+1</f>
        <v>41</v>
      </c>
      <c r="B92" s="529" t="s">
        <v>744</v>
      </c>
      <c r="C92" s="311">
        <f>C74-C73</f>
        <v>-149850.8599999994</v>
      </c>
      <c r="D92" s="311">
        <f>D74-D73</f>
        <v>18404.050000011921</v>
      </c>
      <c r="E92" s="311">
        <f t="shared" ref="E92:L92" si="15">E74-E73</f>
        <v>3992275.5</v>
      </c>
      <c r="F92" s="311">
        <f t="shared" si="15"/>
        <v>9978313.7700004578</v>
      </c>
      <c r="G92" s="311">
        <f t="shared" si="15"/>
        <v>655727.89999961853</v>
      </c>
      <c r="H92" s="311">
        <f t="shared" si="15"/>
        <v>7932060.9800000191</v>
      </c>
      <c r="I92" s="311">
        <f t="shared" si="15"/>
        <v>31976915.450000048</v>
      </c>
      <c r="J92" s="311">
        <f t="shared" si="15"/>
        <v>2041941.9500000179</v>
      </c>
      <c r="K92" s="311">
        <f t="shared" si="15"/>
        <v>4713085.4399999976</v>
      </c>
      <c r="L92" s="311">
        <f t="shared" si="15"/>
        <v>22810.800000011921</v>
      </c>
      <c r="M92" s="135">
        <f t="shared" ref="M92:M104" si="16">SUM(C92:L92)</f>
        <v>61181684.980000183</v>
      </c>
      <c r="N92" s="10"/>
    </row>
    <row r="93" spans="1:14">
      <c r="A93" s="379">
        <f t="shared" ref="A93:A104" si="17">A92+1</f>
        <v>42</v>
      </c>
      <c r="B93" s="528" t="s">
        <v>745</v>
      </c>
      <c r="C93" s="311">
        <f t="shared" ref="C93:L103" si="18">C75-C74</f>
        <v>-1478.3700000047684</v>
      </c>
      <c r="D93" s="311">
        <f t="shared" si="18"/>
        <v>29814.969999998808</v>
      </c>
      <c r="E93" s="311">
        <f t="shared" si="18"/>
        <v>4178329.810000062</v>
      </c>
      <c r="F93" s="311">
        <f t="shared" si="18"/>
        <v>23266174.989999771</v>
      </c>
      <c r="G93" s="311">
        <f t="shared" si="18"/>
        <v>-1809713.6399998665</v>
      </c>
      <c r="H93" s="311">
        <f t="shared" si="18"/>
        <v>8408401.8299999237</v>
      </c>
      <c r="I93" s="311">
        <f t="shared" si="18"/>
        <v>1207976.5299999714</v>
      </c>
      <c r="J93" s="311">
        <f t="shared" si="18"/>
        <v>75893.389999985695</v>
      </c>
      <c r="K93" s="311">
        <f t="shared" si="18"/>
        <v>78807.420000016689</v>
      </c>
      <c r="L93" s="311">
        <f t="shared" si="18"/>
        <v>47802.669999986887</v>
      </c>
      <c r="M93" s="135">
        <f t="shared" si="16"/>
        <v>35482009.599999845</v>
      </c>
      <c r="N93" s="10"/>
    </row>
    <row r="94" spans="1:14">
      <c r="A94" s="379">
        <f t="shared" si="17"/>
        <v>43</v>
      </c>
      <c r="B94" s="528" t="s">
        <v>746</v>
      </c>
      <c r="C94" s="311">
        <f t="shared" si="18"/>
        <v>-447037.25</v>
      </c>
      <c r="D94" s="311">
        <f t="shared" si="18"/>
        <v>54878.129999995232</v>
      </c>
      <c r="E94" s="311">
        <f t="shared" si="18"/>
        <v>4765223.9299999475</v>
      </c>
      <c r="F94" s="311">
        <f t="shared" si="18"/>
        <v>31693029.800000191</v>
      </c>
      <c r="G94" s="311">
        <f t="shared" si="18"/>
        <v>-3526280.3699998856</v>
      </c>
      <c r="H94" s="311">
        <f t="shared" si="18"/>
        <v>26085019.670000076</v>
      </c>
      <c r="I94" s="311">
        <f t="shared" si="18"/>
        <v>7317141.9399998188</v>
      </c>
      <c r="J94" s="311">
        <f t="shared" si="18"/>
        <v>619687.76000002027</v>
      </c>
      <c r="K94" s="311">
        <f t="shared" si="18"/>
        <v>-942227.47000002861</v>
      </c>
      <c r="L94" s="311">
        <f t="shared" si="18"/>
        <v>66420.129999995232</v>
      </c>
      <c r="M94" s="135">
        <f t="shared" si="16"/>
        <v>65685856.27000013</v>
      </c>
      <c r="N94" s="10"/>
    </row>
    <row r="95" spans="1:14">
      <c r="A95" s="379">
        <f t="shared" si="17"/>
        <v>44</v>
      </c>
      <c r="B95" s="529" t="s">
        <v>747</v>
      </c>
      <c r="C95" s="311">
        <f t="shared" si="18"/>
        <v>9864.859999999404</v>
      </c>
      <c r="D95" s="311">
        <f t="shared" si="18"/>
        <v>-2508.6200000047684</v>
      </c>
      <c r="E95" s="311">
        <f t="shared" si="18"/>
        <v>4598088.4600000381</v>
      </c>
      <c r="F95" s="311">
        <f t="shared" si="18"/>
        <v>18368421.280000687</v>
      </c>
      <c r="G95" s="311">
        <f t="shared" si="18"/>
        <v>1348334.2399997711</v>
      </c>
      <c r="H95" s="311">
        <f t="shared" si="18"/>
        <v>11831896.549999952</v>
      </c>
      <c r="I95" s="311">
        <f t="shared" si="18"/>
        <v>-1168270.1499998569</v>
      </c>
      <c r="J95" s="311">
        <f t="shared" si="18"/>
        <v>5286750.4499999881</v>
      </c>
      <c r="K95" s="311">
        <f t="shared" si="18"/>
        <v>1649736.780000031</v>
      </c>
      <c r="L95" s="311">
        <f t="shared" si="18"/>
        <v>-119211.66999998689</v>
      </c>
      <c r="M95" s="135">
        <f t="shared" si="16"/>
        <v>41803102.180000618</v>
      </c>
      <c r="N95" s="10"/>
    </row>
    <row r="96" spans="1:14">
      <c r="A96" s="379">
        <f t="shared" si="17"/>
        <v>45</v>
      </c>
      <c r="B96" s="528" t="s">
        <v>748</v>
      </c>
      <c r="C96" s="311">
        <f t="shared" si="18"/>
        <v>-1504.8699999898672</v>
      </c>
      <c r="D96" s="311">
        <f t="shared" si="18"/>
        <v>12973.210000008345</v>
      </c>
      <c r="E96" s="311">
        <f t="shared" si="18"/>
        <v>-637178.99000000954</v>
      </c>
      <c r="F96" s="311">
        <f t="shared" si="18"/>
        <v>8956748.8000001907</v>
      </c>
      <c r="G96" s="311">
        <f t="shared" si="18"/>
        <v>966267.30000019073</v>
      </c>
      <c r="H96" s="311">
        <f t="shared" si="18"/>
        <v>7135620.0299999714</v>
      </c>
      <c r="I96" s="311">
        <f t="shared" si="18"/>
        <v>9910559.7799999714</v>
      </c>
      <c r="J96" s="311">
        <f t="shared" si="18"/>
        <v>887902.87999999523</v>
      </c>
      <c r="K96" s="311">
        <f t="shared" si="18"/>
        <v>1366471.5999999642</v>
      </c>
      <c r="L96" s="311">
        <f t="shared" si="18"/>
        <v>16680.009999990463</v>
      </c>
      <c r="M96" s="135">
        <f t="shared" si="16"/>
        <v>28614539.750000283</v>
      </c>
      <c r="N96" s="10"/>
    </row>
    <row r="97" spans="1:14">
      <c r="A97" s="379">
        <f t="shared" si="17"/>
        <v>46</v>
      </c>
      <c r="B97" s="528" t="s">
        <v>749</v>
      </c>
      <c r="C97" s="311">
        <f t="shared" si="18"/>
        <v>9329.9099999964237</v>
      </c>
      <c r="D97" s="311">
        <f t="shared" si="18"/>
        <v>308412.44999998808</v>
      </c>
      <c r="E97" s="311">
        <f t="shared" si="18"/>
        <v>7739056.1600000858</v>
      </c>
      <c r="F97" s="311">
        <f t="shared" si="18"/>
        <v>21627128.599999428</v>
      </c>
      <c r="G97" s="311">
        <f t="shared" si="18"/>
        <v>536719.80999994278</v>
      </c>
      <c r="H97" s="311">
        <f t="shared" si="18"/>
        <v>6544683.7100000381</v>
      </c>
      <c r="I97" s="311">
        <f t="shared" si="18"/>
        <v>1226363.0999999046</v>
      </c>
      <c r="J97" s="311">
        <f t="shared" si="18"/>
        <v>397848.59999999404</v>
      </c>
      <c r="K97" s="311">
        <f t="shared" si="18"/>
        <v>2327434.4200000167</v>
      </c>
      <c r="L97" s="311">
        <f t="shared" si="18"/>
        <v>179504.42000001669</v>
      </c>
      <c r="M97" s="135">
        <f t="shared" si="16"/>
        <v>40896481.179999411</v>
      </c>
      <c r="N97" s="10"/>
    </row>
    <row r="98" spans="1:14">
      <c r="A98" s="379">
        <f t="shared" si="17"/>
        <v>47</v>
      </c>
      <c r="B98" s="529" t="s">
        <v>750</v>
      </c>
      <c r="C98" s="311">
        <f t="shared" si="18"/>
        <v>-515.93000000715256</v>
      </c>
      <c r="D98" s="311">
        <f t="shared" si="18"/>
        <v>17886.540000021458</v>
      </c>
      <c r="E98" s="311">
        <f t="shared" si="18"/>
        <v>4967613.7299998999</v>
      </c>
      <c r="F98" s="311">
        <f t="shared" si="18"/>
        <v>11557093.75</v>
      </c>
      <c r="G98" s="311">
        <f t="shared" si="18"/>
        <v>321888.55000019073</v>
      </c>
      <c r="H98" s="311">
        <f t="shared" si="18"/>
        <v>3761292.2599999905</v>
      </c>
      <c r="I98" s="311">
        <f t="shared" si="18"/>
        <v>2649362.0900001526</v>
      </c>
      <c r="J98" s="311">
        <f t="shared" si="18"/>
        <v>158096.34000000358</v>
      </c>
      <c r="K98" s="311">
        <f t="shared" si="18"/>
        <v>412122.97000002861</v>
      </c>
      <c r="L98" s="311">
        <f t="shared" si="18"/>
        <v>-45919.240000009537</v>
      </c>
      <c r="M98" s="135">
        <f t="shared" si="16"/>
        <v>23798921.060000271</v>
      </c>
      <c r="N98" s="10"/>
    </row>
    <row r="99" spans="1:14">
      <c r="A99" s="379">
        <f t="shared" si="17"/>
        <v>48</v>
      </c>
      <c r="B99" s="528" t="s">
        <v>751</v>
      </c>
      <c r="C99" s="311">
        <f t="shared" si="18"/>
        <v>20009.040000006557</v>
      </c>
      <c r="D99" s="311">
        <f t="shared" si="18"/>
        <v>11865.620000004768</v>
      </c>
      <c r="E99" s="311">
        <f t="shared" si="18"/>
        <v>7766009.310000062</v>
      </c>
      <c r="F99" s="311">
        <f t="shared" si="18"/>
        <v>13287751.199999809</v>
      </c>
      <c r="G99" s="311">
        <f t="shared" si="18"/>
        <v>12996256.599999905</v>
      </c>
      <c r="H99" s="311">
        <f t="shared" si="18"/>
        <v>92166560.389999866</v>
      </c>
      <c r="I99" s="311">
        <f t="shared" si="18"/>
        <v>30380708.109999895</v>
      </c>
      <c r="J99" s="311">
        <f t="shared" si="18"/>
        <v>208244.62000000477</v>
      </c>
      <c r="K99" s="311">
        <f t="shared" si="18"/>
        <v>443610.58999997377</v>
      </c>
      <c r="L99" s="311">
        <f t="shared" si="18"/>
        <v>113928.68000000715</v>
      </c>
      <c r="M99" s="135">
        <f t="shared" si="16"/>
        <v>157394944.15999955</v>
      </c>
      <c r="N99" s="10"/>
    </row>
    <row r="100" spans="1:14">
      <c r="A100" s="379">
        <f t="shared" si="17"/>
        <v>49</v>
      </c>
      <c r="B100" s="528" t="s">
        <v>752</v>
      </c>
      <c r="C100" s="311">
        <f t="shared" si="18"/>
        <v>521.5700000077486</v>
      </c>
      <c r="D100" s="311">
        <f t="shared" si="18"/>
        <v>-10955.300000011921</v>
      </c>
      <c r="E100" s="311">
        <f t="shared" si="18"/>
        <v>10504433.929999948</v>
      </c>
      <c r="F100" s="311">
        <f t="shared" si="18"/>
        <v>3374208.0900001526</v>
      </c>
      <c r="G100" s="311">
        <f t="shared" si="18"/>
        <v>3858753.9699997902</v>
      </c>
      <c r="H100" s="311">
        <f t="shared" si="18"/>
        <v>14095401.090000153</v>
      </c>
      <c r="I100" s="311">
        <f t="shared" si="18"/>
        <v>3155846.8199999332</v>
      </c>
      <c r="J100" s="311">
        <f t="shared" si="18"/>
        <v>2015570.6599999964</v>
      </c>
      <c r="K100" s="311">
        <f t="shared" si="18"/>
        <v>3131461.1700000167</v>
      </c>
      <c r="L100" s="311">
        <f t="shared" si="18"/>
        <v>29205.019999980927</v>
      </c>
      <c r="M100" s="135">
        <f t="shared" si="16"/>
        <v>40154447.019999966</v>
      </c>
      <c r="N100" s="10"/>
    </row>
    <row r="101" spans="1:14">
      <c r="A101" s="379">
        <f t="shared" si="17"/>
        <v>50</v>
      </c>
      <c r="B101" s="529" t="s">
        <v>753</v>
      </c>
      <c r="C101" s="311">
        <f t="shared" si="18"/>
        <v>11341.659999996424</v>
      </c>
      <c r="D101" s="311">
        <f t="shared" si="18"/>
        <v>18973.799999982119</v>
      </c>
      <c r="E101" s="311">
        <f t="shared" si="18"/>
        <v>4913060.1100000143</v>
      </c>
      <c r="F101" s="311">
        <f t="shared" si="18"/>
        <v>-16654587.519999504</v>
      </c>
      <c r="G101" s="311">
        <f t="shared" si="18"/>
        <v>-1961452.3199996948</v>
      </c>
      <c r="H101" s="311">
        <f t="shared" si="18"/>
        <v>12794440.879999876</v>
      </c>
      <c r="I101" s="311">
        <f t="shared" si="18"/>
        <v>4407625.1100001335</v>
      </c>
      <c r="J101" s="311">
        <f t="shared" si="18"/>
        <v>-837213.34999999404</v>
      </c>
      <c r="K101" s="311">
        <f t="shared" si="18"/>
        <v>1001450.6299999952</v>
      </c>
      <c r="L101" s="311">
        <f t="shared" si="18"/>
        <v>1032254.2600000203</v>
      </c>
      <c r="M101" s="135">
        <f t="shared" si="16"/>
        <v>4725893.2600008249</v>
      </c>
      <c r="N101" s="10"/>
    </row>
    <row r="102" spans="1:14">
      <c r="A102" s="379">
        <f t="shared" si="17"/>
        <v>51</v>
      </c>
      <c r="B102" s="529" t="s">
        <v>754</v>
      </c>
      <c r="C102" s="311">
        <f t="shared" si="18"/>
        <v>3128.5600000023842</v>
      </c>
      <c r="D102" s="311">
        <f t="shared" si="18"/>
        <v>68642.920000016689</v>
      </c>
      <c r="E102" s="311">
        <f t="shared" si="18"/>
        <v>3714319.25</v>
      </c>
      <c r="F102" s="311">
        <f t="shared" si="18"/>
        <v>23077580.630000114</v>
      </c>
      <c r="G102" s="311">
        <f t="shared" si="18"/>
        <v>294787.50999975204</v>
      </c>
      <c r="H102" s="311">
        <f t="shared" si="18"/>
        <v>9027911.9700000286</v>
      </c>
      <c r="I102" s="311">
        <f t="shared" si="18"/>
        <v>1549285.7899999619</v>
      </c>
      <c r="J102" s="311">
        <f t="shared" si="18"/>
        <v>3208466.6999999881</v>
      </c>
      <c r="K102" s="311">
        <f t="shared" si="18"/>
        <v>7401006.9900000095</v>
      </c>
      <c r="L102" s="311">
        <f t="shared" si="18"/>
        <v>200213.03000000119</v>
      </c>
      <c r="M102" s="135">
        <f t="shared" si="16"/>
        <v>48545343.349999875</v>
      </c>
      <c r="N102" s="10"/>
    </row>
    <row r="103" spans="1:14">
      <c r="A103" s="379">
        <f t="shared" si="17"/>
        <v>52</v>
      </c>
      <c r="B103" s="528" t="s">
        <v>755</v>
      </c>
      <c r="C103" s="311">
        <f t="shared" si="18"/>
        <v>6927.7800000011921</v>
      </c>
      <c r="D103" s="311">
        <f t="shared" si="18"/>
        <v>45951.009999990463</v>
      </c>
      <c r="E103" s="311">
        <f t="shared" si="18"/>
        <v>47627931.879999995</v>
      </c>
      <c r="F103" s="311">
        <f t="shared" si="18"/>
        <v>20656075.349999428</v>
      </c>
      <c r="G103" s="311">
        <f t="shared" si="18"/>
        <v>-1047640.6900000572</v>
      </c>
      <c r="H103" s="311">
        <f t="shared" si="18"/>
        <v>7710124.7899999619</v>
      </c>
      <c r="I103" s="311">
        <f t="shared" si="18"/>
        <v>35948749.579999924</v>
      </c>
      <c r="J103" s="311">
        <f t="shared" si="18"/>
        <v>1075827.6100000143</v>
      </c>
      <c r="K103" s="311">
        <f t="shared" si="18"/>
        <v>1046580.9599999785</v>
      </c>
      <c r="L103" s="311">
        <f t="shared" si="18"/>
        <v>179958.73999997973</v>
      </c>
      <c r="M103" s="206">
        <f t="shared" si="16"/>
        <v>113250487.00999922</v>
      </c>
      <c r="N103" s="10"/>
    </row>
    <row r="104" spans="1:14">
      <c r="A104" s="379">
        <f t="shared" si="17"/>
        <v>53</v>
      </c>
      <c r="B104" s="861" t="s">
        <v>382</v>
      </c>
      <c r="C104" s="135">
        <f t="shared" ref="C104:L104" si="19">SUM(C92:C103)</f>
        <v>-539263.89999999106</v>
      </c>
      <c r="D104" s="135">
        <f t="shared" si="19"/>
        <v>574338.78000000119</v>
      </c>
      <c r="E104" s="135">
        <f t="shared" si="19"/>
        <v>104129163.08000004</v>
      </c>
      <c r="F104" s="135">
        <f t="shared" si="19"/>
        <v>169187938.74000072</v>
      </c>
      <c r="G104" s="135">
        <f t="shared" si="19"/>
        <v>12633648.859999657</v>
      </c>
      <c r="H104" s="135">
        <f t="shared" si="19"/>
        <v>207493414.14999986</v>
      </c>
      <c r="I104" s="135">
        <f t="shared" si="19"/>
        <v>128562264.14999986</v>
      </c>
      <c r="J104" s="135">
        <f t="shared" si="19"/>
        <v>15139017.610000014</v>
      </c>
      <c r="K104" s="135">
        <f t="shared" si="19"/>
        <v>22629541.5</v>
      </c>
      <c r="L104" s="135">
        <f t="shared" si="19"/>
        <v>1723646.849999994</v>
      </c>
      <c r="M104" s="135">
        <f t="shared" si="16"/>
        <v>661533709.82000017</v>
      </c>
      <c r="N104" s="10"/>
    </row>
    <row r="105" spans="1:14">
      <c r="A105" s="379"/>
      <c r="B105" s="861"/>
      <c r="C105" s="137"/>
      <c r="D105" s="137"/>
      <c r="E105" s="137"/>
      <c r="F105" s="137"/>
      <c r="G105" s="137"/>
      <c r="H105" s="137"/>
      <c r="I105" s="137"/>
      <c r="J105" s="137"/>
      <c r="K105" s="137"/>
      <c r="L105" s="137"/>
      <c r="M105" s="135"/>
    </row>
    <row r="106" spans="1:14">
      <c r="B106" s="25" t="s">
        <v>786</v>
      </c>
      <c r="C106" s="10"/>
      <c r="D106" s="10"/>
      <c r="E106" s="10"/>
    </row>
    <row r="107" spans="1:14">
      <c r="B107" s="10"/>
      <c r="C107" s="10"/>
      <c r="D107" s="10"/>
    </row>
    <row r="108" spans="1:14">
      <c r="A108" s="227"/>
      <c r="B108" s="200" t="s">
        <v>307</v>
      </c>
      <c r="C108" s="200" t="s">
        <v>308</v>
      </c>
      <c r="D108" s="200" t="s">
        <v>309</v>
      </c>
      <c r="E108" s="52" t="s">
        <v>310</v>
      </c>
      <c r="F108" s="52" t="s">
        <v>311</v>
      </c>
      <c r="G108" s="52" t="s">
        <v>312</v>
      </c>
      <c r="H108" s="52" t="s">
        <v>313</v>
      </c>
      <c r="I108" s="52" t="s">
        <v>314</v>
      </c>
      <c r="J108" s="52" t="s">
        <v>315</v>
      </c>
      <c r="K108" s="52" t="s">
        <v>534</v>
      </c>
      <c r="L108" s="52" t="s">
        <v>535</v>
      </c>
      <c r="M108" s="52" t="s">
        <v>536</v>
      </c>
    </row>
    <row r="109" spans="1:14">
      <c r="A109" s="133"/>
      <c r="B109" s="281"/>
      <c r="C109" s="141"/>
      <c r="D109" s="141"/>
      <c r="E109" s="133"/>
      <c r="F109" s="133"/>
      <c r="G109" s="133"/>
      <c r="H109" s="133"/>
      <c r="I109" s="133"/>
      <c r="J109" s="133"/>
      <c r="K109" s="133"/>
      <c r="M109" s="149" t="s">
        <v>741</v>
      </c>
    </row>
    <row r="110" spans="1:14">
      <c r="A110" s="28"/>
      <c r="B110" s="74" t="s">
        <v>742</v>
      </c>
      <c r="C110" s="200">
        <v>350.1</v>
      </c>
      <c r="D110" s="200">
        <v>350.2</v>
      </c>
      <c r="E110" s="52">
        <v>352</v>
      </c>
      <c r="F110" s="52">
        <v>353</v>
      </c>
      <c r="G110" s="52">
        <v>354</v>
      </c>
      <c r="H110" s="52">
        <v>355</v>
      </c>
      <c r="I110" s="52">
        <v>356</v>
      </c>
      <c r="J110" s="52">
        <v>357</v>
      </c>
      <c r="K110" s="52">
        <v>358</v>
      </c>
      <c r="L110" s="52">
        <v>359</v>
      </c>
      <c r="M110" s="2" t="s">
        <v>388</v>
      </c>
    </row>
    <row r="111" spans="1:14">
      <c r="A111" s="379">
        <f>A104+1</f>
        <v>54</v>
      </c>
      <c r="B111" s="744" t="s">
        <v>743</v>
      </c>
      <c r="C111" s="882">
        <v>20866624.027499996</v>
      </c>
      <c r="D111" s="882">
        <v>95067405.480000004</v>
      </c>
      <c r="E111" s="882">
        <v>273150052.0128563</v>
      </c>
      <c r="F111" s="882">
        <v>1176074825.7047431</v>
      </c>
      <c r="G111" s="882">
        <v>1762377598.9918268</v>
      </c>
      <c r="H111" s="882">
        <v>154450782.31999999</v>
      </c>
      <c r="I111" s="882">
        <v>818269306.59719729</v>
      </c>
      <c r="J111" s="882">
        <v>189937751.33000007</v>
      </c>
      <c r="K111" s="882">
        <v>82820739.109999985</v>
      </c>
      <c r="L111" s="882">
        <v>146444293.85059193</v>
      </c>
      <c r="M111" s="842">
        <f t="shared" ref="M111:M123" si="20">SUM(C111:L111)</f>
        <v>4719459379.424715</v>
      </c>
      <c r="N111" s="10"/>
    </row>
    <row r="112" spans="1:14">
      <c r="A112" s="379">
        <f t="shared" ref="A112:A123" si="21">A111+1</f>
        <v>55</v>
      </c>
      <c r="B112" s="529" t="s">
        <v>744</v>
      </c>
      <c r="C112" s="882">
        <v>20716895.747499995</v>
      </c>
      <c r="D112" s="882">
        <v>95067933.760000005</v>
      </c>
      <c r="E112" s="882">
        <v>273150546.44285631</v>
      </c>
      <c r="F112" s="882">
        <v>1176090777.8647432</v>
      </c>
      <c r="G112" s="882">
        <v>1762553461.9618268</v>
      </c>
      <c r="H112" s="882">
        <v>154393454.06999999</v>
      </c>
      <c r="I112" s="882">
        <v>818604627.05719709</v>
      </c>
      <c r="J112" s="882">
        <v>189980222.40000007</v>
      </c>
      <c r="K112" s="882">
        <v>82841987.049999982</v>
      </c>
      <c r="L112" s="882">
        <v>146386550.81059191</v>
      </c>
      <c r="M112" s="842">
        <f t="shared" si="20"/>
        <v>4719786457.1647148</v>
      </c>
      <c r="N112" s="10"/>
    </row>
    <row r="113" spans="1:14">
      <c r="A113" s="379">
        <f t="shared" si="21"/>
        <v>56</v>
      </c>
      <c r="B113" s="528" t="s">
        <v>745</v>
      </c>
      <c r="C113" s="882">
        <v>20715417.377499994</v>
      </c>
      <c r="D113" s="882">
        <v>95067829.070000008</v>
      </c>
      <c r="E113" s="882">
        <v>273152500.77285635</v>
      </c>
      <c r="F113" s="882">
        <v>1176075017.8847432</v>
      </c>
      <c r="G113" s="882">
        <v>1762935231.9418268</v>
      </c>
      <c r="H113" s="882">
        <v>154427756.95999998</v>
      </c>
      <c r="I113" s="882">
        <v>818774250.52719712</v>
      </c>
      <c r="J113" s="882">
        <v>190053420.09000006</v>
      </c>
      <c r="K113" s="882">
        <v>82853425.759999976</v>
      </c>
      <c r="L113" s="882">
        <v>146428196.31059191</v>
      </c>
      <c r="M113" s="842">
        <f t="shared" si="20"/>
        <v>4720483046.6947155</v>
      </c>
      <c r="N113" s="10"/>
    </row>
    <row r="114" spans="1:14">
      <c r="A114" s="379">
        <f t="shared" si="21"/>
        <v>57</v>
      </c>
      <c r="B114" s="528" t="s">
        <v>746</v>
      </c>
      <c r="C114" s="882">
        <v>20271314.537499994</v>
      </c>
      <c r="D114" s="882">
        <v>95067750.200000003</v>
      </c>
      <c r="E114" s="882">
        <v>272452646.25285637</v>
      </c>
      <c r="F114" s="882">
        <v>1176229748.7647433</v>
      </c>
      <c r="G114" s="882">
        <v>1763077211.4918268</v>
      </c>
      <c r="H114" s="882">
        <v>154500278.39999998</v>
      </c>
      <c r="I114" s="882">
        <v>815988109.44719696</v>
      </c>
      <c r="J114" s="882">
        <v>190133846.33000007</v>
      </c>
      <c r="K114" s="882">
        <v>81660981.839999974</v>
      </c>
      <c r="L114" s="882">
        <v>146489833.29059193</v>
      </c>
      <c r="M114" s="842">
        <f t="shared" si="20"/>
        <v>4715871720.5547161</v>
      </c>
      <c r="N114" s="10"/>
    </row>
    <row r="115" spans="1:14">
      <c r="A115" s="379">
        <f t="shared" si="21"/>
        <v>58</v>
      </c>
      <c r="B115" s="529" t="s">
        <v>747</v>
      </c>
      <c r="C115" s="882">
        <v>20283975.837499995</v>
      </c>
      <c r="D115" s="882">
        <v>95068241.420000002</v>
      </c>
      <c r="E115" s="882">
        <v>272454930.92285633</v>
      </c>
      <c r="F115" s="882">
        <v>1176180915.0047431</v>
      </c>
      <c r="G115" s="882">
        <v>1763246190.1518269</v>
      </c>
      <c r="H115" s="882">
        <v>154476252.74999997</v>
      </c>
      <c r="I115" s="882">
        <v>815977852.3371973</v>
      </c>
      <c r="J115" s="882">
        <v>190252825.31000006</v>
      </c>
      <c r="K115" s="882">
        <v>81720506.089999974</v>
      </c>
      <c r="L115" s="882">
        <v>146530781.06059191</v>
      </c>
      <c r="M115" s="842">
        <f t="shared" si="20"/>
        <v>4716192470.884716</v>
      </c>
      <c r="N115" s="10"/>
    </row>
    <row r="116" spans="1:14">
      <c r="A116" s="379">
        <f t="shared" si="21"/>
        <v>59</v>
      </c>
      <c r="B116" s="528" t="s">
        <v>748</v>
      </c>
      <c r="C116" s="882">
        <v>20284001.217499994</v>
      </c>
      <c r="D116" s="882">
        <v>95068893.189999998</v>
      </c>
      <c r="E116" s="882">
        <v>272362323.73285633</v>
      </c>
      <c r="F116" s="882">
        <v>1175798518.0547433</v>
      </c>
      <c r="G116" s="882">
        <v>1763302296.5718269</v>
      </c>
      <c r="H116" s="882">
        <v>154484291.23999998</v>
      </c>
      <c r="I116" s="882">
        <v>817019208.30719709</v>
      </c>
      <c r="J116" s="882">
        <v>190325752.33000007</v>
      </c>
      <c r="K116" s="882">
        <v>81756990.909999967</v>
      </c>
      <c r="L116" s="882">
        <v>146545847.81059191</v>
      </c>
      <c r="M116" s="842">
        <f t="shared" si="20"/>
        <v>4716948123.3647146</v>
      </c>
      <c r="N116" s="10"/>
    </row>
    <row r="117" spans="1:14">
      <c r="A117" s="379">
        <f t="shared" si="21"/>
        <v>60</v>
      </c>
      <c r="B117" s="528" t="s">
        <v>749</v>
      </c>
      <c r="C117" s="882">
        <v>20293331.127499994</v>
      </c>
      <c r="D117" s="882">
        <v>95068893.189999998</v>
      </c>
      <c r="E117" s="882">
        <v>272677903.49285638</v>
      </c>
      <c r="F117" s="882">
        <v>1182213350.5559433</v>
      </c>
      <c r="G117" s="882">
        <v>1763499169.0818269</v>
      </c>
      <c r="H117" s="882">
        <v>154641941.59999999</v>
      </c>
      <c r="I117" s="882">
        <v>817532298.27719688</v>
      </c>
      <c r="J117" s="882">
        <v>190371712.88000008</v>
      </c>
      <c r="K117" s="882">
        <v>81779984.639999971</v>
      </c>
      <c r="L117" s="882">
        <v>146721028.76059192</v>
      </c>
      <c r="M117" s="842">
        <f t="shared" si="20"/>
        <v>4724799613.6059151</v>
      </c>
      <c r="N117" s="10"/>
    </row>
    <row r="118" spans="1:14">
      <c r="A118" s="379">
        <f t="shared" si="21"/>
        <v>61</v>
      </c>
      <c r="B118" s="529" t="s">
        <v>750</v>
      </c>
      <c r="C118" s="882">
        <v>20292833.497499995</v>
      </c>
      <c r="D118" s="882">
        <v>95069390.819999993</v>
      </c>
      <c r="E118" s="882">
        <v>272732015.72285634</v>
      </c>
      <c r="F118" s="882">
        <v>1182225860.8947432</v>
      </c>
      <c r="G118" s="882">
        <v>1763545151.8218269</v>
      </c>
      <c r="H118" s="882">
        <v>154504985.01999998</v>
      </c>
      <c r="I118" s="882">
        <v>817803327.8371973</v>
      </c>
      <c r="J118" s="882">
        <v>190401549.95000008</v>
      </c>
      <c r="K118" s="882">
        <v>81794911.879999965</v>
      </c>
      <c r="L118" s="882">
        <v>146673444.60059193</v>
      </c>
      <c r="M118" s="842">
        <f t="shared" si="20"/>
        <v>4725043472.0447159</v>
      </c>
      <c r="N118" s="10"/>
    </row>
    <row r="119" spans="1:14">
      <c r="A119" s="379">
        <f t="shared" si="21"/>
        <v>62</v>
      </c>
      <c r="B119" s="528" t="s">
        <v>751</v>
      </c>
      <c r="C119" s="882">
        <v>20315300.197499994</v>
      </c>
      <c r="D119" s="882">
        <v>95069417.849999994</v>
      </c>
      <c r="E119" s="882">
        <v>282218761.30285639</v>
      </c>
      <c r="F119" s="882">
        <v>1188776363.282743</v>
      </c>
      <c r="G119" s="882">
        <v>1763590257.531827</v>
      </c>
      <c r="H119" s="882">
        <v>154507583.64999998</v>
      </c>
      <c r="I119" s="882">
        <v>817858375.49719715</v>
      </c>
      <c r="J119" s="882">
        <v>190423604.99000007</v>
      </c>
      <c r="K119" s="882">
        <v>81805945.849999964</v>
      </c>
      <c r="L119" s="882">
        <v>146677606.42059192</v>
      </c>
      <c r="M119" s="842">
        <f t="shared" si="20"/>
        <v>4741243216.5727167</v>
      </c>
      <c r="N119" s="10"/>
    </row>
    <row r="120" spans="1:14">
      <c r="A120" s="379">
        <f t="shared" si="21"/>
        <v>63</v>
      </c>
      <c r="B120" s="528" t="s">
        <v>752</v>
      </c>
      <c r="C120" s="882">
        <v>20315821.767499994</v>
      </c>
      <c r="D120" s="882">
        <v>95070616.149999991</v>
      </c>
      <c r="E120" s="882">
        <v>282239983.21285635</v>
      </c>
      <c r="F120" s="882">
        <v>1188803423.7927432</v>
      </c>
      <c r="G120" s="882">
        <v>1763620687.8818269</v>
      </c>
      <c r="H120" s="882">
        <v>154517161.86999997</v>
      </c>
      <c r="I120" s="882">
        <v>817906194.21719718</v>
      </c>
      <c r="J120" s="882">
        <v>190490505.59000006</v>
      </c>
      <c r="K120" s="882">
        <v>81839415.709999964</v>
      </c>
      <c r="L120" s="882">
        <v>146687776.88059193</v>
      </c>
      <c r="M120" s="842">
        <f t="shared" si="20"/>
        <v>4741491587.0727158</v>
      </c>
      <c r="N120" s="10"/>
    </row>
    <row r="121" spans="1:14">
      <c r="A121" s="379">
        <f t="shared" si="21"/>
        <v>64</v>
      </c>
      <c r="B121" s="529" t="s">
        <v>753</v>
      </c>
      <c r="C121" s="882">
        <v>20328639.517499994</v>
      </c>
      <c r="D121" s="882">
        <v>95070707.899999991</v>
      </c>
      <c r="E121" s="882">
        <v>282323226.02285635</v>
      </c>
      <c r="F121" s="882">
        <v>1188881556.7627432</v>
      </c>
      <c r="G121" s="882">
        <v>1763638133.8418264</v>
      </c>
      <c r="H121" s="882">
        <v>154518008.94999996</v>
      </c>
      <c r="I121" s="882">
        <v>817940618.87719715</v>
      </c>
      <c r="J121" s="882">
        <v>190540556.75000006</v>
      </c>
      <c r="K121" s="882">
        <v>81864455.909999967</v>
      </c>
      <c r="L121" s="882">
        <v>146693540.87059191</v>
      </c>
      <c r="M121" s="842">
        <f t="shared" si="20"/>
        <v>4741799445.4027147</v>
      </c>
      <c r="N121" s="10"/>
    </row>
    <row r="122" spans="1:14">
      <c r="A122" s="379">
        <f t="shared" si="21"/>
        <v>65</v>
      </c>
      <c r="B122" s="529" t="s">
        <v>754</v>
      </c>
      <c r="C122" s="882">
        <v>20329328.067499995</v>
      </c>
      <c r="D122" s="882">
        <v>95073836.459999993</v>
      </c>
      <c r="E122" s="882">
        <v>282383160.93285638</v>
      </c>
      <c r="F122" s="882">
        <v>1188934880.6727431</v>
      </c>
      <c r="G122" s="882">
        <v>1763599124.0718265</v>
      </c>
      <c r="H122" s="882">
        <v>154781401.15999997</v>
      </c>
      <c r="I122" s="882">
        <v>818291304.12719703</v>
      </c>
      <c r="J122" s="882">
        <v>190562858.96000007</v>
      </c>
      <c r="K122" s="882">
        <v>81875613.529999971</v>
      </c>
      <c r="L122" s="882">
        <v>146782292.64059192</v>
      </c>
      <c r="M122" s="842">
        <f t="shared" si="20"/>
        <v>4742613800.622714</v>
      </c>
      <c r="N122" s="10"/>
    </row>
    <row r="123" spans="1:14">
      <c r="A123" s="379">
        <f t="shared" si="21"/>
        <v>66</v>
      </c>
      <c r="B123" s="528" t="s">
        <v>755</v>
      </c>
      <c r="C123" s="882">
        <v>20337104.427499995</v>
      </c>
      <c r="D123" s="882">
        <v>95073836.459999993</v>
      </c>
      <c r="E123" s="882">
        <v>288607910.17285639</v>
      </c>
      <c r="F123" s="882">
        <v>1183323683.5827432</v>
      </c>
      <c r="G123" s="882">
        <v>1763766194.6718264</v>
      </c>
      <c r="H123" s="882">
        <v>154686218.08999997</v>
      </c>
      <c r="I123" s="882">
        <v>818206860.35719705</v>
      </c>
      <c r="J123" s="882">
        <v>190597927.60000005</v>
      </c>
      <c r="K123" s="882">
        <v>81893158.089999974</v>
      </c>
      <c r="L123" s="882">
        <v>146889792.7205919</v>
      </c>
      <c r="M123" s="842">
        <f t="shared" si="20"/>
        <v>4743382686.1727152</v>
      </c>
      <c r="N123" s="10"/>
    </row>
    <row r="124" spans="1:14">
      <c r="A124" s="379"/>
      <c r="B124" s="861"/>
      <c r="C124" s="135"/>
      <c r="D124" s="135"/>
      <c r="E124" s="135"/>
      <c r="F124" s="135"/>
      <c r="G124" s="135"/>
      <c r="H124" s="135"/>
      <c r="I124" s="135"/>
      <c r="J124" s="135"/>
      <c r="K124" s="135"/>
      <c r="L124" s="135"/>
      <c r="M124" s="135"/>
      <c r="N124" s="10"/>
    </row>
    <row r="125" spans="1:14">
      <c r="B125" s="25" t="s">
        <v>787</v>
      </c>
      <c r="C125" s="10"/>
      <c r="D125" s="10"/>
      <c r="E125" s="10"/>
      <c r="F125" s="10"/>
      <c r="G125" s="10"/>
    </row>
    <row r="126" spans="1:14">
      <c r="B126" s="10"/>
      <c r="C126" s="10"/>
      <c r="D126" s="10"/>
      <c r="E126" s="10"/>
      <c r="F126" s="10"/>
      <c r="G126" s="10"/>
    </row>
    <row r="127" spans="1:14">
      <c r="A127" s="227"/>
      <c r="B127" s="200" t="s">
        <v>307</v>
      </c>
      <c r="C127" s="200" t="s">
        <v>308</v>
      </c>
      <c r="D127" s="200" t="s">
        <v>309</v>
      </c>
      <c r="E127" s="200" t="s">
        <v>310</v>
      </c>
      <c r="F127" s="200" t="s">
        <v>311</v>
      </c>
      <c r="G127" s="200" t="s">
        <v>312</v>
      </c>
      <c r="H127" s="52" t="s">
        <v>313</v>
      </c>
      <c r="I127" s="52" t="s">
        <v>314</v>
      </c>
      <c r="J127" s="52" t="s">
        <v>315</v>
      </c>
      <c r="K127" s="52" t="s">
        <v>534</v>
      </c>
      <c r="L127" s="52" t="s">
        <v>535</v>
      </c>
      <c r="M127" s="52" t="s">
        <v>536</v>
      </c>
    </row>
    <row r="128" spans="1:14">
      <c r="A128" s="133"/>
      <c r="B128" s="281"/>
      <c r="C128" s="141"/>
      <c r="D128" s="141"/>
      <c r="E128" s="141"/>
      <c r="F128" s="141"/>
      <c r="G128" s="141"/>
      <c r="H128" s="133"/>
      <c r="I128" s="133"/>
      <c r="J128" s="133"/>
      <c r="K128" s="133"/>
      <c r="M128" s="149" t="s">
        <v>741</v>
      </c>
    </row>
    <row r="129" spans="1:16">
      <c r="A129" s="28"/>
      <c r="B129" s="74" t="s">
        <v>742</v>
      </c>
      <c r="C129" s="200">
        <v>350.1</v>
      </c>
      <c r="D129" s="200">
        <v>350.2</v>
      </c>
      <c r="E129" s="200">
        <v>352</v>
      </c>
      <c r="F129" s="200">
        <v>353</v>
      </c>
      <c r="G129" s="200">
        <v>354</v>
      </c>
      <c r="H129" s="52">
        <v>355</v>
      </c>
      <c r="I129" s="52">
        <v>356</v>
      </c>
      <c r="J129" s="52">
        <v>357</v>
      </c>
      <c r="K129" s="52">
        <v>358</v>
      </c>
      <c r="L129" s="52">
        <v>359</v>
      </c>
      <c r="M129" s="2" t="s">
        <v>388</v>
      </c>
    </row>
    <row r="130" spans="1:16">
      <c r="A130" s="379">
        <f>A123+1</f>
        <v>67</v>
      </c>
      <c r="B130" s="529" t="s">
        <v>744</v>
      </c>
      <c r="C130" s="877">
        <f>C112-C111</f>
        <v>-149728.28000000119</v>
      </c>
      <c r="D130" s="877">
        <f t="shared" ref="D130:L130" si="22">D112-D111</f>
        <v>528.28000000119209</v>
      </c>
      <c r="E130" s="877">
        <f t="shared" si="22"/>
        <v>494.43000000715256</v>
      </c>
      <c r="F130" s="877">
        <f t="shared" si="22"/>
        <v>15952.160000085831</v>
      </c>
      <c r="G130" s="877">
        <f t="shared" si="22"/>
        <v>175862.97000002861</v>
      </c>
      <c r="H130" s="877">
        <f t="shared" si="22"/>
        <v>-57328.25</v>
      </c>
      <c r="I130" s="877">
        <f t="shared" si="22"/>
        <v>335320.45999979973</v>
      </c>
      <c r="J130" s="877">
        <f t="shared" si="22"/>
        <v>42471.069999992847</v>
      </c>
      <c r="K130" s="877">
        <f t="shared" si="22"/>
        <v>21247.939999997616</v>
      </c>
      <c r="L130" s="877">
        <f t="shared" si="22"/>
        <v>-57743.040000021458</v>
      </c>
      <c r="M130" s="877">
        <f t="shared" ref="M130:M141" si="23">SUM(C130:L130)</f>
        <v>327077.73999989033</v>
      </c>
      <c r="N130" s="10"/>
      <c r="P130" s="5"/>
    </row>
    <row r="131" spans="1:16">
      <c r="A131" s="379">
        <f t="shared" ref="A131:A142" si="24">A130+1</f>
        <v>68</v>
      </c>
      <c r="B131" s="528" t="s">
        <v>745</v>
      </c>
      <c r="C131" s="877">
        <f t="shared" ref="C131:L141" si="25">C113-C112</f>
        <v>-1478.3700000010431</v>
      </c>
      <c r="D131" s="877">
        <f t="shared" si="25"/>
        <v>-104.68999999761581</v>
      </c>
      <c r="E131" s="877">
        <f t="shared" si="25"/>
        <v>1954.3300000429153</v>
      </c>
      <c r="F131" s="877">
        <f t="shared" si="25"/>
        <v>-15759.980000019073</v>
      </c>
      <c r="G131" s="877">
        <f t="shared" si="25"/>
        <v>381769.98000001907</v>
      </c>
      <c r="H131" s="877">
        <f t="shared" si="25"/>
        <v>34302.889999985695</v>
      </c>
      <c r="I131" s="877">
        <f t="shared" si="25"/>
        <v>169623.47000002861</v>
      </c>
      <c r="J131" s="877">
        <f t="shared" si="25"/>
        <v>73197.689999997616</v>
      </c>
      <c r="K131" s="877">
        <f t="shared" si="25"/>
        <v>11438.709999993443</v>
      </c>
      <c r="L131" s="877">
        <f t="shared" si="25"/>
        <v>41645.5</v>
      </c>
      <c r="M131" s="877">
        <f t="shared" si="23"/>
        <v>696589.53000004962</v>
      </c>
      <c r="N131" s="10"/>
      <c r="P131" s="5"/>
    </row>
    <row r="132" spans="1:16">
      <c r="A132" s="379">
        <f t="shared" si="24"/>
        <v>69</v>
      </c>
      <c r="B132" s="528" t="s">
        <v>746</v>
      </c>
      <c r="C132" s="877">
        <f t="shared" si="25"/>
        <v>-444102.83999999985</v>
      </c>
      <c r="D132" s="877">
        <f t="shared" si="25"/>
        <v>-78.870000004768372</v>
      </c>
      <c r="E132" s="877">
        <f t="shared" si="25"/>
        <v>-699854.51999998093</v>
      </c>
      <c r="F132" s="877">
        <f t="shared" si="25"/>
        <v>154730.88000011444</v>
      </c>
      <c r="G132" s="877">
        <f t="shared" si="25"/>
        <v>141979.54999995232</v>
      </c>
      <c r="H132" s="877">
        <f t="shared" si="25"/>
        <v>72521.439999997616</v>
      </c>
      <c r="I132" s="877">
        <f t="shared" si="25"/>
        <v>-2786141.0800001621</v>
      </c>
      <c r="J132" s="877">
        <f t="shared" si="25"/>
        <v>80426.240000009537</v>
      </c>
      <c r="K132" s="877">
        <f t="shared" si="25"/>
        <v>-1192443.9200000018</v>
      </c>
      <c r="L132" s="877">
        <f t="shared" si="25"/>
        <v>61636.980000019073</v>
      </c>
      <c r="M132" s="877">
        <f t="shared" si="23"/>
        <v>-4611326.1400000565</v>
      </c>
      <c r="N132" s="10"/>
      <c r="P132" s="5"/>
    </row>
    <row r="133" spans="1:16">
      <c r="A133" s="379">
        <f t="shared" si="24"/>
        <v>70</v>
      </c>
      <c r="B133" s="529" t="s">
        <v>747</v>
      </c>
      <c r="C133" s="877">
        <f t="shared" si="25"/>
        <v>12661.300000000745</v>
      </c>
      <c r="D133" s="877">
        <f t="shared" si="25"/>
        <v>491.21999999880791</v>
      </c>
      <c r="E133" s="877">
        <f t="shared" si="25"/>
        <v>2284.6699999570847</v>
      </c>
      <c r="F133" s="877">
        <f t="shared" si="25"/>
        <v>-48833.760000228882</v>
      </c>
      <c r="G133" s="877">
        <f t="shared" si="25"/>
        <v>168978.66000008583</v>
      </c>
      <c r="H133" s="877">
        <f t="shared" si="25"/>
        <v>-24025.65000000596</v>
      </c>
      <c r="I133" s="877">
        <f t="shared" si="25"/>
        <v>-10257.109999656677</v>
      </c>
      <c r="J133" s="877">
        <f t="shared" si="25"/>
        <v>118978.97999998927</v>
      </c>
      <c r="K133" s="877">
        <f t="shared" si="25"/>
        <v>59524.25</v>
      </c>
      <c r="L133" s="877">
        <f t="shared" si="25"/>
        <v>40947.769999980927</v>
      </c>
      <c r="M133" s="877">
        <f t="shared" si="23"/>
        <v>320750.33000012115</v>
      </c>
      <c r="N133" s="10"/>
      <c r="P133" s="5"/>
    </row>
    <row r="134" spans="1:16">
      <c r="A134" s="379">
        <f t="shared" si="24"/>
        <v>71</v>
      </c>
      <c r="B134" s="528" t="s">
        <v>748</v>
      </c>
      <c r="C134" s="877">
        <f t="shared" si="25"/>
        <v>25.379999998956919</v>
      </c>
      <c r="D134" s="877">
        <f t="shared" si="25"/>
        <v>651.76999999582767</v>
      </c>
      <c r="E134" s="877">
        <f t="shared" si="25"/>
        <v>-92607.189999997616</v>
      </c>
      <c r="F134" s="877">
        <f t="shared" si="25"/>
        <v>-382396.94999980927</v>
      </c>
      <c r="G134" s="877">
        <f t="shared" si="25"/>
        <v>56106.420000076294</v>
      </c>
      <c r="H134" s="877">
        <f t="shared" si="25"/>
        <v>8038.4900000095367</v>
      </c>
      <c r="I134" s="877">
        <f t="shared" si="25"/>
        <v>1041355.9699997902</v>
      </c>
      <c r="J134" s="877">
        <f t="shared" si="25"/>
        <v>72927.020000010729</v>
      </c>
      <c r="K134" s="877">
        <f t="shared" si="25"/>
        <v>36484.819999992847</v>
      </c>
      <c r="L134" s="877">
        <f t="shared" si="25"/>
        <v>15066.75</v>
      </c>
      <c r="M134" s="877">
        <f t="shared" si="23"/>
        <v>755652.4800000675</v>
      </c>
      <c r="N134" s="10"/>
      <c r="P134" s="5"/>
    </row>
    <row r="135" spans="1:16">
      <c r="A135" s="379">
        <f t="shared" si="24"/>
        <v>72</v>
      </c>
      <c r="B135" s="528" t="s">
        <v>749</v>
      </c>
      <c r="C135" s="877">
        <f t="shared" si="25"/>
        <v>9329.910000000149</v>
      </c>
      <c r="D135" s="877">
        <f t="shared" si="25"/>
        <v>0</v>
      </c>
      <c r="E135" s="877">
        <f t="shared" si="25"/>
        <v>315579.76000005007</v>
      </c>
      <c r="F135" s="877">
        <f t="shared" si="25"/>
        <v>6414832.5011999607</v>
      </c>
      <c r="G135" s="877">
        <f t="shared" si="25"/>
        <v>196872.50999999046</v>
      </c>
      <c r="H135" s="877">
        <f t="shared" si="25"/>
        <v>157650.36000001431</v>
      </c>
      <c r="I135" s="877">
        <f t="shared" si="25"/>
        <v>513089.96999979019</v>
      </c>
      <c r="J135" s="877">
        <f t="shared" si="25"/>
        <v>45960.550000011921</v>
      </c>
      <c r="K135" s="877">
        <f t="shared" si="25"/>
        <v>22993.730000004172</v>
      </c>
      <c r="L135" s="877">
        <f t="shared" si="25"/>
        <v>175180.95000001788</v>
      </c>
      <c r="M135" s="877">
        <f t="shared" si="23"/>
        <v>7851490.2411998399</v>
      </c>
      <c r="N135" s="10"/>
      <c r="P135" s="5"/>
    </row>
    <row r="136" spans="1:16">
      <c r="A136" s="379">
        <f t="shared" si="24"/>
        <v>73</v>
      </c>
      <c r="B136" s="529" t="s">
        <v>750</v>
      </c>
      <c r="C136" s="877">
        <f t="shared" si="25"/>
        <v>-497.62999999895692</v>
      </c>
      <c r="D136" s="877">
        <f t="shared" si="25"/>
        <v>497.62999999523163</v>
      </c>
      <c r="E136" s="877">
        <f t="shared" si="25"/>
        <v>54112.229999959469</v>
      </c>
      <c r="F136" s="877">
        <f t="shared" si="25"/>
        <v>12510.338799953461</v>
      </c>
      <c r="G136" s="877">
        <f t="shared" si="25"/>
        <v>45982.740000009537</v>
      </c>
      <c r="H136" s="877">
        <f t="shared" si="25"/>
        <v>-136956.58000001311</v>
      </c>
      <c r="I136" s="877">
        <f t="shared" si="25"/>
        <v>271029.56000041962</v>
      </c>
      <c r="J136" s="877">
        <f t="shared" si="25"/>
        <v>29837.069999992847</v>
      </c>
      <c r="K136" s="877">
        <f t="shared" si="25"/>
        <v>14927.239999994636</v>
      </c>
      <c r="L136" s="877">
        <f t="shared" si="25"/>
        <v>-47584.159999996424</v>
      </c>
      <c r="M136" s="877">
        <f t="shared" si="23"/>
        <v>243858.4388003163</v>
      </c>
      <c r="N136" s="10"/>
      <c r="P136" s="5"/>
    </row>
    <row r="137" spans="1:16">
      <c r="A137" s="379">
        <f t="shared" si="24"/>
        <v>74</v>
      </c>
      <c r="B137" s="528" t="s">
        <v>751</v>
      </c>
      <c r="C137" s="877">
        <f t="shared" si="25"/>
        <v>22466.699999999255</v>
      </c>
      <c r="D137" s="877">
        <f t="shared" si="25"/>
        <v>27.030000001192093</v>
      </c>
      <c r="E137" s="877">
        <f t="shared" si="25"/>
        <v>9486745.5800000429</v>
      </c>
      <c r="F137" s="877">
        <f t="shared" si="25"/>
        <v>6550502.387999773</v>
      </c>
      <c r="G137" s="877">
        <f t="shared" si="25"/>
        <v>45105.710000038147</v>
      </c>
      <c r="H137" s="877">
        <f t="shared" si="25"/>
        <v>2598.6299999952316</v>
      </c>
      <c r="I137" s="877">
        <f t="shared" si="25"/>
        <v>55047.659999847412</v>
      </c>
      <c r="J137" s="877">
        <f t="shared" si="25"/>
        <v>22055.039999991655</v>
      </c>
      <c r="K137" s="877">
        <f t="shared" si="25"/>
        <v>11033.969999998808</v>
      </c>
      <c r="L137" s="877">
        <f t="shared" si="25"/>
        <v>4161.8199999928474</v>
      </c>
      <c r="M137" s="877">
        <f t="shared" si="23"/>
        <v>16199744.52799968</v>
      </c>
      <c r="N137" s="10"/>
      <c r="P137" s="5"/>
    </row>
    <row r="138" spans="1:16">
      <c r="A138" s="379">
        <f t="shared" si="24"/>
        <v>75</v>
      </c>
      <c r="B138" s="528" t="s">
        <v>752</v>
      </c>
      <c r="C138" s="877">
        <f t="shared" si="25"/>
        <v>521.57000000029802</v>
      </c>
      <c r="D138" s="877">
        <f t="shared" si="25"/>
        <v>1198.2999999970198</v>
      </c>
      <c r="E138" s="877">
        <f t="shared" si="25"/>
        <v>21221.909999966621</v>
      </c>
      <c r="F138" s="877">
        <f t="shared" si="25"/>
        <v>27060.510000228882</v>
      </c>
      <c r="G138" s="877">
        <f t="shared" si="25"/>
        <v>30430.349999904633</v>
      </c>
      <c r="H138" s="877">
        <f t="shared" si="25"/>
        <v>9578.2199999988079</v>
      </c>
      <c r="I138" s="877">
        <f t="shared" si="25"/>
        <v>47818.72000002861</v>
      </c>
      <c r="J138" s="877">
        <f t="shared" si="25"/>
        <v>66900.59999999404</v>
      </c>
      <c r="K138" s="877">
        <f t="shared" si="25"/>
        <v>33469.859999999404</v>
      </c>
      <c r="L138" s="877">
        <f t="shared" si="25"/>
        <v>10170.460000008345</v>
      </c>
      <c r="M138" s="877">
        <f t="shared" si="23"/>
        <v>248370.50000012666</v>
      </c>
      <c r="N138" s="10"/>
      <c r="P138" s="5"/>
    </row>
    <row r="139" spans="1:16">
      <c r="A139" s="379">
        <f t="shared" si="24"/>
        <v>76</v>
      </c>
      <c r="B139" s="529" t="s">
        <v>753</v>
      </c>
      <c r="C139" s="877">
        <f t="shared" si="25"/>
        <v>12817.75</v>
      </c>
      <c r="D139" s="877">
        <f t="shared" si="25"/>
        <v>91.75</v>
      </c>
      <c r="E139" s="877">
        <f t="shared" si="25"/>
        <v>83242.810000002384</v>
      </c>
      <c r="F139" s="877">
        <f t="shared" si="25"/>
        <v>78132.97000002861</v>
      </c>
      <c r="G139" s="877">
        <f t="shared" si="25"/>
        <v>17445.95999956131</v>
      </c>
      <c r="H139" s="877">
        <f t="shared" si="25"/>
        <v>847.0799999833107</v>
      </c>
      <c r="I139" s="877">
        <f t="shared" si="25"/>
        <v>34424.659999966621</v>
      </c>
      <c r="J139" s="877">
        <f t="shared" si="25"/>
        <v>50051.159999996424</v>
      </c>
      <c r="K139" s="877">
        <f t="shared" si="25"/>
        <v>25040.20000000298</v>
      </c>
      <c r="L139" s="877">
        <f t="shared" si="25"/>
        <v>5763.9899999797344</v>
      </c>
      <c r="M139" s="877">
        <f t="shared" si="23"/>
        <v>307858.32999952137</v>
      </c>
      <c r="N139" s="10"/>
      <c r="P139" s="5"/>
    </row>
    <row r="140" spans="1:16">
      <c r="A140" s="379">
        <f t="shared" si="24"/>
        <v>77</v>
      </c>
      <c r="B140" s="529" t="s">
        <v>754</v>
      </c>
      <c r="C140" s="877">
        <f t="shared" si="25"/>
        <v>688.55000000074506</v>
      </c>
      <c r="D140" s="877">
        <f t="shared" si="25"/>
        <v>3128.5600000023842</v>
      </c>
      <c r="E140" s="877">
        <f t="shared" si="25"/>
        <v>59934.910000026226</v>
      </c>
      <c r="F140" s="877">
        <f t="shared" si="25"/>
        <v>53323.909999847412</v>
      </c>
      <c r="G140" s="877">
        <f t="shared" si="25"/>
        <v>-39009.769999980927</v>
      </c>
      <c r="H140" s="877">
        <f t="shared" si="25"/>
        <v>263392.21000000834</v>
      </c>
      <c r="I140" s="877">
        <f t="shared" si="25"/>
        <v>350685.24999988079</v>
      </c>
      <c r="J140" s="877">
        <f t="shared" si="25"/>
        <v>22302.210000008345</v>
      </c>
      <c r="K140" s="877">
        <f t="shared" si="25"/>
        <v>11157.620000004768</v>
      </c>
      <c r="L140" s="877">
        <f t="shared" si="25"/>
        <v>88751.770000010729</v>
      </c>
      <c r="M140" s="877">
        <f t="shared" si="23"/>
        <v>814355.21999980882</v>
      </c>
      <c r="N140" s="10"/>
      <c r="P140" s="5"/>
    </row>
    <row r="141" spans="1:16">
      <c r="A141" s="379">
        <f t="shared" si="24"/>
        <v>78</v>
      </c>
      <c r="B141" s="528" t="s">
        <v>755</v>
      </c>
      <c r="C141" s="878">
        <f t="shared" si="25"/>
        <v>7776.359999999404</v>
      </c>
      <c r="D141" s="878">
        <f t="shared" si="25"/>
        <v>0</v>
      </c>
      <c r="E141" s="878">
        <f t="shared" si="25"/>
        <v>6224749.2400000095</v>
      </c>
      <c r="F141" s="878">
        <f t="shared" si="25"/>
        <v>-5611197.0899999142</v>
      </c>
      <c r="G141" s="878">
        <f t="shared" si="25"/>
        <v>167070.59999990463</v>
      </c>
      <c r="H141" s="878">
        <f t="shared" si="25"/>
        <v>-95183.069999992847</v>
      </c>
      <c r="I141" s="878">
        <f t="shared" si="25"/>
        <v>-84443.769999980927</v>
      </c>
      <c r="J141" s="878">
        <f t="shared" si="25"/>
        <v>35068.639999985695</v>
      </c>
      <c r="K141" s="878">
        <f t="shared" si="25"/>
        <v>17544.560000002384</v>
      </c>
      <c r="L141" s="878">
        <f t="shared" si="25"/>
        <v>107500.07999998331</v>
      </c>
      <c r="M141" s="878">
        <f t="shared" si="23"/>
        <v>768885.54999999702</v>
      </c>
      <c r="N141" s="10"/>
      <c r="P141" s="5"/>
    </row>
    <row r="142" spans="1:16">
      <c r="A142" s="379">
        <f t="shared" si="24"/>
        <v>79</v>
      </c>
      <c r="B142" s="861" t="s">
        <v>382</v>
      </c>
      <c r="C142" s="877">
        <f t="shared" ref="C142:M142" si="26">SUM(C130:C141)</f>
        <v>-529519.60000000149</v>
      </c>
      <c r="D142" s="877">
        <f t="shared" si="26"/>
        <v>6430.9799999892712</v>
      </c>
      <c r="E142" s="877">
        <f t="shared" si="26"/>
        <v>15457858.160000086</v>
      </c>
      <c r="F142" s="877">
        <f t="shared" si="26"/>
        <v>7248857.878000021</v>
      </c>
      <c r="G142" s="877">
        <f t="shared" si="26"/>
        <v>1388595.6799995899</v>
      </c>
      <c r="H142" s="877">
        <f t="shared" si="26"/>
        <v>235435.76999998093</v>
      </c>
      <c r="I142" s="877">
        <f t="shared" si="26"/>
        <v>-62446.240000247955</v>
      </c>
      <c r="J142" s="877">
        <f t="shared" si="26"/>
        <v>660176.26999998093</v>
      </c>
      <c r="K142" s="877">
        <f t="shared" si="26"/>
        <v>-927581.02000001073</v>
      </c>
      <c r="L142" s="877">
        <f t="shared" si="26"/>
        <v>445498.86999997497</v>
      </c>
      <c r="M142" s="877">
        <f t="shared" si="26"/>
        <v>23923306.747999363</v>
      </c>
      <c r="N142" s="10"/>
      <c r="P142" s="5"/>
    </row>
    <row r="143" spans="1:16">
      <c r="A143" s="379"/>
      <c r="B143" s="861"/>
      <c r="C143" s="1026"/>
      <c r="D143" s="1026"/>
      <c r="E143" s="1026"/>
      <c r="F143" s="1026"/>
      <c r="G143" s="1026"/>
      <c r="H143" s="1026"/>
      <c r="I143" s="1026"/>
      <c r="J143" s="1026"/>
      <c r="K143" s="1026"/>
      <c r="L143" s="1026"/>
      <c r="M143" s="1026"/>
    </row>
    <row r="144" spans="1:16">
      <c r="B144" s="879" t="s">
        <v>788</v>
      </c>
      <c r="C144" s="10"/>
      <c r="D144" s="10"/>
      <c r="E144" s="10"/>
      <c r="F144" s="10"/>
      <c r="G144" s="10"/>
    </row>
    <row r="145" spans="1:14">
      <c r="B145" s="10"/>
      <c r="C145" s="10"/>
      <c r="D145" s="10"/>
      <c r="E145" s="10"/>
      <c r="F145" s="10"/>
      <c r="G145" s="10"/>
    </row>
    <row r="146" spans="1:14">
      <c r="A146" s="227"/>
      <c r="B146" s="200" t="s">
        <v>307</v>
      </c>
      <c r="C146" s="200" t="s">
        <v>308</v>
      </c>
      <c r="D146" s="200" t="s">
        <v>309</v>
      </c>
      <c r="E146" s="200" t="s">
        <v>310</v>
      </c>
      <c r="F146" s="200" t="s">
        <v>311</v>
      </c>
      <c r="G146" s="200" t="s">
        <v>312</v>
      </c>
      <c r="H146" s="52" t="s">
        <v>313</v>
      </c>
      <c r="I146" s="52" t="s">
        <v>314</v>
      </c>
      <c r="J146" s="52" t="s">
        <v>315</v>
      </c>
      <c r="K146" s="52" t="s">
        <v>534</v>
      </c>
      <c r="L146" s="52" t="s">
        <v>535</v>
      </c>
      <c r="M146" s="52" t="s">
        <v>536</v>
      </c>
    </row>
    <row r="147" spans="1:14">
      <c r="A147" s="133"/>
      <c r="B147" s="281"/>
      <c r="C147" s="141"/>
      <c r="D147" s="141"/>
      <c r="E147" s="141"/>
      <c r="F147" s="141"/>
      <c r="G147" s="141"/>
      <c r="H147" s="133"/>
      <c r="I147" s="133"/>
      <c r="J147" s="133"/>
      <c r="K147" s="133"/>
      <c r="M147" s="149" t="s">
        <v>741</v>
      </c>
    </row>
    <row r="148" spans="1:14">
      <c r="A148" s="28"/>
      <c r="B148" s="74" t="s">
        <v>742</v>
      </c>
      <c r="C148" s="200">
        <v>350.1</v>
      </c>
      <c r="D148" s="200">
        <v>350.2</v>
      </c>
      <c r="E148" s="200">
        <v>352</v>
      </c>
      <c r="F148" s="200">
        <v>353</v>
      </c>
      <c r="G148" s="200">
        <v>354</v>
      </c>
      <c r="H148" s="52">
        <v>355</v>
      </c>
      <c r="I148" s="52">
        <v>356</v>
      </c>
      <c r="J148" s="52">
        <v>357</v>
      </c>
      <c r="K148" s="52">
        <v>358</v>
      </c>
      <c r="L148" s="52">
        <v>359</v>
      </c>
      <c r="M148" s="2" t="s">
        <v>388</v>
      </c>
    </row>
    <row r="149" spans="1:14">
      <c r="A149" s="379">
        <f>A142+1</f>
        <v>80</v>
      </c>
      <c r="B149" s="529" t="s">
        <v>744</v>
      </c>
      <c r="C149" s="842">
        <f>C92-C130</f>
        <v>-122.57999999821186</v>
      </c>
      <c r="D149" s="842">
        <f t="shared" ref="D149:L160" si="27">D92-D130</f>
        <v>17875.770000010729</v>
      </c>
      <c r="E149" s="842">
        <f t="shared" si="27"/>
        <v>3991781.0699999928</v>
      </c>
      <c r="F149" s="842">
        <f t="shared" si="27"/>
        <v>9962361.6100003719</v>
      </c>
      <c r="G149" s="842">
        <f t="shared" si="27"/>
        <v>479864.92999958992</v>
      </c>
      <c r="H149" s="842">
        <f t="shared" si="27"/>
        <v>7989389.2300000191</v>
      </c>
      <c r="I149" s="842">
        <f t="shared" si="27"/>
        <v>31641594.990000248</v>
      </c>
      <c r="J149" s="842">
        <f t="shared" si="27"/>
        <v>1999470.880000025</v>
      </c>
      <c r="K149" s="842">
        <f t="shared" si="27"/>
        <v>4691837.5</v>
      </c>
      <c r="L149" s="842">
        <f t="shared" si="27"/>
        <v>80553.840000033379</v>
      </c>
      <c r="M149" s="842">
        <f t="shared" ref="M149:M160" si="28">SUM(C149:L149)</f>
        <v>60854607.240000293</v>
      </c>
      <c r="N149" s="10"/>
    </row>
    <row r="150" spans="1:14">
      <c r="A150" s="379">
        <f t="shared" ref="A150:A161" si="29">A149+1</f>
        <v>81</v>
      </c>
      <c r="B150" s="528" t="s">
        <v>745</v>
      </c>
      <c r="C150" s="842">
        <f t="shared" ref="C150:C160" si="30">C93-C131</f>
        <v>-3.7252902984619141E-9</v>
      </c>
      <c r="D150" s="842">
        <f t="shared" si="27"/>
        <v>29919.659999996424</v>
      </c>
      <c r="E150" s="842">
        <f t="shared" si="27"/>
        <v>4176375.4800000191</v>
      </c>
      <c r="F150" s="842">
        <f t="shared" si="27"/>
        <v>23281934.96999979</v>
      </c>
      <c r="G150" s="842">
        <f t="shared" si="27"/>
        <v>-2191483.6199998856</v>
      </c>
      <c r="H150" s="842">
        <f t="shared" si="27"/>
        <v>8374098.939999938</v>
      </c>
      <c r="I150" s="842">
        <f t="shared" si="27"/>
        <v>1038353.0599999428</v>
      </c>
      <c r="J150" s="842">
        <f t="shared" si="27"/>
        <v>2695.6999999880791</v>
      </c>
      <c r="K150" s="842">
        <f t="shared" si="27"/>
        <v>67368.710000023246</v>
      </c>
      <c r="L150" s="842">
        <f t="shared" si="27"/>
        <v>6157.169999986887</v>
      </c>
      <c r="M150" s="842">
        <f t="shared" si="28"/>
        <v>34785420.069999799</v>
      </c>
      <c r="N150" s="10"/>
    </row>
    <row r="151" spans="1:14">
      <c r="A151" s="379">
        <f t="shared" si="29"/>
        <v>82</v>
      </c>
      <c r="B151" s="528" t="s">
        <v>746</v>
      </c>
      <c r="C151" s="842">
        <f t="shared" si="30"/>
        <v>-2934.410000000149</v>
      </c>
      <c r="D151" s="842">
        <f t="shared" si="27"/>
        <v>54957</v>
      </c>
      <c r="E151" s="842">
        <f t="shared" si="27"/>
        <v>5465078.4499999285</v>
      </c>
      <c r="F151" s="842">
        <f t="shared" si="27"/>
        <v>31538298.920000076</v>
      </c>
      <c r="G151" s="842">
        <f t="shared" si="27"/>
        <v>-3668259.9199998379</v>
      </c>
      <c r="H151" s="842">
        <f t="shared" si="27"/>
        <v>26012498.230000079</v>
      </c>
      <c r="I151" s="842">
        <f t="shared" si="27"/>
        <v>10103283.019999981</v>
      </c>
      <c r="J151" s="842">
        <f t="shared" si="27"/>
        <v>539261.52000001073</v>
      </c>
      <c r="K151" s="842">
        <f t="shared" si="27"/>
        <v>250216.44999997318</v>
      </c>
      <c r="L151" s="842">
        <f t="shared" si="27"/>
        <v>4783.1499999761581</v>
      </c>
      <c r="M151" s="842">
        <f t="shared" si="28"/>
        <v>70297182.41000019</v>
      </c>
      <c r="N151" s="10"/>
    </row>
    <row r="152" spans="1:14">
      <c r="A152" s="379">
        <f t="shared" si="29"/>
        <v>83</v>
      </c>
      <c r="B152" s="529" t="s">
        <v>747</v>
      </c>
      <c r="C152" s="842">
        <f t="shared" si="30"/>
        <v>-2796.4400000013411</v>
      </c>
      <c r="D152" s="842">
        <f t="shared" si="27"/>
        <v>-2999.8400000035763</v>
      </c>
      <c r="E152" s="842">
        <f t="shared" si="27"/>
        <v>4595803.7900000811</v>
      </c>
      <c r="F152" s="842">
        <f t="shared" si="27"/>
        <v>18417255.040000916</v>
      </c>
      <c r="G152" s="842">
        <f t="shared" si="27"/>
        <v>1179355.5799996853</v>
      </c>
      <c r="H152" s="842">
        <f t="shared" si="27"/>
        <v>11855922.199999958</v>
      </c>
      <c r="I152" s="842">
        <f t="shared" si="27"/>
        <v>-1158013.0400002003</v>
      </c>
      <c r="J152" s="842">
        <f t="shared" si="27"/>
        <v>5167771.4699999988</v>
      </c>
      <c r="K152" s="842">
        <f t="shared" si="27"/>
        <v>1590212.530000031</v>
      </c>
      <c r="L152" s="842">
        <f t="shared" si="27"/>
        <v>-160159.43999996781</v>
      </c>
      <c r="M152" s="842">
        <f t="shared" si="28"/>
        <v>41482351.850000501</v>
      </c>
      <c r="N152" s="10"/>
    </row>
    <row r="153" spans="1:14">
      <c r="A153" s="379">
        <f t="shared" si="29"/>
        <v>84</v>
      </c>
      <c r="B153" s="528" t="s">
        <v>748</v>
      </c>
      <c r="C153" s="842">
        <f t="shared" si="30"/>
        <v>-1530.2499999888241</v>
      </c>
      <c r="D153" s="842">
        <f t="shared" si="27"/>
        <v>12321.440000012517</v>
      </c>
      <c r="E153" s="842">
        <f t="shared" si="27"/>
        <v>-544571.80000001192</v>
      </c>
      <c r="F153" s="842">
        <f t="shared" si="27"/>
        <v>9339145.75</v>
      </c>
      <c r="G153" s="842">
        <f t="shared" si="27"/>
        <v>910160.88000011444</v>
      </c>
      <c r="H153" s="842">
        <f t="shared" si="27"/>
        <v>7127581.5399999619</v>
      </c>
      <c r="I153" s="842">
        <f t="shared" si="27"/>
        <v>8869203.8100001812</v>
      </c>
      <c r="J153" s="842">
        <f t="shared" si="27"/>
        <v>814975.8599999845</v>
      </c>
      <c r="K153" s="842">
        <f t="shared" si="27"/>
        <v>1329986.7799999714</v>
      </c>
      <c r="L153" s="842">
        <f t="shared" si="27"/>
        <v>1613.2599999904633</v>
      </c>
      <c r="M153" s="842">
        <f t="shared" si="28"/>
        <v>27858887.270000216</v>
      </c>
      <c r="N153" s="10"/>
    </row>
    <row r="154" spans="1:14">
      <c r="A154" s="379">
        <f t="shared" si="29"/>
        <v>85</v>
      </c>
      <c r="B154" s="528" t="s">
        <v>749</v>
      </c>
      <c r="C154" s="842">
        <f t="shared" si="30"/>
        <v>-3.7252902984619141E-9</v>
      </c>
      <c r="D154" s="842">
        <f t="shared" si="27"/>
        <v>308412.44999998808</v>
      </c>
      <c r="E154" s="842">
        <f t="shared" si="27"/>
        <v>7423476.4000000358</v>
      </c>
      <c r="F154" s="842">
        <f t="shared" si="27"/>
        <v>15212296.098799467</v>
      </c>
      <c r="G154" s="842">
        <f t="shared" si="27"/>
        <v>339847.29999995232</v>
      </c>
      <c r="H154" s="842">
        <f t="shared" si="27"/>
        <v>6387033.3500000238</v>
      </c>
      <c r="I154" s="842">
        <f t="shared" si="27"/>
        <v>713273.13000011444</v>
      </c>
      <c r="J154" s="842">
        <f t="shared" si="27"/>
        <v>351888.04999998212</v>
      </c>
      <c r="K154" s="842">
        <f t="shared" si="27"/>
        <v>2304440.6900000125</v>
      </c>
      <c r="L154" s="842">
        <f t="shared" si="27"/>
        <v>4323.4699999988079</v>
      </c>
      <c r="M154" s="842">
        <f t="shared" si="28"/>
        <v>33044990.938799571</v>
      </c>
      <c r="N154" s="10"/>
    </row>
    <row r="155" spans="1:14">
      <c r="A155" s="379">
        <f t="shared" si="29"/>
        <v>86</v>
      </c>
      <c r="B155" s="529" t="s">
        <v>750</v>
      </c>
      <c r="C155" s="842">
        <f t="shared" si="30"/>
        <v>-18.300000008195639</v>
      </c>
      <c r="D155" s="842">
        <f t="shared" si="27"/>
        <v>17388.910000026226</v>
      </c>
      <c r="E155" s="842">
        <f t="shared" si="27"/>
        <v>4913501.4999999404</v>
      </c>
      <c r="F155" s="842">
        <f t="shared" si="27"/>
        <v>11544583.411200047</v>
      </c>
      <c r="G155" s="842">
        <f t="shared" si="27"/>
        <v>275905.8100001812</v>
      </c>
      <c r="H155" s="842">
        <f t="shared" si="27"/>
        <v>3898248.8400000036</v>
      </c>
      <c r="I155" s="842">
        <f t="shared" si="27"/>
        <v>2378332.529999733</v>
      </c>
      <c r="J155" s="842">
        <f t="shared" si="27"/>
        <v>128259.27000001073</v>
      </c>
      <c r="K155" s="842">
        <f t="shared" si="27"/>
        <v>397195.73000003397</v>
      </c>
      <c r="L155" s="842">
        <f t="shared" si="27"/>
        <v>1664.919999986887</v>
      </c>
      <c r="M155" s="842">
        <f t="shared" si="28"/>
        <v>23555062.621199954</v>
      </c>
      <c r="N155" s="10"/>
    </row>
    <row r="156" spans="1:14">
      <c r="A156" s="379">
        <f t="shared" si="29"/>
        <v>87</v>
      </c>
      <c r="B156" s="528" t="s">
        <v>751</v>
      </c>
      <c r="C156" s="842">
        <f t="shared" si="30"/>
        <v>-2457.6599999926984</v>
      </c>
      <c r="D156" s="842">
        <f t="shared" si="27"/>
        <v>11838.590000003576</v>
      </c>
      <c r="E156" s="842">
        <f t="shared" si="27"/>
        <v>-1720736.2699999809</v>
      </c>
      <c r="F156" s="842">
        <f t="shared" si="27"/>
        <v>6737248.8120000362</v>
      </c>
      <c r="G156" s="842">
        <f t="shared" si="27"/>
        <v>12951150.889999866</v>
      </c>
      <c r="H156" s="842">
        <f t="shared" si="27"/>
        <v>92163961.759999871</v>
      </c>
      <c r="I156" s="842">
        <f t="shared" si="27"/>
        <v>30325660.450000048</v>
      </c>
      <c r="J156" s="842">
        <f t="shared" si="27"/>
        <v>186189.58000001311</v>
      </c>
      <c r="K156" s="842">
        <f t="shared" si="27"/>
        <v>432576.61999997497</v>
      </c>
      <c r="L156" s="842">
        <f t="shared" si="27"/>
        <v>109766.86000001431</v>
      </c>
      <c r="M156" s="842">
        <f t="shared" si="28"/>
        <v>141195199.63199985</v>
      </c>
      <c r="N156" s="10"/>
    </row>
    <row r="157" spans="1:14">
      <c r="A157" s="379">
        <f t="shared" si="29"/>
        <v>88</v>
      </c>
      <c r="B157" s="528" t="s">
        <v>752</v>
      </c>
      <c r="C157" s="842">
        <f t="shared" si="30"/>
        <v>7.4505805969238281E-9</v>
      </c>
      <c r="D157" s="842">
        <f t="shared" si="27"/>
        <v>-12153.600000008941</v>
      </c>
      <c r="E157" s="842">
        <f t="shared" si="27"/>
        <v>10483212.019999981</v>
      </c>
      <c r="F157" s="842">
        <f t="shared" si="27"/>
        <v>3347147.5799999237</v>
      </c>
      <c r="G157" s="842">
        <f t="shared" si="27"/>
        <v>3828323.6199998856</v>
      </c>
      <c r="H157" s="842">
        <f t="shared" si="27"/>
        <v>14085822.870000154</v>
      </c>
      <c r="I157" s="842">
        <f t="shared" si="27"/>
        <v>3108028.0999999046</v>
      </c>
      <c r="J157" s="842">
        <f t="shared" si="27"/>
        <v>1948670.0600000024</v>
      </c>
      <c r="K157" s="842">
        <f t="shared" si="27"/>
        <v>3097991.3100000173</v>
      </c>
      <c r="L157" s="842">
        <f t="shared" si="27"/>
        <v>19034.559999972582</v>
      </c>
      <c r="M157" s="842">
        <f t="shared" si="28"/>
        <v>39906076.519999839</v>
      </c>
      <c r="N157" s="10"/>
    </row>
    <row r="158" spans="1:14">
      <c r="A158" s="379">
        <f t="shared" si="29"/>
        <v>89</v>
      </c>
      <c r="B158" s="529" t="s">
        <v>753</v>
      </c>
      <c r="C158" s="842">
        <f t="shared" si="30"/>
        <v>-1476.0900000035763</v>
      </c>
      <c r="D158" s="842">
        <f t="shared" si="27"/>
        <v>18882.049999982119</v>
      </c>
      <c r="E158" s="842">
        <f t="shared" si="27"/>
        <v>4829817.3000000119</v>
      </c>
      <c r="F158" s="842">
        <f t="shared" si="27"/>
        <v>-16732720.489999533</v>
      </c>
      <c r="G158" s="842">
        <f t="shared" si="27"/>
        <v>-1978898.2799992561</v>
      </c>
      <c r="H158" s="842">
        <f t="shared" si="27"/>
        <v>12793593.799999893</v>
      </c>
      <c r="I158" s="842">
        <f t="shared" si="27"/>
        <v>4373200.4500001669</v>
      </c>
      <c r="J158" s="842">
        <f t="shared" si="27"/>
        <v>-887264.50999999046</v>
      </c>
      <c r="K158" s="842">
        <f t="shared" si="27"/>
        <v>976410.42999999225</v>
      </c>
      <c r="L158" s="842">
        <f t="shared" si="27"/>
        <v>1026490.2700000405</v>
      </c>
      <c r="M158" s="842">
        <f t="shared" si="28"/>
        <v>4418034.9300013036</v>
      </c>
      <c r="N158" s="10"/>
    </row>
    <row r="159" spans="1:14">
      <c r="A159" s="379">
        <f t="shared" si="29"/>
        <v>90</v>
      </c>
      <c r="B159" s="529" t="s">
        <v>754</v>
      </c>
      <c r="C159" s="842">
        <f t="shared" si="30"/>
        <v>2440.0100000016391</v>
      </c>
      <c r="D159" s="842">
        <f t="shared" si="27"/>
        <v>65514.360000014305</v>
      </c>
      <c r="E159" s="842">
        <f t="shared" si="27"/>
        <v>3654384.3399999738</v>
      </c>
      <c r="F159" s="842">
        <f t="shared" si="27"/>
        <v>23024256.720000267</v>
      </c>
      <c r="G159" s="842">
        <f t="shared" si="27"/>
        <v>333797.27999973297</v>
      </c>
      <c r="H159" s="842">
        <f t="shared" si="27"/>
        <v>8764519.7600000203</v>
      </c>
      <c r="I159" s="842">
        <f t="shared" si="27"/>
        <v>1198600.5400000811</v>
      </c>
      <c r="J159" s="842">
        <f t="shared" si="27"/>
        <v>3186164.4899999797</v>
      </c>
      <c r="K159" s="842">
        <f t="shared" si="27"/>
        <v>7389849.3700000048</v>
      </c>
      <c r="L159" s="842">
        <f t="shared" si="27"/>
        <v>111461.25999999046</v>
      </c>
      <c r="M159" s="842">
        <f t="shared" si="28"/>
        <v>47730988.13000007</v>
      </c>
      <c r="N159" s="10"/>
    </row>
    <row r="160" spans="1:14">
      <c r="A160" s="379">
        <f t="shared" si="29"/>
        <v>91</v>
      </c>
      <c r="B160" s="528" t="s">
        <v>755</v>
      </c>
      <c r="C160" s="880">
        <f t="shared" si="30"/>
        <v>-848.57999999821186</v>
      </c>
      <c r="D160" s="880">
        <f t="shared" si="27"/>
        <v>45951.009999990463</v>
      </c>
      <c r="E160" s="880">
        <f t="shared" si="27"/>
        <v>41403182.639999986</v>
      </c>
      <c r="F160" s="880">
        <f t="shared" si="27"/>
        <v>26267272.439999342</v>
      </c>
      <c r="G160" s="880">
        <f t="shared" si="27"/>
        <v>-1214711.2899999619</v>
      </c>
      <c r="H160" s="880">
        <f t="shared" si="27"/>
        <v>7805307.8599999547</v>
      </c>
      <c r="I160" s="880">
        <f t="shared" si="27"/>
        <v>36033193.349999905</v>
      </c>
      <c r="J160" s="880">
        <f t="shared" si="27"/>
        <v>1040758.9700000286</v>
      </c>
      <c r="K160" s="880">
        <f t="shared" si="27"/>
        <v>1029036.3999999762</v>
      </c>
      <c r="L160" s="880">
        <f t="shared" si="27"/>
        <v>72458.659999996424</v>
      </c>
      <c r="M160" s="880">
        <f t="shared" si="28"/>
        <v>112481601.45999922</v>
      </c>
      <c r="N160" s="10"/>
    </row>
    <row r="161" spans="1:14">
      <c r="A161" s="379">
        <f t="shared" si="29"/>
        <v>92</v>
      </c>
      <c r="B161" s="861" t="s">
        <v>382</v>
      </c>
      <c r="C161" s="842">
        <f t="shared" ref="C161:M161" si="31">SUM(C149:C160)</f>
        <v>-9744.2999999895692</v>
      </c>
      <c r="D161" s="842">
        <f t="shared" si="31"/>
        <v>567907.80000001192</v>
      </c>
      <c r="E161" s="842">
        <f t="shared" si="31"/>
        <v>88671304.919999957</v>
      </c>
      <c r="F161" s="842">
        <f t="shared" si="31"/>
        <v>161939080.8620007</v>
      </c>
      <c r="G161" s="842">
        <f t="shared" si="31"/>
        <v>11245053.180000067</v>
      </c>
      <c r="H161" s="842">
        <f t="shared" si="31"/>
        <v>207257978.37999988</v>
      </c>
      <c r="I161" s="842">
        <f t="shared" si="31"/>
        <v>128624710.3900001</v>
      </c>
      <c r="J161" s="842">
        <f t="shared" si="31"/>
        <v>14478841.340000033</v>
      </c>
      <c r="K161" s="842">
        <f t="shared" si="31"/>
        <v>23557122.520000011</v>
      </c>
      <c r="L161" s="842">
        <f t="shared" si="31"/>
        <v>1278147.9800000191</v>
      </c>
      <c r="M161" s="842">
        <f t="shared" si="31"/>
        <v>637610403.07200086</v>
      </c>
      <c r="N161" s="10"/>
    </row>
    <row r="162" spans="1:14">
      <c r="A162" s="379"/>
      <c r="B162" s="861"/>
      <c r="C162" s="1026"/>
      <c r="D162" s="1026"/>
      <c r="E162" s="1026"/>
      <c r="F162" s="1026"/>
      <c r="G162" s="1026"/>
      <c r="H162" s="1026"/>
      <c r="I162" s="1026"/>
      <c r="J162" s="1026"/>
      <c r="K162" s="1026"/>
      <c r="L162" s="1026"/>
      <c r="M162" s="1026"/>
    </row>
    <row r="163" spans="1:14" s="298" customFormat="1">
      <c r="B163" s="25" t="s">
        <v>789</v>
      </c>
      <c r="M163" s="876"/>
    </row>
    <row r="164" spans="1:14" s="298" customFormat="1">
      <c r="M164" s="876"/>
    </row>
    <row r="165" spans="1:14" s="298" customFormat="1">
      <c r="B165" s="74" t="s">
        <v>742</v>
      </c>
      <c r="C165" s="200">
        <v>350.1</v>
      </c>
      <c r="D165" s="200">
        <v>350.2</v>
      </c>
      <c r="E165" s="200">
        <v>352</v>
      </c>
      <c r="F165" s="200">
        <v>353</v>
      </c>
      <c r="G165" s="200">
        <v>354</v>
      </c>
      <c r="H165" s="52">
        <v>355</v>
      </c>
      <c r="I165" s="52">
        <v>356</v>
      </c>
      <c r="J165" s="52">
        <v>357</v>
      </c>
      <c r="K165" s="52">
        <v>358</v>
      </c>
      <c r="L165" s="52">
        <v>359</v>
      </c>
      <c r="M165" s="876"/>
    </row>
    <row r="166" spans="1:14" s="298" customFormat="1">
      <c r="A166" s="379">
        <f>A161+1</f>
        <v>93</v>
      </c>
      <c r="B166" s="529" t="s">
        <v>744</v>
      </c>
      <c r="C166" s="883">
        <f>C149/C$161</f>
        <v>1.2579661956050519E-2</v>
      </c>
      <c r="D166" s="883">
        <f t="shared" ref="D166:L166" si="32">D149/D$161</f>
        <v>3.1476535451723596E-2</v>
      </c>
      <c r="E166" s="883">
        <f t="shared" si="32"/>
        <v>4.5017732327289117E-2</v>
      </c>
      <c r="F166" s="883">
        <f t="shared" si="32"/>
        <v>6.1519193248293025E-2</v>
      </c>
      <c r="G166" s="883">
        <f>G149/G$161</f>
        <v>4.2673424688916148E-2</v>
      </c>
      <c r="H166" s="883">
        <f t="shared" si="32"/>
        <v>3.8548041877315663E-2</v>
      </c>
      <c r="I166" s="883">
        <f t="shared" si="32"/>
        <v>0.24599934875701937</v>
      </c>
      <c r="J166" s="883">
        <f t="shared" si="32"/>
        <v>0.1380960556889437</v>
      </c>
      <c r="K166" s="883">
        <f t="shared" si="32"/>
        <v>0.1991685315562895</v>
      </c>
      <c r="L166" s="883">
        <f t="shared" si="32"/>
        <v>6.3023876155585815E-2</v>
      </c>
      <c r="M166" s="876"/>
    </row>
    <row r="167" spans="1:14" s="298" customFormat="1">
      <c r="A167" s="379">
        <f t="shared" ref="A167:A177" si="33">A166+1</f>
        <v>94</v>
      </c>
      <c r="B167" s="528" t="s">
        <v>745</v>
      </c>
      <c r="C167" s="883">
        <f>C150/C$161</f>
        <v>3.8230455737876519E-13</v>
      </c>
      <c r="D167" s="883">
        <f t="shared" ref="C167:L177" si="34">D150/D$161</f>
        <v>5.2684009622681348E-2</v>
      </c>
      <c r="E167" s="883">
        <f t="shared" si="34"/>
        <v>4.7099515268981124E-2</v>
      </c>
      <c r="F167" s="883">
        <f t="shared" si="34"/>
        <v>0.14376971170930572</v>
      </c>
      <c r="G167" s="883">
        <f t="shared" si="34"/>
        <v>-0.1948842379774208</v>
      </c>
      <c r="H167" s="883">
        <f t="shared" si="34"/>
        <v>4.0404229576370451E-2</v>
      </c>
      <c r="I167" s="883">
        <f t="shared" si="34"/>
        <v>8.0727339004424241E-3</v>
      </c>
      <c r="J167" s="883">
        <f t="shared" si="34"/>
        <v>1.8618202497604501E-4</v>
      </c>
      <c r="K167" s="883">
        <f t="shared" si="34"/>
        <v>2.8598021656858629E-3</v>
      </c>
      <c r="L167" s="883">
        <f t="shared" si="34"/>
        <v>4.8172591095334638E-3</v>
      </c>
      <c r="M167" s="876"/>
    </row>
    <row r="168" spans="1:14" s="298" customFormat="1">
      <c r="A168" s="379">
        <f t="shared" si="33"/>
        <v>95</v>
      </c>
      <c r="B168" s="528" t="s">
        <v>746</v>
      </c>
      <c r="C168" s="883">
        <f t="shared" si="34"/>
        <v>0.30114117997221862</v>
      </c>
      <c r="D168" s="883">
        <f t="shared" si="34"/>
        <v>9.6770989938857757E-2</v>
      </c>
      <c r="E168" s="883">
        <f t="shared" si="34"/>
        <v>6.1632999028609886E-2</v>
      </c>
      <c r="F168" s="883">
        <f t="shared" si="34"/>
        <v>0.19475409365127869</v>
      </c>
      <c r="G168" s="883">
        <f t="shared" si="34"/>
        <v>-0.32621098907064627</v>
      </c>
      <c r="H168" s="883">
        <f t="shared" si="34"/>
        <v>0.12550782572194696</v>
      </c>
      <c r="I168" s="883">
        <f t="shared" si="34"/>
        <v>7.8548538530162998E-2</v>
      </c>
      <c r="J168" s="883">
        <f t="shared" si="34"/>
        <v>3.724479793215342E-2</v>
      </c>
      <c r="K168" s="883">
        <f t="shared" si="34"/>
        <v>1.0621689885406814E-2</v>
      </c>
      <c r="L168" s="883">
        <f t="shared" si="34"/>
        <v>3.7422505647398407E-3</v>
      </c>
      <c r="M168" s="876"/>
    </row>
    <row r="169" spans="1:14" s="298" customFormat="1">
      <c r="A169" s="379">
        <f t="shared" si="33"/>
        <v>96</v>
      </c>
      <c r="B169" s="529" t="s">
        <v>747</v>
      </c>
      <c r="C169" s="883">
        <f t="shared" si="34"/>
        <v>0.2869821331449498</v>
      </c>
      <c r="D169" s="883">
        <f t="shared" si="34"/>
        <v>-5.282265888940975E-3</v>
      </c>
      <c r="E169" s="883">
        <f t="shared" si="34"/>
        <v>5.1829662303339914E-2</v>
      </c>
      <c r="F169" s="883">
        <f t="shared" si="34"/>
        <v>0.1137295268193816</v>
      </c>
      <c r="G169" s="883">
        <f t="shared" si="34"/>
        <v>0.10487772366405815</v>
      </c>
      <c r="H169" s="883">
        <f t="shared" si="34"/>
        <v>5.7203695088941575E-2</v>
      </c>
      <c r="I169" s="883">
        <f t="shared" si="34"/>
        <v>-9.0030371029720096E-3</v>
      </c>
      <c r="J169" s="883">
        <f t="shared" si="34"/>
        <v>0.35691885480665037</v>
      </c>
      <c r="K169" s="883">
        <f t="shared" si="34"/>
        <v>6.750453195843166E-2</v>
      </c>
      <c r="L169" s="883">
        <f t="shared" si="34"/>
        <v>-0.12530586638330049</v>
      </c>
      <c r="M169" s="876"/>
    </row>
    <row r="170" spans="1:14" s="298" customFormat="1">
      <c r="A170" s="379">
        <f t="shared" si="33"/>
        <v>97</v>
      </c>
      <c r="B170" s="528" t="s">
        <v>748</v>
      </c>
      <c r="C170" s="883">
        <f t="shared" si="34"/>
        <v>0.15704052625539672</v>
      </c>
      <c r="D170" s="883">
        <f t="shared" si="34"/>
        <v>2.1696197868760137E-2</v>
      </c>
      <c r="E170" s="883">
        <f t="shared" si="34"/>
        <v>-6.1414659510348859E-3</v>
      </c>
      <c r="F170" s="883">
        <f t="shared" si="34"/>
        <v>5.7670734576779036E-2</v>
      </c>
      <c r="G170" s="883">
        <f t="shared" si="34"/>
        <v>8.093877951763577E-2</v>
      </c>
      <c r="H170" s="883">
        <f t="shared" si="34"/>
        <v>3.438990187838175E-2</v>
      </c>
      <c r="I170" s="883">
        <f t="shared" si="34"/>
        <v>6.8954120737050192E-2</v>
      </c>
      <c r="J170" s="883">
        <f t="shared" si="34"/>
        <v>5.6287367259732858E-2</v>
      </c>
      <c r="K170" s="883">
        <f t="shared" si="34"/>
        <v>5.6457947224700801E-2</v>
      </c>
      <c r="L170" s="883">
        <f t="shared" si="34"/>
        <v>1.2621856195324419E-3</v>
      </c>
      <c r="M170" s="876"/>
    </row>
    <row r="171" spans="1:14" s="298" customFormat="1">
      <c r="A171" s="379">
        <f t="shared" si="33"/>
        <v>98</v>
      </c>
      <c r="B171" s="528" t="s">
        <v>749</v>
      </c>
      <c r="C171" s="883">
        <f t="shared" si="34"/>
        <v>3.8230455737876519E-13</v>
      </c>
      <c r="D171" s="883">
        <f t="shared" si="34"/>
        <v>0.54306781840288443</v>
      </c>
      <c r="E171" s="883">
        <f t="shared" si="34"/>
        <v>8.371903860778368E-2</v>
      </c>
      <c r="F171" s="883">
        <f t="shared" si="34"/>
        <v>9.3938387310984542E-2</v>
      </c>
      <c r="G171" s="883">
        <f t="shared" si="34"/>
        <v>3.0221937998869498E-2</v>
      </c>
      <c r="H171" s="883">
        <f t="shared" si="34"/>
        <v>3.0816827414429534E-2</v>
      </c>
      <c r="I171" s="883">
        <f t="shared" si="34"/>
        <v>5.5453818153402635E-3</v>
      </c>
      <c r="J171" s="883">
        <f t="shared" si="34"/>
        <v>2.4303605636442543E-2</v>
      </c>
      <c r="K171" s="883">
        <f t="shared" si="34"/>
        <v>9.7823521868748653E-2</v>
      </c>
      <c r="L171" s="883">
        <f t="shared" si="34"/>
        <v>3.3826051972469912E-3</v>
      </c>
      <c r="M171" s="876"/>
    </row>
    <row r="172" spans="1:14" s="298" customFormat="1">
      <c r="A172" s="379">
        <f t="shared" si="33"/>
        <v>99</v>
      </c>
      <c r="B172" s="529" t="s">
        <v>750</v>
      </c>
      <c r="C172" s="883">
        <f t="shared" si="34"/>
        <v>1.8780209977335702E-3</v>
      </c>
      <c r="D172" s="883">
        <f t="shared" si="34"/>
        <v>3.0619248406212878E-2</v>
      </c>
      <c r="E172" s="883">
        <f t="shared" si="34"/>
        <v>5.5412531759095517E-2</v>
      </c>
      <c r="F172" s="883">
        <f t="shared" si="34"/>
        <v>7.1289668619509888E-2</v>
      </c>
      <c r="G172" s="883">
        <f t="shared" si="34"/>
        <v>2.4535749683326936E-2</v>
      </c>
      <c r="H172" s="883">
        <f t="shared" si="34"/>
        <v>1.8808679262772254E-2</v>
      </c>
      <c r="I172" s="883">
        <f t="shared" si="34"/>
        <v>1.8490479183886549E-2</v>
      </c>
      <c r="J172" s="883">
        <f t="shared" si="34"/>
        <v>8.858393222783284E-3</v>
      </c>
      <c r="K172" s="883">
        <f t="shared" si="34"/>
        <v>1.6860961251223047E-2</v>
      </c>
      <c r="L172" s="883">
        <f t="shared" si="34"/>
        <v>1.3026034747454377E-3</v>
      </c>
      <c r="M172" s="876"/>
    </row>
    <row r="173" spans="1:14" s="298" customFormat="1">
      <c r="A173" s="379">
        <f t="shared" si="33"/>
        <v>100</v>
      </c>
      <c r="B173" s="528" t="s">
        <v>751</v>
      </c>
      <c r="C173" s="883">
        <f t="shared" si="34"/>
        <v>0.2522151411589677</v>
      </c>
      <c r="D173" s="883">
        <f t="shared" si="34"/>
        <v>2.0845971828531547E-2</v>
      </c>
      <c r="E173" s="883">
        <f t="shared" si="34"/>
        <v>-1.9405784899099485E-2</v>
      </c>
      <c r="F173" s="883">
        <f t="shared" si="34"/>
        <v>4.1603600416512822E-2</v>
      </c>
      <c r="G173" s="883">
        <f t="shared" si="34"/>
        <v>1.1517198436228107</v>
      </c>
      <c r="H173" s="883">
        <f t="shared" si="34"/>
        <v>0.44468233493535597</v>
      </c>
      <c r="I173" s="883">
        <f t="shared" si="34"/>
        <v>0.23576854212577267</v>
      </c>
      <c r="J173" s="883">
        <f t="shared" si="34"/>
        <v>1.2859425393773442E-2</v>
      </c>
      <c r="K173" s="883">
        <f t="shared" si="34"/>
        <v>1.836288025554552E-2</v>
      </c>
      <c r="L173" s="883">
        <f t="shared" si="34"/>
        <v>8.5879617788867185E-2</v>
      </c>
      <c r="M173" s="876"/>
    </row>
    <row r="174" spans="1:14" s="298" customFormat="1">
      <c r="A174" s="379">
        <f t="shared" si="33"/>
        <v>101</v>
      </c>
      <c r="B174" s="528" t="s">
        <v>752</v>
      </c>
      <c r="C174" s="883">
        <f t="shared" si="34"/>
        <v>-7.6460911475753039E-13</v>
      </c>
      <c r="D174" s="883">
        <f t="shared" si="34"/>
        <v>-2.1400656937637916E-2</v>
      </c>
      <c r="E174" s="883">
        <f t="shared" si="34"/>
        <v>0.11822553000046665</v>
      </c>
      <c r="F174" s="883">
        <f t="shared" si="34"/>
        <v>2.0669177336212347E-2</v>
      </c>
      <c r="G174" s="883">
        <f t="shared" si="34"/>
        <v>0.34044513251469238</v>
      </c>
      <c r="H174" s="883">
        <f t="shared" si="34"/>
        <v>6.7962753376732812E-2</v>
      </c>
      <c r="I174" s="883">
        <f t="shared" si="34"/>
        <v>2.4163538176887801E-2</v>
      </c>
      <c r="J174" s="883">
        <f t="shared" si="34"/>
        <v>0.13458743101331599</v>
      </c>
      <c r="K174" s="883">
        <f t="shared" si="34"/>
        <v>0.13150975070787277</v>
      </c>
      <c r="L174" s="883">
        <f t="shared" si="34"/>
        <v>1.4892297525652935E-2</v>
      </c>
      <c r="M174" s="876"/>
    </row>
    <row r="175" spans="1:14" s="298" customFormat="1">
      <c r="A175" s="379">
        <f t="shared" si="33"/>
        <v>102</v>
      </c>
      <c r="B175" s="529" t="s">
        <v>753</v>
      </c>
      <c r="C175" s="883">
        <f t="shared" si="34"/>
        <v>0.15148240509889435</v>
      </c>
      <c r="D175" s="883">
        <f t="shared" si="34"/>
        <v>3.3248442792970484E-2</v>
      </c>
      <c r="E175" s="883">
        <f t="shared" si="34"/>
        <v>5.4468774361192906E-2</v>
      </c>
      <c r="F175" s="883">
        <f t="shared" si="34"/>
        <v>-0.10332725368657997</v>
      </c>
      <c r="G175" s="883">
        <f t="shared" si="34"/>
        <v>-0.17597945054798259</v>
      </c>
      <c r="H175" s="883">
        <f t="shared" si="34"/>
        <v>6.172787122599116E-2</v>
      </c>
      <c r="I175" s="883">
        <f t="shared" si="34"/>
        <v>3.3999691324787314E-2</v>
      </c>
      <c r="J175" s="883">
        <f t="shared" si="34"/>
        <v>-6.1280076849021432E-2</v>
      </c>
      <c r="K175" s="883">
        <f t="shared" si="34"/>
        <v>4.1448628930423025E-2</v>
      </c>
      <c r="L175" s="883">
        <f t="shared" si="34"/>
        <v>0.80310753219672204</v>
      </c>
      <c r="M175" s="876"/>
    </row>
    <row r="176" spans="1:14" s="298" customFormat="1">
      <c r="A176" s="379">
        <f t="shared" si="33"/>
        <v>103</v>
      </c>
      <c r="B176" s="529" t="s">
        <v>754</v>
      </c>
      <c r="C176" s="883">
        <f t="shared" si="34"/>
        <v>-0.25040382582681681</v>
      </c>
      <c r="D176" s="883">
        <f t="shared" si="34"/>
        <v>0.11536090893629729</v>
      </c>
      <c r="E176" s="883">
        <f t="shared" si="34"/>
        <v>4.1212705094359356E-2</v>
      </c>
      <c r="F176" s="883">
        <f t="shared" si="34"/>
        <v>0.14217850686469438</v>
      </c>
      <c r="G176" s="883">
        <f t="shared" si="34"/>
        <v>2.9683921868276213E-2</v>
      </c>
      <c r="H176" s="883">
        <f t="shared" si="34"/>
        <v>4.2287972837072627E-2</v>
      </c>
      <c r="I176" s="883">
        <f t="shared" si="34"/>
        <v>9.3185868902315207E-3</v>
      </c>
      <c r="J176" s="883">
        <f t="shared" si="34"/>
        <v>0.22005659259472019</v>
      </c>
      <c r="K176" s="883">
        <f t="shared" si="34"/>
        <v>0.31369915250582997</v>
      </c>
      <c r="L176" s="883">
        <f t="shared" si="34"/>
        <v>8.7205285885589554E-2</v>
      </c>
      <c r="M176" s="876"/>
    </row>
    <row r="177" spans="1:13" s="298" customFormat="1">
      <c r="A177" s="379">
        <f t="shared" si="33"/>
        <v>104</v>
      </c>
      <c r="B177" s="528" t="s">
        <v>755</v>
      </c>
      <c r="C177" s="883">
        <f t="shared" si="34"/>
        <v>8.7084757242605448E-2</v>
      </c>
      <c r="D177" s="883">
        <f t="shared" si="34"/>
        <v>8.0912799577659428E-2</v>
      </c>
      <c r="E177" s="883">
        <f t="shared" si="34"/>
        <v>0.46692876209901624</v>
      </c>
      <c r="F177" s="883">
        <f t="shared" si="34"/>
        <v>0.16220465313362789</v>
      </c>
      <c r="G177" s="883">
        <f t="shared" si="34"/>
        <v>-0.10802183596253608</v>
      </c>
      <c r="H177" s="883">
        <f t="shared" si="34"/>
        <v>3.7659866804689225E-2</v>
      </c>
      <c r="I177" s="883">
        <f t="shared" si="34"/>
        <v>0.28014207566139093</v>
      </c>
      <c r="J177" s="883">
        <f t="shared" si="34"/>
        <v>7.1881371275529585E-2</v>
      </c>
      <c r="K177" s="883">
        <f t="shared" si="34"/>
        <v>4.3682601689842365E-2</v>
      </c>
      <c r="L177" s="883">
        <f t="shared" si="34"/>
        <v>5.6690352865084795E-2</v>
      </c>
      <c r="M177" s="876"/>
    </row>
    <row r="179" spans="1:13">
      <c r="B179" s="1" t="s">
        <v>790</v>
      </c>
    </row>
    <row r="180" spans="1:13">
      <c r="B180" s="302" t="s">
        <v>791</v>
      </c>
    </row>
    <row r="181" spans="1:13">
      <c r="B181" s="11"/>
      <c r="C181" s="52">
        <v>350.1</v>
      </c>
      <c r="D181" s="52">
        <v>350.2</v>
      </c>
      <c r="E181" s="52">
        <v>352</v>
      </c>
      <c r="F181" s="52">
        <v>353</v>
      </c>
      <c r="G181" s="52">
        <v>354</v>
      </c>
      <c r="H181" s="52">
        <v>355</v>
      </c>
      <c r="I181" s="52">
        <v>356</v>
      </c>
      <c r="J181" s="52">
        <v>357</v>
      </c>
      <c r="K181" s="52">
        <v>358</v>
      </c>
      <c r="L181" s="52">
        <v>359</v>
      </c>
      <c r="M181" s="2" t="s">
        <v>388</v>
      </c>
    </row>
    <row r="182" spans="1:13">
      <c r="A182" s="379">
        <f>A177+1</f>
        <v>105</v>
      </c>
      <c r="B182" s="11"/>
      <c r="C182" s="5">
        <f t="shared" ref="C182:L182" si="35">C23-C11</f>
        <v>-523512.5654629916</v>
      </c>
      <c r="D182" s="5">
        <f t="shared" si="35"/>
        <v>360828.50037223101</v>
      </c>
      <c r="E182" s="5">
        <f t="shared" si="35"/>
        <v>73977287.207556844</v>
      </c>
      <c r="F182" s="5">
        <f t="shared" si="35"/>
        <v>50315779.22430706</v>
      </c>
      <c r="G182" s="5">
        <f t="shared" si="35"/>
        <v>1328872.7754673958</v>
      </c>
      <c r="H182" s="5">
        <f t="shared" si="35"/>
        <v>22118211.128152251</v>
      </c>
      <c r="I182" s="5">
        <f t="shared" si="35"/>
        <v>65575701.287972927</v>
      </c>
      <c r="J182" s="5">
        <f t="shared" si="35"/>
        <v>668713.50142756104</v>
      </c>
      <c r="K182" s="5">
        <f t="shared" si="35"/>
        <v>-931154.54584956169</v>
      </c>
      <c r="L182" s="5">
        <f t="shared" si="35"/>
        <v>1142717.4924123883</v>
      </c>
      <c r="M182" s="5">
        <f>M23-M11</f>
        <v>214033444.00635624</v>
      </c>
    </row>
    <row r="183" spans="1:13">
      <c r="B183" s="11"/>
      <c r="C183" s="5"/>
      <c r="D183" s="5"/>
      <c r="E183" s="5"/>
      <c r="F183" s="5"/>
      <c r="G183" s="5"/>
      <c r="H183" s="5"/>
      <c r="I183" s="5"/>
      <c r="J183" s="5"/>
      <c r="K183" s="5"/>
      <c r="L183" s="5"/>
      <c r="M183" s="5"/>
    </row>
    <row r="184" spans="1:13">
      <c r="B184" s="302" t="s">
        <v>792</v>
      </c>
      <c r="C184" s="5"/>
      <c r="D184" s="5"/>
      <c r="E184" s="5"/>
      <c r="F184" s="5"/>
      <c r="G184" s="5"/>
      <c r="H184" s="5"/>
      <c r="I184" s="5"/>
      <c r="J184" s="5"/>
      <c r="K184" s="5"/>
      <c r="L184" s="5"/>
      <c r="M184" s="5"/>
    </row>
    <row r="185" spans="1:13">
      <c r="B185" s="11"/>
      <c r="C185" s="52">
        <v>350.1</v>
      </c>
      <c r="D185" s="52">
        <v>350.2</v>
      </c>
      <c r="E185" s="52">
        <v>352</v>
      </c>
      <c r="F185" s="52">
        <v>353</v>
      </c>
      <c r="G185" s="52">
        <v>354</v>
      </c>
      <c r="H185" s="52">
        <v>355</v>
      </c>
      <c r="I185" s="52">
        <v>356</v>
      </c>
      <c r="J185" s="52">
        <v>357</v>
      </c>
      <c r="K185" s="52">
        <v>358</v>
      </c>
      <c r="L185" s="52">
        <v>359</v>
      </c>
      <c r="M185" s="2" t="s">
        <v>388</v>
      </c>
    </row>
    <row r="186" spans="1:13">
      <c r="A186" s="379">
        <f>A182+1</f>
        <v>106</v>
      </c>
      <c r="B186" s="11"/>
      <c r="C186" s="5">
        <f>C142</f>
        <v>-529519.60000000149</v>
      </c>
      <c r="D186" s="5">
        <f t="shared" ref="D186:M186" si="36">D142</f>
        <v>6430.9799999892712</v>
      </c>
      <c r="E186" s="5">
        <f t="shared" si="36"/>
        <v>15457858.160000086</v>
      </c>
      <c r="F186" s="5">
        <f t="shared" si="36"/>
        <v>7248857.878000021</v>
      </c>
      <c r="G186" s="5">
        <f t="shared" si="36"/>
        <v>1388595.6799995899</v>
      </c>
      <c r="H186" s="5">
        <f t="shared" si="36"/>
        <v>235435.76999998093</v>
      </c>
      <c r="I186" s="5">
        <f t="shared" si="36"/>
        <v>-62446.240000247955</v>
      </c>
      <c r="J186" s="5">
        <f t="shared" si="36"/>
        <v>660176.26999998093</v>
      </c>
      <c r="K186" s="5">
        <f t="shared" si="36"/>
        <v>-927581.02000001073</v>
      </c>
      <c r="L186" s="5">
        <f t="shared" si="36"/>
        <v>445498.86999997497</v>
      </c>
      <c r="M186" s="5">
        <f t="shared" si="36"/>
        <v>23923306.747999363</v>
      </c>
    </row>
    <row r="187" spans="1:13">
      <c r="B187" s="11"/>
      <c r="C187" s="5"/>
      <c r="D187" s="5"/>
      <c r="E187" s="5"/>
      <c r="F187" s="5"/>
      <c r="G187" s="5"/>
      <c r="H187" s="5"/>
      <c r="I187" s="5"/>
      <c r="J187" s="5"/>
      <c r="K187" s="5"/>
      <c r="L187" s="5"/>
      <c r="M187" s="5"/>
    </row>
    <row r="188" spans="1:13">
      <c r="B188" s="302" t="s">
        <v>793</v>
      </c>
      <c r="C188" s="5"/>
      <c r="D188" s="5"/>
      <c r="E188" s="5"/>
      <c r="F188" s="5"/>
      <c r="G188" s="5"/>
      <c r="H188" s="5"/>
      <c r="I188" s="5"/>
      <c r="J188" s="5"/>
      <c r="K188" s="5"/>
      <c r="L188" s="5"/>
      <c r="M188" s="5"/>
    </row>
    <row r="189" spans="1:13">
      <c r="C189" s="52">
        <v>350.1</v>
      </c>
      <c r="D189" s="52">
        <v>350.2</v>
      </c>
      <c r="E189" s="52">
        <v>352</v>
      </c>
      <c r="F189" s="52">
        <v>353</v>
      </c>
      <c r="G189" s="52">
        <v>354</v>
      </c>
      <c r="H189" s="52">
        <v>355</v>
      </c>
      <c r="I189" s="52">
        <v>356</v>
      </c>
      <c r="J189" s="52">
        <v>357</v>
      </c>
      <c r="K189" s="52">
        <v>358</v>
      </c>
      <c r="L189" s="52">
        <v>359</v>
      </c>
      <c r="M189" s="2" t="s">
        <v>388</v>
      </c>
    </row>
    <row r="190" spans="1:13">
      <c r="A190" s="379">
        <f>A186+1</f>
        <v>107</v>
      </c>
      <c r="C190" s="5">
        <f>C182-C186</f>
        <v>6007.0345370098948</v>
      </c>
      <c r="D190" s="5">
        <f t="shared" ref="D190:M190" si="37">D182-D186</f>
        <v>354397.52037224174</v>
      </c>
      <c r="E190" s="5">
        <f t="shared" si="37"/>
        <v>58519429.047556758</v>
      </c>
      <c r="F190" s="5">
        <f t="shared" si="37"/>
        <v>43066921.346307039</v>
      </c>
      <c r="G190" s="5">
        <f t="shared" si="37"/>
        <v>-59722.904532194138</v>
      </c>
      <c r="H190" s="5">
        <f t="shared" si="37"/>
        <v>21882775.35815227</v>
      </c>
      <c r="I190" s="5">
        <f t="shared" si="37"/>
        <v>65638147.527973175</v>
      </c>
      <c r="J190" s="5">
        <f t="shared" si="37"/>
        <v>8537.2314275801182</v>
      </c>
      <c r="K190" s="5">
        <f t="shared" si="37"/>
        <v>-3573.5258495509624</v>
      </c>
      <c r="L190" s="5">
        <f t="shared" si="37"/>
        <v>697218.62241241336</v>
      </c>
      <c r="M190" s="5">
        <f t="shared" si="37"/>
        <v>190110137.25835687</v>
      </c>
    </row>
    <row r="192" spans="1:13">
      <c r="B192" s="25" t="s">
        <v>794</v>
      </c>
      <c r="C192" s="10"/>
      <c r="D192" s="10"/>
      <c r="E192" s="10"/>
      <c r="F192" s="10"/>
      <c r="G192" s="10"/>
    </row>
    <row r="193" spans="1:14">
      <c r="A193" s="227"/>
      <c r="B193" s="200" t="s">
        <v>307</v>
      </c>
      <c r="C193" s="200" t="s">
        <v>308</v>
      </c>
      <c r="D193" s="200" t="s">
        <v>309</v>
      </c>
      <c r="E193" s="200" t="s">
        <v>310</v>
      </c>
      <c r="F193" s="200" t="s">
        <v>311</v>
      </c>
      <c r="G193" s="200" t="s">
        <v>312</v>
      </c>
      <c r="H193" s="52" t="s">
        <v>313</v>
      </c>
      <c r="I193" s="52" t="s">
        <v>314</v>
      </c>
      <c r="J193" s="52" t="s">
        <v>315</v>
      </c>
      <c r="K193" s="52" t="s">
        <v>534</v>
      </c>
      <c r="L193" s="52" t="s">
        <v>535</v>
      </c>
      <c r="M193" s="52" t="s">
        <v>536</v>
      </c>
    </row>
    <row r="194" spans="1:14">
      <c r="A194" s="133"/>
      <c r="B194" s="279"/>
      <c r="C194" s="141"/>
      <c r="D194" s="141"/>
      <c r="E194" s="141"/>
      <c r="F194" s="332"/>
      <c r="G194" s="141"/>
      <c r="H194" s="133"/>
      <c r="I194" s="133"/>
      <c r="J194" s="133"/>
      <c r="K194" s="133"/>
      <c r="L194" s="133"/>
      <c r="M194" s="149" t="s">
        <v>741</v>
      </c>
    </row>
    <row r="195" spans="1:14">
      <c r="A195" s="133"/>
      <c r="B195" s="64"/>
      <c r="C195" s="200"/>
      <c r="D195" s="200"/>
      <c r="E195" s="141"/>
      <c r="F195" s="141"/>
      <c r="G195" s="141"/>
      <c r="H195" s="133"/>
      <c r="I195" s="133"/>
      <c r="J195" s="133"/>
      <c r="K195" s="133"/>
      <c r="L195" s="133"/>
    </row>
    <row r="196" spans="1:14">
      <c r="A196" s="28"/>
      <c r="B196" s="74" t="s">
        <v>742</v>
      </c>
      <c r="C196" s="200">
        <v>350.1</v>
      </c>
      <c r="D196" s="200">
        <v>350.2</v>
      </c>
      <c r="E196" s="200">
        <v>352</v>
      </c>
      <c r="F196" s="200">
        <v>353</v>
      </c>
      <c r="G196" s="200">
        <v>354</v>
      </c>
      <c r="H196" s="52">
        <v>355</v>
      </c>
      <c r="I196" s="52">
        <v>356</v>
      </c>
      <c r="J196" s="52">
        <v>357</v>
      </c>
      <c r="K196" s="52">
        <v>358</v>
      </c>
      <c r="L196" s="52">
        <v>359</v>
      </c>
      <c r="M196" s="2" t="s">
        <v>388</v>
      </c>
    </row>
    <row r="197" spans="1:14">
      <c r="A197" s="379">
        <f>A190+1</f>
        <v>108</v>
      </c>
      <c r="B197" s="529" t="s">
        <v>744</v>
      </c>
      <c r="C197" s="311">
        <f>C$190*C166</f>
        <v>75.566463833904919</v>
      </c>
      <c r="D197" s="311">
        <f t="shared" ref="D197:L197" si="38">D$190*D166</f>
        <v>11155.206113999802</v>
      </c>
      <c r="E197" s="311">
        <f t="shared" si="38"/>
        <v>2634411.9928086977</v>
      </c>
      <c r="F197" s="311">
        <f t="shared" si="38"/>
        <v>2649442.2569124987</v>
      </c>
      <c r="G197" s="311">
        <f t="shared" si="38"/>
        <v>-2548.5808687579156</v>
      </c>
      <c r="H197" s="311">
        <f t="shared" si="38"/>
        <v>843538.14089794492</v>
      </c>
      <c r="I197" s="311">
        <f t="shared" si="38"/>
        <v>16146941.545498561</v>
      </c>
      <c r="J197" s="311">
        <f t="shared" si="38"/>
        <v>1178.9579866525044</v>
      </c>
      <c r="K197" s="311">
        <f t="shared" si="38"/>
        <v>-711.73389593350714</v>
      </c>
      <c r="L197" s="311">
        <f t="shared" si="38"/>
        <v>43941.420112288084</v>
      </c>
      <c r="M197" s="311">
        <f t="shared" ref="M197:M209" si="39">SUM(C197:L197)</f>
        <v>22327424.772029787</v>
      </c>
      <c r="N197" s="10"/>
    </row>
    <row r="198" spans="1:14">
      <c r="A198" s="379">
        <f t="shared" ref="A198:A209" si="40">A197+1</f>
        <v>109</v>
      </c>
      <c r="B198" s="528" t="s">
        <v>745</v>
      </c>
      <c r="C198" s="311">
        <f t="shared" ref="C198:L208" si="41">C$190*C167</f>
        <v>2.2965166798305235E-9</v>
      </c>
      <c r="D198" s="311">
        <f t="shared" si="41"/>
        <v>18671.082373545592</v>
      </c>
      <c r="E198" s="311">
        <f t="shared" si="41"/>
        <v>2756236.7419574568</v>
      </c>
      <c r="F198" s="311">
        <f t="shared" si="41"/>
        <v>6191718.8661659081</v>
      </c>
      <c r="G198" s="311">
        <f t="shared" si="41"/>
        <v>11639.052739554905</v>
      </c>
      <c r="H198" s="311">
        <f t="shared" si="41"/>
        <v>884156.67933892645</v>
      </c>
      <c r="I198" s="311">
        <f t="shared" si="41"/>
        <v>529879.29871131014</v>
      </c>
      <c r="J198" s="311">
        <f t="shared" si="41"/>
        <v>1.589479034875998</v>
      </c>
      <c r="K198" s="311">
        <f t="shared" si="41"/>
        <v>-10.219576963680256</v>
      </c>
      <c r="L198" s="311">
        <f t="shared" si="41"/>
        <v>3358.6827601525706</v>
      </c>
      <c r="M198" s="311">
        <f t="shared" si="39"/>
        <v>10395651.773948926</v>
      </c>
      <c r="N198" s="10"/>
    </row>
    <row r="199" spans="1:14">
      <c r="A199" s="379">
        <f t="shared" si="40"/>
        <v>110</v>
      </c>
      <c r="B199" s="528" t="s">
        <v>746</v>
      </c>
      <c r="C199" s="311">
        <f t="shared" si="41"/>
        <v>1808.9654686090296</v>
      </c>
      <c r="D199" s="311">
        <f t="shared" si="41"/>
        <v>34295.398878298343</v>
      </c>
      <c r="E199" s="311">
        <f t="shared" si="41"/>
        <v>3606727.9136428707</v>
      </c>
      <c r="F199" s="311">
        <f t="shared" si="41"/>
        <v>8387459.2331509339</v>
      </c>
      <c r="G199" s="311">
        <f t="shared" si="41"/>
        <v>19482.267757618833</v>
      </c>
      <c r="H199" s="311">
        <f t="shared" si="41"/>
        <v>2746459.5559634906</v>
      </c>
      <c r="I199" s="311">
        <f t="shared" si="41"/>
        <v>5155780.5601495244</v>
      </c>
      <c r="J199" s="311">
        <f t="shared" si="41"/>
        <v>317.9674594202512</v>
      </c>
      <c r="K199" s="311">
        <f t="shared" si="41"/>
        <v>-37.956883371415252</v>
      </c>
      <c r="L199" s="311">
        <f t="shared" si="41"/>
        <v>2609.1667834699879</v>
      </c>
      <c r="M199" s="311">
        <f t="shared" si="39"/>
        <v>19954903.072370864</v>
      </c>
      <c r="N199" s="10"/>
    </row>
    <row r="200" spans="1:14">
      <c r="A200" s="379">
        <f t="shared" si="40"/>
        <v>111</v>
      </c>
      <c r="B200" s="529" t="s">
        <v>747</v>
      </c>
      <c r="C200" s="311">
        <f t="shared" si="41"/>
        <v>1723.9115853064854</v>
      </c>
      <c r="D200" s="311">
        <f t="shared" si="41"/>
        <v>-1872.0219329875567</v>
      </c>
      <c r="E200" s="311">
        <f t="shared" si="41"/>
        <v>3033042.2457191274</v>
      </c>
      <c r="F200" s="311">
        <f t="shared" si="41"/>
        <v>4897980.5862830244</v>
      </c>
      <c r="G200" s="311">
        <f t="shared" si="41"/>
        <v>-6263.6022779423829</v>
      </c>
      <c r="H200" s="311">
        <f t="shared" si="41"/>
        <v>1251775.6092875467</v>
      </c>
      <c r="I200" s="311">
        <f t="shared" si="41"/>
        <v>-590942.67756469303</v>
      </c>
      <c r="J200" s="311">
        <f t="shared" si="41"/>
        <v>3047.0988643512405</v>
      </c>
      <c r="K200" s="311">
        <f t="shared" si="41"/>
        <v>-241.2291899152946</v>
      </c>
      <c r="L200" s="311">
        <f t="shared" si="41"/>
        <v>-87365.583539958709</v>
      </c>
      <c r="M200" s="311">
        <f t="shared" si="39"/>
        <v>8500884.3372338582</v>
      </c>
      <c r="N200" s="10"/>
    </row>
    <row r="201" spans="1:14">
      <c r="A201" s="379">
        <f t="shared" si="40"/>
        <v>112</v>
      </c>
      <c r="B201" s="528" t="s">
        <v>748</v>
      </c>
      <c r="C201" s="311">
        <f t="shared" si="41"/>
        <v>943.34786492637727</v>
      </c>
      <c r="D201" s="311">
        <f t="shared" si="41"/>
        <v>7689.0787261941086</v>
      </c>
      <c r="E201" s="311">
        <f t="shared" si="41"/>
        <v>-359395.08096957172</v>
      </c>
      <c r="F201" s="311">
        <f t="shared" si="41"/>
        <v>2483700.9900018927</v>
      </c>
      <c r="G201" s="311">
        <f t="shared" si="41"/>
        <v>-4833.8990020840711</v>
      </c>
      <c r="H201" s="311">
        <f t="shared" si="41"/>
        <v>752546.4973935266</v>
      </c>
      <c r="I201" s="311">
        <f t="shared" si="41"/>
        <v>4526020.7496001748</v>
      </c>
      <c r="J201" s="311">
        <f t="shared" si="41"/>
        <v>480.53828074553553</v>
      </c>
      <c r="K201" s="311">
        <f t="shared" si="41"/>
        <v>-201.75393382005234</v>
      </c>
      <c r="L201" s="311">
        <f t="shared" si="41"/>
        <v>880.0193188791676</v>
      </c>
      <c r="M201" s="311">
        <f t="shared" si="39"/>
        <v>7407830.4872808643</v>
      </c>
      <c r="N201" s="10"/>
    </row>
    <row r="202" spans="1:14">
      <c r="A202" s="379">
        <f t="shared" si="40"/>
        <v>113</v>
      </c>
      <c r="B202" s="528" t="s">
        <v>749</v>
      </c>
      <c r="C202" s="311">
        <f t="shared" si="41"/>
        <v>2.2965166798305235E-9</v>
      </c>
      <c r="D202" s="311">
        <f t="shared" si="41"/>
        <v>192461.88823594511</v>
      </c>
      <c r="E202" s="311">
        <f t="shared" si="41"/>
        <v>4899190.3397378623</v>
      </c>
      <c r="F202" s="311">
        <f t="shared" si="41"/>
        <v>4045637.1377210985</v>
      </c>
      <c r="G202" s="311">
        <f t="shared" si="41"/>
        <v>-1804.9419178843734</v>
      </c>
      <c r="H202" s="311">
        <f t="shared" si="41"/>
        <v>674357.71156090999</v>
      </c>
      <c r="I202" s="311">
        <f t="shared" si="41"/>
        <v>363988.58969424391</v>
      </c>
      <c r="J202" s="311">
        <f t="shared" si="41"/>
        <v>207.48550584295057</v>
      </c>
      <c r="K202" s="311">
        <f t="shared" si="41"/>
        <v>-349.57488409208719</v>
      </c>
      <c r="L202" s="311">
        <f t="shared" si="41"/>
        <v>2358.4153357896171</v>
      </c>
      <c r="M202" s="311">
        <f t="shared" si="39"/>
        <v>10176047.050989719</v>
      </c>
      <c r="N202" s="10"/>
    </row>
    <row r="203" spans="1:14">
      <c r="A203" s="379">
        <f t="shared" si="40"/>
        <v>114</v>
      </c>
      <c r="B203" s="529" t="s">
        <v>750</v>
      </c>
      <c r="C203" s="311">
        <f t="shared" si="41"/>
        <v>11.281336994615337</v>
      </c>
      <c r="D203" s="311">
        <f t="shared" si="41"/>
        <v>10851.385710823559</v>
      </c>
      <c r="E203" s="311">
        <f t="shared" si="41"/>
        <v>3242709.7206218755</v>
      </c>
      <c r="F203" s="311">
        <f t="shared" si="41"/>
        <v>3070226.5512407254</v>
      </c>
      <c r="G203" s="311">
        <f t="shared" si="41"/>
        <v>-1465.3462359631471</v>
      </c>
      <c r="H203" s="311">
        <f t="shared" si="41"/>
        <v>411586.1030907823</v>
      </c>
      <c r="I203" s="311">
        <f t="shared" si="41"/>
        <v>1213680.8005348623</v>
      </c>
      <c r="J203" s="311">
        <f t="shared" si="41"/>
        <v>75.626153019408179</v>
      </c>
      <c r="K203" s="311">
        <f t="shared" si="41"/>
        <v>-60.253080879522699</v>
      </c>
      <c r="L203" s="311">
        <f t="shared" si="41"/>
        <v>908.19940021163688</v>
      </c>
      <c r="M203" s="311">
        <f t="shared" si="39"/>
        <v>7948524.068772452</v>
      </c>
      <c r="N203" s="10"/>
    </row>
    <row r="204" spans="1:14">
      <c r="A204" s="379">
        <f t="shared" si="40"/>
        <v>115</v>
      </c>
      <c r="B204" s="528" t="s">
        <v>751</v>
      </c>
      <c r="C204" s="311">
        <f t="shared" si="41"/>
        <v>1515.0650636987448</v>
      </c>
      <c r="D204" s="311">
        <f t="shared" si="41"/>
        <v>7387.760725781186</v>
      </c>
      <c r="E204" s="311">
        <f t="shared" si="41"/>
        <v>-1135615.4525150007</v>
      </c>
      <c r="F204" s="311">
        <f t="shared" si="41"/>
        <v>1791738.9868611444</v>
      </c>
      <c r="G204" s="311">
        <f t="shared" si="41"/>
        <v>-68784.054268518681</v>
      </c>
      <c r="H204" s="311">
        <f t="shared" si="41"/>
        <v>9730883.6411290225</v>
      </c>
      <c r="I204" s="311">
        <f t="shared" si="41"/>
        <v>15475410.350506624</v>
      </c>
      <c r="J204" s="311">
        <f t="shared" si="41"/>
        <v>109.78389061234446</v>
      </c>
      <c r="K204" s="311">
        <f t="shared" si="41"/>
        <v>-65.620227265400899</v>
      </c>
      <c r="L204" s="311">
        <f t="shared" si="41"/>
        <v>59876.868808058571</v>
      </c>
      <c r="M204" s="311">
        <f t="shared" si="39"/>
        <v>25862457.329974156</v>
      </c>
      <c r="N204" s="10"/>
    </row>
    <row r="205" spans="1:14">
      <c r="A205" s="379">
        <f t="shared" si="40"/>
        <v>116</v>
      </c>
      <c r="B205" s="528" t="s">
        <v>752</v>
      </c>
      <c r="C205" s="311">
        <f t="shared" si="41"/>
        <v>-4.5930333596610469E-9</v>
      </c>
      <c r="D205" s="311">
        <f t="shared" si="41"/>
        <v>-7584.3397530358898</v>
      </c>
      <c r="E205" s="311">
        <f t="shared" si="41"/>
        <v>6918490.5144721009</v>
      </c>
      <c r="F205" s="311">
        <f t="shared" si="41"/>
        <v>890157.83463152917</v>
      </c>
      <c r="G205" s="311">
        <f t="shared" si="41"/>
        <v>-20332.372147625156</v>
      </c>
      <c r="H205" s="311">
        <f t="shared" si="41"/>
        <v>1487213.6648645487</v>
      </c>
      <c r="I205" s="311">
        <f t="shared" si="41"/>
        <v>1586049.8836523734</v>
      </c>
      <c r="J205" s="311">
        <f t="shared" si="41"/>
        <v>1149.0040458041524</v>
      </c>
      <c r="K205" s="311">
        <f t="shared" si="41"/>
        <v>-469.95349362258634</v>
      </c>
      <c r="L205" s="311">
        <f t="shared" si="41"/>
        <v>10383.187165391531</v>
      </c>
      <c r="M205" s="311">
        <f t="shared" si="39"/>
        <v>10865057.423437461</v>
      </c>
      <c r="N205" s="10"/>
    </row>
    <row r="206" spans="1:14">
      <c r="A206" s="379">
        <f t="shared" si="40"/>
        <v>117</v>
      </c>
      <c r="B206" s="529" t="s">
        <v>753</v>
      </c>
      <c r="C206" s="311">
        <f t="shared" si="41"/>
        <v>909.9600391783822</v>
      </c>
      <c r="D206" s="311">
        <f t="shared" si="41"/>
        <v>11783.165682067071</v>
      </c>
      <c r="E206" s="311">
        <f t="shared" si="41"/>
        <v>3187481.5765372068</v>
      </c>
      <c r="F206" s="311">
        <f t="shared" si="41"/>
        <v>-4449986.7074498534</v>
      </c>
      <c r="G206" s="311">
        <f t="shared" si="41"/>
        <v>10510.003924705143</v>
      </c>
      <c r="H206" s="311">
        <f t="shared" si="41"/>
        <v>1350777.139375316</v>
      </c>
      <c r="I206" s="311">
        <f t="shared" si="41"/>
        <v>2231676.7550819395</v>
      </c>
      <c r="J206" s="311">
        <f t="shared" si="41"/>
        <v>-523.16219795999064</v>
      </c>
      <c r="K206" s="311">
        <f t="shared" si="41"/>
        <v>-148.11774691131254</v>
      </c>
      <c r="L206" s="311">
        <f t="shared" si="41"/>
        <v>559941.52724723145</v>
      </c>
      <c r="M206" s="311">
        <f t="shared" si="39"/>
        <v>2902422.1404929194</v>
      </c>
      <c r="N206" s="10"/>
    </row>
    <row r="207" spans="1:14">
      <c r="A207" s="379">
        <f t="shared" si="40"/>
        <v>118</v>
      </c>
      <c r="B207" s="529" t="s">
        <v>754</v>
      </c>
      <c r="C207" s="311">
        <f t="shared" si="41"/>
        <v>-1504.1844299410989</v>
      </c>
      <c r="D207" s="311">
        <f t="shared" si="41"/>
        <v>40883.620074911742</v>
      </c>
      <c r="E207" s="311">
        <f t="shared" si="41"/>
        <v>2411743.9716272433</v>
      </c>
      <c r="F207" s="311">
        <f t="shared" si="41"/>
        <v>6123190.5722771687</v>
      </c>
      <c r="G207" s="311">
        <f t="shared" si="41"/>
        <v>-1772.8100318801701</v>
      </c>
      <c r="H207" s="311">
        <f t="shared" si="41"/>
        <v>925378.20994530537</v>
      </c>
      <c r="I207" s="311">
        <f t="shared" si="41"/>
        <v>611654.78105325333</v>
      </c>
      <c r="J207" s="311">
        <f t="shared" si="41"/>
        <v>1878.6740581458396</v>
      </c>
      <c r="K207" s="311">
        <f t="shared" si="41"/>
        <v>-1121.0120304618131</v>
      </c>
      <c r="L207" s="311">
        <f t="shared" si="41"/>
        <v>60801.149292231421</v>
      </c>
      <c r="M207" s="311">
        <f t="shared" si="39"/>
        <v>10171132.971835975</v>
      </c>
      <c r="N207" s="10"/>
    </row>
    <row r="208" spans="1:14">
      <c r="A208" s="379">
        <f t="shared" si="40"/>
        <v>119</v>
      </c>
      <c r="B208" s="528" t="s">
        <v>755</v>
      </c>
      <c r="C208" s="65">
        <f t="shared" si="41"/>
        <v>523.12114440345351</v>
      </c>
      <c r="D208" s="65">
        <f t="shared" si="41"/>
        <v>28675.295536698668</v>
      </c>
      <c r="E208" s="65">
        <f t="shared" si="41"/>
        <v>27324404.563916888</v>
      </c>
      <c r="F208" s="65">
        <f t="shared" si="41"/>
        <v>6985655.038510968</v>
      </c>
      <c r="G208" s="65">
        <f t="shared" si="41"/>
        <v>6451.3777965828776</v>
      </c>
      <c r="H208" s="65">
        <f t="shared" si="41"/>
        <v>824102.40530495008</v>
      </c>
      <c r="I208" s="65">
        <f t="shared" si="41"/>
        <v>18388006.891055003</v>
      </c>
      <c r="J208" s="65">
        <f t="shared" si="41"/>
        <v>613.66790191100597</v>
      </c>
      <c r="K208" s="65">
        <f t="shared" si="41"/>
        <v>-156.10090631429026</v>
      </c>
      <c r="L208" s="65">
        <f t="shared" si="41"/>
        <v>39525.56972866803</v>
      </c>
      <c r="M208" s="65">
        <f t="shared" si="39"/>
        <v>53597801.829989761</v>
      </c>
      <c r="N208" s="10"/>
    </row>
    <row r="209" spans="1:44">
      <c r="A209" s="379">
        <f t="shared" si="40"/>
        <v>120</v>
      </c>
      <c r="B209" s="861" t="s">
        <v>382</v>
      </c>
      <c r="C209" s="135">
        <f t="shared" ref="C209:L209" si="42">SUM(C197:C208)</f>
        <v>6007.0345370098939</v>
      </c>
      <c r="D209" s="135">
        <f t="shared" si="42"/>
        <v>354397.52037224179</v>
      </c>
      <c r="E209" s="135">
        <f t="shared" si="42"/>
        <v>58519429.047556758</v>
      </c>
      <c r="F209" s="135">
        <f t="shared" si="42"/>
        <v>43066921.346307039</v>
      </c>
      <c r="G209" s="135">
        <f t="shared" si="42"/>
        <v>-59722.904532194138</v>
      </c>
      <c r="H209" s="135">
        <f t="shared" si="42"/>
        <v>21882775.358152267</v>
      </c>
      <c r="I209" s="135">
        <f t="shared" si="42"/>
        <v>65638147.527973175</v>
      </c>
      <c r="J209" s="135">
        <f t="shared" si="42"/>
        <v>8537.2314275801164</v>
      </c>
      <c r="K209" s="135">
        <f t="shared" si="42"/>
        <v>-3573.5258495509624</v>
      </c>
      <c r="L209" s="135">
        <f t="shared" si="42"/>
        <v>697218.62241241336</v>
      </c>
      <c r="M209" s="311">
        <f t="shared" si="39"/>
        <v>190110137.25835675</v>
      </c>
      <c r="N209" s="10"/>
    </row>
    <row r="210" spans="1:44">
      <c r="C210" s="10"/>
      <c r="D210" s="10"/>
      <c r="E210" s="10"/>
      <c r="F210" s="10"/>
      <c r="G210" s="10"/>
      <c r="H210" s="10"/>
      <c r="I210" s="10"/>
      <c r="J210" s="10"/>
      <c r="K210" s="10"/>
      <c r="L210" s="10"/>
      <c r="M210" s="10"/>
    </row>
    <row r="211" spans="1:44">
      <c r="B211" s="229" t="s">
        <v>226</v>
      </c>
    </row>
    <row r="212" spans="1:44">
      <c r="B212" s="300" t="s">
        <v>795</v>
      </c>
      <c r="C212" s="10"/>
      <c r="D212" s="10"/>
      <c r="E212" s="10"/>
      <c r="F212" s="10"/>
      <c r="G212" s="10"/>
      <c r="H212" s="10"/>
      <c r="I212" s="10"/>
      <c r="J212" s="10"/>
      <c r="K212" s="10"/>
      <c r="L212" s="10"/>
    </row>
    <row r="213" spans="1:44">
      <c r="B213" s="686" t="s">
        <v>796</v>
      </c>
      <c r="C213" s="300"/>
      <c r="D213" s="300"/>
      <c r="E213" s="300"/>
      <c r="F213" s="300"/>
      <c r="G213" s="300"/>
      <c r="H213" s="300"/>
      <c r="I213" s="10"/>
      <c r="J213" s="300"/>
      <c r="K213" s="300"/>
      <c r="L213" s="300"/>
      <c r="M213" s="300"/>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row>
    <row r="214" spans="1:44">
      <c r="B214" s="1119" t="s">
        <v>797</v>
      </c>
      <c r="C214" s="10"/>
      <c r="D214" s="10"/>
      <c r="E214" s="10"/>
      <c r="F214" s="10"/>
      <c r="G214" s="10"/>
      <c r="H214" s="10"/>
      <c r="I214" s="10"/>
      <c r="J214" s="10"/>
      <c r="K214" s="10"/>
      <c r="L214" s="10"/>
      <c r="M214" s="10"/>
    </row>
    <row r="215" spans="1:44">
      <c r="B215" s="297" t="s">
        <v>798</v>
      </c>
      <c r="C215" s="10"/>
      <c r="D215" s="10"/>
      <c r="E215" s="10"/>
      <c r="F215" s="10"/>
      <c r="G215" s="10"/>
      <c r="H215" s="10"/>
      <c r="I215" s="10"/>
      <c r="J215" s="10"/>
      <c r="K215" s="10"/>
      <c r="L215" s="10"/>
      <c r="M215" s="10"/>
    </row>
    <row r="216" spans="1:44">
      <c r="B216" s="297" t="s">
        <v>799</v>
      </c>
      <c r="C216" s="10"/>
      <c r="D216" s="10"/>
      <c r="E216" s="10"/>
      <c r="F216" s="10"/>
      <c r="G216" s="10"/>
      <c r="H216" s="10"/>
      <c r="I216" s="10"/>
      <c r="J216" s="10"/>
      <c r="K216" s="10"/>
      <c r="L216" s="10"/>
      <c r="M216" s="10"/>
    </row>
    <row r="217" spans="1:44">
      <c r="B217" s="67" t="s">
        <v>800</v>
      </c>
      <c r="C217" s="10"/>
      <c r="D217" s="10"/>
      <c r="E217" s="10"/>
      <c r="F217" s="10"/>
      <c r="G217" s="10"/>
      <c r="H217" s="10"/>
      <c r="I217" s="10"/>
      <c r="J217" s="10"/>
      <c r="K217" s="10"/>
      <c r="L217" s="10"/>
      <c r="M217" s="10"/>
    </row>
    <row r="218" spans="1:44">
      <c r="B218" s="300" t="s">
        <v>801</v>
      </c>
      <c r="C218" s="10"/>
      <c r="D218" s="10"/>
      <c r="E218" s="10"/>
      <c r="F218" s="10"/>
      <c r="G218" s="10"/>
      <c r="H218" s="10"/>
      <c r="I218" s="10"/>
      <c r="J218" s="10"/>
      <c r="K218" s="10"/>
      <c r="L218" s="10"/>
      <c r="M218" s="10"/>
    </row>
    <row r="219" spans="1:44">
      <c r="B219" s="297" t="s">
        <v>802</v>
      </c>
      <c r="C219" s="10"/>
      <c r="D219" s="10"/>
      <c r="E219" s="10"/>
      <c r="F219" s="10"/>
      <c r="G219" s="10"/>
      <c r="H219" s="10"/>
      <c r="I219" s="10"/>
      <c r="J219" s="10"/>
      <c r="K219" s="10"/>
      <c r="L219" s="10"/>
      <c r="M219" s="10"/>
    </row>
    <row r="220" spans="1:44">
      <c r="B220" s="297" t="s">
        <v>803</v>
      </c>
      <c r="C220" s="10"/>
      <c r="D220" s="10"/>
      <c r="E220" s="10"/>
      <c r="F220" s="10"/>
      <c r="G220" s="10"/>
      <c r="H220" s="10"/>
      <c r="I220" s="10"/>
      <c r="J220" s="10"/>
      <c r="K220" s="10"/>
      <c r="L220" s="10"/>
      <c r="M220" s="10"/>
    </row>
    <row r="221" spans="1:44">
      <c r="B221" s="297" t="s">
        <v>804</v>
      </c>
      <c r="C221" s="10"/>
      <c r="D221" s="10"/>
      <c r="E221" s="10"/>
      <c r="F221" s="10"/>
      <c r="G221" s="10"/>
      <c r="H221" s="10"/>
      <c r="I221" s="10"/>
      <c r="J221" s="10"/>
      <c r="K221" s="10"/>
      <c r="L221" s="10"/>
      <c r="M221" s="10"/>
    </row>
    <row r="222" spans="1:44">
      <c r="B222" s="300" t="str">
        <f>"2) Amounts on Line "&amp;A34&amp;" must match 6-Plant Study amounts for Distribution Plant - ISO for previous year."</f>
        <v>2) Amounts on Line 15 must match 6-Plant Study amounts for Distribution Plant - ISO for previous year.</v>
      </c>
      <c r="C222" s="10"/>
      <c r="D222" s="10"/>
      <c r="E222" s="10"/>
      <c r="F222" s="10"/>
      <c r="G222" s="10"/>
      <c r="H222" s="10"/>
      <c r="I222" s="10"/>
      <c r="J222" s="10"/>
      <c r="K222" s="10"/>
      <c r="L222" s="10"/>
    </row>
    <row r="223" spans="1:44">
      <c r="B223" s="297" t="str">
        <f>"Amounts on Line "&amp;A35&amp;" must match amounts on 6-PlantStudy for Distribution Plant - ISO."</f>
        <v>Amounts on Line 16 must match amounts on 6-PlantStudy for Distribution Plant - ISO.</v>
      </c>
      <c r="C223" s="10"/>
      <c r="D223" s="10"/>
      <c r="E223" s="10"/>
      <c r="F223" s="10"/>
      <c r="G223" s="10"/>
      <c r="H223" s="10"/>
      <c r="I223" s="10"/>
      <c r="J223" s="10"/>
      <c r="K223" s="10"/>
      <c r="L223" s="10"/>
    </row>
    <row r="224" spans="1:44">
      <c r="B224" s="881" t="s">
        <v>805</v>
      </c>
      <c r="C224" s="10"/>
      <c r="D224" s="10"/>
      <c r="E224" s="10"/>
      <c r="F224" s="10"/>
      <c r="G224" s="10"/>
      <c r="H224" s="10"/>
      <c r="I224" s="10"/>
      <c r="J224" s="10"/>
      <c r="K224" s="10"/>
      <c r="L224" s="10"/>
    </row>
    <row r="225" spans="2:12">
      <c r="B225" s="300" t="s">
        <v>806</v>
      </c>
      <c r="C225" s="10"/>
      <c r="D225" s="10"/>
      <c r="E225" s="10"/>
      <c r="F225" s="10"/>
      <c r="G225" s="10"/>
      <c r="H225" s="10"/>
      <c r="I225" s="10"/>
      <c r="J225" s="10"/>
      <c r="K225" s="10"/>
      <c r="L225" s="10"/>
    </row>
    <row r="226" spans="2:12">
      <c r="B226" s="300" t="s">
        <v>807</v>
      </c>
      <c r="C226" s="10"/>
      <c r="D226" s="10"/>
      <c r="E226" s="10"/>
      <c r="F226" s="10"/>
      <c r="G226" s="10"/>
      <c r="H226" s="10"/>
      <c r="I226" s="10"/>
      <c r="J226" s="10"/>
      <c r="K226" s="10"/>
      <c r="L226" s="10"/>
    </row>
    <row r="227" spans="2:12">
      <c r="B227" s="10" t="s">
        <v>808</v>
      </c>
      <c r="C227" s="10"/>
      <c r="D227" s="10"/>
      <c r="E227" s="10"/>
      <c r="F227" s="10"/>
      <c r="G227" s="10"/>
      <c r="H227" s="10"/>
      <c r="I227" s="10"/>
      <c r="J227" s="10"/>
      <c r="L227" s="10"/>
    </row>
    <row r="228" spans="2:12">
      <c r="B228" s="298" t="s">
        <v>809</v>
      </c>
      <c r="C228" s="10"/>
      <c r="D228" s="10"/>
      <c r="E228" s="10"/>
      <c r="F228" s="10"/>
      <c r="G228" s="10"/>
      <c r="H228" s="10"/>
      <c r="I228" s="10"/>
      <c r="J228" s="10"/>
      <c r="K228" s="10"/>
      <c r="L228" s="10"/>
    </row>
    <row r="229" spans="2:12">
      <c r="B229" s="298" t="s">
        <v>810</v>
      </c>
      <c r="C229" s="10"/>
      <c r="D229" s="10"/>
      <c r="E229" s="10"/>
      <c r="F229" s="10"/>
      <c r="G229" s="10"/>
      <c r="H229" s="10"/>
      <c r="I229" s="10"/>
      <c r="J229" s="10"/>
      <c r="K229" s="10"/>
      <c r="L229" s="10"/>
    </row>
    <row r="230" spans="2:12">
      <c r="B230" s="768" t="str">
        <f>"9) Amount on Line "&amp;A23&amp;" less amount on Line "&amp;A11&amp;" for each account."</f>
        <v>9) Amount on Line 13 less amount on Line 1 for each account.</v>
      </c>
      <c r="C230" s="10"/>
      <c r="D230" s="10"/>
      <c r="E230" s="10"/>
      <c r="F230" s="10"/>
      <c r="G230" s="10"/>
      <c r="H230" s="10"/>
      <c r="I230" s="10"/>
      <c r="J230" s="10"/>
      <c r="K230" s="10"/>
      <c r="L230" s="10"/>
    </row>
    <row r="231" spans="2:12">
      <c r="B231" s="768" t="str">
        <f>"10) Line "&amp;A142&amp;""</f>
        <v>10) Line 79</v>
      </c>
      <c r="C231" s="10"/>
      <c r="D231" s="10"/>
      <c r="E231" s="10"/>
      <c r="F231" s="10"/>
      <c r="G231" s="10"/>
      <c r="H231" s="10"/>
      <c r="I231" s="10"/>
      <c r="J231" s="10"/>
      <c r="K231" s="10"/>
      <c r="L231" s="10"/>
    </row>
    <row r="232" spans="2:12">
      <c r="B232" s="768" t="str">
        <f>"11) Amount on Line "&amp;A182&amp;" less amount on Line "&amp;A186&amp;" for each account."</f>
        <v>11) Amount on Line 105 less amount on Line 106 for each account.</v>
      </c>
      <c r="C232" s="10"/>
      <c r="D232" s="10"/>
      <c r="E232" s="10"/>
      <c r="F232" s="10"/>
      <c r="G232" s="10"/>
      <c r="H232" s="10"/>
      <c r="I232" s="10"/>
      <c r="J232" s="10"/>
      <c r="K232" s="10"/>
      <c r="L232" s="10"/>
    </row>
    <row r="233" spans="2:12">
      <c r="B233" s="300" t="str">
        <f>"12) For each column (FERC Account) divide Line "&amp;A190&amp;" by Line "&amp;A161&amp;" to arrive at a ratio for each column."</f>
        <v>12) For each column (FERC Account) divide Line 107 by Line 92 to arrive at a ratio for each column.</v>
      </c>
    </row>
    <row r="234" spans="2:12">
      <c r="B234" s="297" t="str">
        <f>"Apply the ratio of each column to each monthly value from Lines "&amp;A149&amp;"-"&amp;A160&amp;" to calculate the values for"</f>
        <v>Apply the ratio of each column to each monthly value from Lines 80-91 to calculate the values for</v>
      </c>
    </row>
    <row r="235" spans="2:12">
      <c r="B235" s="297" t="str">
        <f>"the corresponsing months listed in Lines "&amp;A197&amp;"-"&amp;A208&amp;"."</f>
        <v>the corresponsing months listed in Lines 108-119.</v>
      </c>
    </row>
  </sheetData>
  <phoneticPr fontId="22" type="noConversion"/>
  <pageMargins left="0.75" right="0.75" top="1" bottom="1" header="0.5" footer="0.5"/>
  <pageSetup scale="65" orientation="landscape" cellComments="asDisplayed" r:id="rId1"/>
  <headerFooter alignWithMargins="0">
    <oddHeader>&amp;CSchedule 6
Plant In Service
&amp;RTO2020 Draft Annual Update 
Attachment1</oddHeader>
    <oddFooter>&amp;R&amp;A</oddFooter>
  </headerFooter>
  <rowBreaks count="4" manualBreakCount="4">
    <brk id="37" max="16383" man="1"/>
    <brk id="86" max="12" man="1"/>
    <brk id="124" max="12" man="1"/>
    <brk id="1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showWhiteSpace="0" zoomScaleNormal="100" workbookViewId="0"/>
  </sheetViews>
  <sheetFormatPr defaultRowHeight="12.75"/>
  <cols>
    <col min="1" max="1" width="4.7109375" customWidth="1"/>
    <col min="2" max="2" width="25.7109375" style="75" customWidth="1"/>
    <col min="3" max="5" width="15.7109375" style="75" customWidth="1"/>
    <col min="6" max="6" width="12.28515625" style="75" customWidth="1"/>
    <col min="8" max="8" width="15.5703125" customWidth="1"/>
  </cols>
  <sheetData>
    <row r="1" spans="1:8">
      <c r="A1" s="1" t="s">
        <v>811</v>
      </c>
      <c r="B1" s="1187"/>
      <c r="C1" s="1187"/>
      <c r="D1" s="1187"/>
      <c r="E1" s="333" t="s">
        <v>812</v>
      </c>
      <c r="F1" s="113"/>
      <c r="G1" s="298"/>
      <c r="H1" s="768"/>
    </row>
    <row r="2" spans="1:8">
      <c r="A2" s="768"/>
      <c r="B2" s="1187"/>
      <c r="C2" s="1187"/>
      <c r="G2" s="298"/>
      <c r="H2" s="768"/>
    </row>
    <row r="3" spans="1:8">
      <c r="A3" s="687" t="s">
        <v>813</v>
      </c>
      <c r="B3" s="1188"/>
      <c r="C3" s="1188"/>
      <c r="D3" s="1188"/>
      <c r="E3" s="688" t="s">
        <v>579</v>
      </c>
      <c r="F3" s="333">
        <v>2018</v>
      </c>
      <c r="G3" s="298"/>
      <c r="H3" s="768"/>
    </row>
    <row r="4" spans="1:8">
      <c r="A4" s="107"/>
      <c r="B4" s="1187"/>
      <c r="C4" s="1187"/>
      <c r="D4" s="1187"/>
      <c r="E4" s="1187"/>
      <c r="F4" s="1187"/>
      <c r="G4" s="298"/>
      <c r="H4" s="768"/>
    </row>
    <row r="5" spans="1:8">
      <c r="A5" s="768"/>
      <c r="B5" s="107"/>
      <c r="C5" s="52" t="s">
        <v>307</v>
      </c>
      <c r="E5" s="52" t="s">
        <v>308</v>
      </c>
      <c r="F5" s="52" t="s">
        <v>309</v>
      </c>
      <c r="G5" s="298"/>
      <c r="H5" s="768"/>
    </row>
    <row r="6" spans="1:8">
      <c r="A6" s="768"/>
      <c r="B6" s="107"/>
      <c r="C6" s="52"/>
      <c r="E6" s="52"/>
      <c r="F6" s="52"/>
      <c r="G6" s="298"/>
      <c r="H6" s="768"/>
    </row>
    <row r="7" spans="1:8">
      <c r="A7" s="28" t="s">
        <v>243</v>
      </c>
      <c r="B7" s="107"/>
      <c r="C7" s="108" t="s">
        <v>388</v>
      </c>
      <c r="D7" s="108"/>
      <c r="E7" s="108" t="s">
        <v>814</v>
      </c>
      <c r="F7" s="108" t="s">
        <v>815</v>
      </c>
      <c r="G7" s="298"/>
      <c r="H7" s="768"/>
    </row>
    <row r="8" spans="1:8">
      <c r="A8" s="379">
        <v>1</v>
      </c>
      <c r="B8" s="102" t="s">
        <v>816</v>
      </c>
      <c r="C8" s="102" t="s">
        <v>771</v>
      </c>
      <c r="D8" s="102" t="s">
        <v>817</v>
      </c>
      <c r="E8" s="102" t="s">
        <v>818</v>
      </c>
      <c r="F8" s="102" t="s">
        <v>819</v>
      </c>
      <c r="G8" s="109" t="s">
        <v>98</v>
      </c>
      <c r="H8" s="768"/>
    </row>
    <row r="9" spans="1:8" ht="12.75" customHeight="1">
      <c r="A9" s="379">
        <f>A8+1</f>
        <v>2</v>
      </c>
      <c r="B9" s="103" t="s">
        <v>820</v>
      </c>
      <c r="C9" s="1189"/>
      <c r="D9" s="1189"/>
      <c r="E9" s="1189"/>
      <c r="F9" s="1190"/>
      <c r="G9" s="298"/>
      <c r="H9" s="768"/>
    </row>
    <row r="10" spans="1:8">
      <c r="A10" s="379">
        <f t="shared" ref="A10:A28" si="0">A9+1</f>
        <v>3</v>
      </c>
      <c r="B10" s="1191">
        <v>352</v>
      </c>
      <c r="C10" s="325">
        <v>983751073</v>
      </c>
      <c r="D10" s="1192" t="s">
        <v>821</v>
      </c>
      <c r="E10" s="749">
        <v>643675309.99396908</v>
      </c>
      <c r="F10" s="1193">
        <f>E10/C10</f>
        <v>0.6543070982693292</v>
      </c>
      <c r="G10" s="298"/>
      <c r="H10" s="748"/>
    </row>
    <row r="11" spans="1:8">
      <c r="A11" s="379">
        <f t="shared" si="0"/>
        <v>4</v>
      </c>
      <c r="B11" s="1191">
        <v>353</v>
      </c>
      <c r="C11" s="68">
        <v>6072137167</v>
      </c>
      <c r="D11" s="1192" t="s">
        <v>822</v>
      </c>
      <c r="E11" s="68">
        <v>3459763553.0064859</v>
      </c>
      <c r="F11" s="99">
        <f>E11/C11</f>
        <v>0.56977691014773579</v>
      </c>
      <c r="G11" s="298"/>
      <c r="H11" s="298"/>
    </row>
    <row r="12" spans="1:8">
      <c r="A12" s="379">
        <f t="shared" si="0"/>
        <v>5</v>
      </c>
      <c r="B12" s="105" t="s">
        <v>823</v>
      </c>
      <c r="C12" s="1194">
        <f>SUM(C10:C11)</f>
        <v>7055888240</v>
      </c>
      <c r="D12" s="302" t="str">
        <f>"L "&amp;A10&amp;" + L "&amp;A11&amp;""</f>
        <v>L 3 + L 4</v>
      </c>
      <c r="E12" s="1194">
        <f>SUM(E10:E11)</f>
        <v>4103438863.0004549</v>
      </c>
      <c r="F12" s="1193">
        <f>E12/C12</f>
        <v>0.58156233820966174</v>
      </c>
      <c r="G12" s="300"/>
      <c r="H12" s="768"/>
    </row>
    <row r="13" spans="1:8">
      <c r="A13" s="379">
        <f t="shared" si="0"/>
        <v>6</v>
      </c>
      <c r="B13" s="1195"/>
      <c r="C13" s="1196"/>
      <c r="D13" s="1196"/>
      <c r="E13" s="1196"/>
      <c r="F13" s="1193"/>
      <c r="G13" s="298"/>
      <c r="H13" s="768"/>
    </row>
    <row r="14" spans="1:8">
      <c r="A14" s="379">
        <f t="shared" si="0"/>
        <v>7</v>
      </c>
      <c r="B14" s="104" t="s">
        <v>824</v>
      </c>
      <c r="C14" s="1197"/>
      <c r="D14" s="1197"/>
      <c r="E14" s="1197"/>
      <c r="F14" s="1198"/>
      <c r="G14" s="298"/>
      <c r="H14" s="768"/>
    </row>
    <row r="15" spans="1:8">
      <c r="A15" s="379">
        <f t="shared" si="0"/>
        <v>8</v>
      </c>
      <c r="B15" s="1191">
        <v>350</v>
      </c>
      <c r="C15" s="525">
        <v>343230095</v>
      </c>
      <c r="D15" s="1192" t="s">
        <v>825</v>
      </c>
      <c r="E15" s="525">
        <v>252614637.24445233</v>
      </c>
      <c r="F15" s="1193">
        <f>E15/C15</f>
        <v>0.73599209662676091</v>
      </c>
      <c r="G15" s="298"/>
      <c r="H15" s="298"/>
    </row>
    <row r="16" spans="1:8">
      <c r="A16" s="379">
        <f t="shared" si="0"/>
        <v>9</v>
      </c>
      <c r="B16" s="1191"/>
      <c r="C16" s="1194"/>
      <c r="D16" s="1194"/>
      <c r="E16" s="1194"/>
      <c r="F16" s="1193"/>
      <c r="G16" s="298"/>
      <c r="H16" s="768"/>
    </row>
    <row r="17" spans="1:8">
      <c r="A17" s="379">
        <f t="shared" si="0"/>
        <v>10</v>
      </c>
      <c r="B17" s="104" t="s">
        <v>826</v>
      </c>
      <c r="C17" s="1194">
        <f>C12+C15</f>
        <v>7399118335</v>
      </c>
      <c r="D17" s="302" t="str">
        <f>"L "&amp;A12&amp;" + L "&amp;A15&amp;""</f>
        <v>L 5 + L 8</v>
      </c>
      <c r="E17" s="1194">
        <f>E12+E15</f>
        <v>4356053500.2449074</v>
      </c>
      <c r="F17" s="1193">
        <f>E17/C17</f>
        <v>0.58872602153684939</v>
      </c>
      <c r="G17" s="300"/>
      <c r="H17" s="768"/>
    </row>
    <row r="18" spans="1:8">
      <c r="A18" s="379">
        <f t="shared" si="0"/>
        <v>11</v>
      </c>
      <c r="B18" s="1195"/>
      <c r="C18" s="1196"/>
      <c r="D18" s="1196"/>
      <c r="E18" s="1196"/>
      <c r="F18" s="1193"/>
      <c r="G18" s="298"/>
      <c r="H18" s="768"/>
    </row>
    <row r="19" spans="1:8">
      <c r="A19" s="379">
        <f t="shared" si="0"/>
        <v>12</v>
      </c>
      <c r="B19" s="104" t="s">
        <v>827</v>
      </c>
      <c r="C19" s="1196"/>
      <c r="D19" s="1196"/>
      <c r="E19" s="1196"/>
      <c r="F19" s="1193"/>
      <c r="G19" s="298"/>
      <c r="H19" s="768"/>
    </row>
    <row r="20" spans="1:8">
      <c r="A20" s="379">
        <f t="shared" si="0"/>
        <v>13</v>
      </c>
      <c r="B20" s="1191">
        <v>354</v>
      </c>
      <c r="C20" s="533">
        <v>2355779001</v>
      </c>
      <c r="D20" s="1192" t="s">
        <v>828</v>
      </c>
      <c r="E20" s="533">
        <v>2284709794.5614529</v>
      </c>
      <c r="F20" s="1199">
        <f>E20/C20</f>
        <v>0.96983197218059114</v>
      </c>
      <c r="G20" s="298"/>
      <c r="H20" s="298"/>
    </row>
    <row r="21" spans="1:8">
      <c r="A21" s="379">
        <f t="shared" si="0"/>
        <v>14</v>
      </c>
      <c r="B21" s="1191">
        <v>355</v>
      </c>
      <c r="C21" s="533">
        <v>1500195881</v>
      </c>
      <c r="D21" s="1192" t="s">
        <v>829</v>
      </c>
      <c r="E21" s="533">
        <v>386542291.49892306</v>
      </c>
      <c r="F21" s="1199">
        <f t="shared" ref="F21:F26" si="1">E21/C21</f>
        <v>0.25766121370848044</v>
      </c>
      <c r="G21" s="298"/>
      <c r="H21" s="298"/>
    </row>
    <row r="22" spans="1:8">
      <c r="A22" s="379">
        <f t="shared" si="0"/>
        <v>15</v>
      </c>
      <c r="B22" s="1191">
        <v>356</v>
      </c>
      <c r="C22" s="533">
        <v>1653093431</v>
      </c>
      <c r="D22" s="1192" t="s">
        <v>830</v>
      </c>
      <c r="E22" s="533">
        <v>1311509387.2981901</v>
      </c>
      <c r="F22" s="1199">
        <f t="shared" si="1"/>
        <v>0.79336676482031832</v>
      </c>
      <c r="G22" s="298"/>
      <c r="H22" s="298"/>
    </row>
    <row r="23" spans="1:8">
      <c r="A23" s="379">
        <f t="shared" si="0"/>
        <v>16</v>
      </c>
      <c r="B23" s="1191">
        <v>357</v>
      </c>
      <c r="C23" s="533">
        <v>271487039</v>
      </c>
      <c r="D23" s="1192" t="s">
        <v>831</v>
      </c>
      <c r="E23" s="533">
        <v>190891202.22581026</v>
      </c>
      <c r="F23" s="1199">
        <f t="shared" si="1"/>
        <v>0.70313191719553969</v>
      </c>
      <c r="G23" s="298"/>
      <c r="H23" s="298"/>
    </row>
    <row r="24" spans="1:8">
      <c r="A24" s="379">
        <f t="shared" si="0"/>
        <v>17</v>
      </c>
      <c r="B24" s="1191">
        <v>358</v>
      </c>
      <c r="C24" s="533">
        <v>399339545</v>
      </c>
      <c r="D24" s="1192" t="s">
        <v>832</v>
      </c>
      <c r="E24" s="533">
        <v>83989219.417170852</v>
      </c>
      <c r="F24" s="1199">
        <f t="shared" si="1"/>
        <v>0.21032031630418885</v>
      </c>
      <c r="G24" s="298"/>
      <c r="H24" s="298"/>
    </row>
    <row r="25" spans="1:8">
      <c r="A25" s="379">
        <f t="shared" si="0"/>
        <v>18</v>
      </c>
      <c r="B25" s="1191">
        <v>359</v>
      </c>
      <c r="C25" s="110">
        <v>195497058</v>
      </c>
      <c r="D25" s="1192" t="s">
        <v>833</v>
      </c>
      <c r="E25" s="110">
        <v>173783602.50683868</v>
      </c>
      <c r="F25" s="111">
        <f t="shared" si="1"/>
        <v>0.88893206007651882</v>
      </c>
      <c r="G25" s="298"/>
      <c r="H25" s="298"/>
    </row>
    <row r="26" spans="1:8">
      <c r="A26" s="379">
        <f t="shared" si="0"/>
        <v>19</v>
      </c>
      <c r="B26" s="105" t="s">
        <v>834</v>
      </c>
      <c r="C26" s="1194">
        <f>SUM(C20:C25)</f>
        <v>6375391955</v>
      </c>
      <c r="D26" s="1200" t="str">
        <f>"Sum L"&amp;A20&amp;" to L"&amp;A25&amp;""</f>
        <v>Sum L13 to L18</v>
      </c>
      <c r="E26" s="1194">
        <f>SUM(E20:E25)</f>
        <v>4431425497.5083857</v>
      </c>
      <c r="F26" s="1193">
        <f t="shared" si="1"/>
        <v>0.69508283236342383</v>
      </c>
      <c r="G26" s="300"/>
      <c r="H26" s="768"/>
    </row>
    <row r="27" spans="1:8">
      <c r="A27" s="379">
        <f t="shared" si="0"/>
        <v>20</v>
      </c>
      <c r="B27" s="1201"/>
      <c r="C27" s="1194"/>
      <c r="D27" s="1194"/>
      <c r="E27" s="1194"/>
      <c r="F27" s="1193"/>
      <c r="G27" s="298"/>
      <c r="H27" s="768"/>
    </row>
    <row r="28" spans="1:8">
      <c r="A28" s="379">
        <f t="shared" si="0"/>
        <v>21</v>
      </c>
      <c r="B28" s="112" t="s">
        <v>835</v>
      </c>
      <c r="C28" s="100">
        <f>C17+C26</f>
        <v>13774510290</v>
      </c>
      <c r="D28" s="302" t="str">
        <f>"L "&amp;A17&amp;" + L "&amp;A26&amp;""</f>
        <v>L 10 + L 19</v>
      </c>
      <c r="E28" s="100">
        <f>E17+E26</f>
        <v>8787478997.7532921</v>
      </c>
      <c r="F28" s="101">
        <f>E28/C28</f>
        <v>0.63795218942431764</v>
      </c>
      <c r="G28" s="298" t="s">
        <v>150</v>
      </c>
      <c r="H28" s="10"/>
    </row>
    <row r="29" spans="1:8">
      <c r="A29" s="379"/>
      <c r="B29" s="80"/>
      <c r="C29" s="76"/>
      <c r="D29" s="76"/>
      <c r="E29" s="76"/>
      <c r="F29" s="79"/>
      <c r="G29" s="768"/>
      <c r="H29" s="768"/>
    </row>
    <row r="30" spans="1:8">
      <c r="A30" s="379"/>
      <c r="B30" s="77"/>
      <c r="C30" s="78"/>
      <c r="D30" s="78"/>
      <c r="E30" s="396"/>
      <c r="F30" s="78"/>
      <c r="G30" s="768"/>
      <c r="H30" s="768"/>
    </row>
    <row r="31" spans="1:8">
      <c r="A31" s="107" t="s">
        <v>836</v>
      </c>
      <c r="C31" s="78"/>
      <c r="D31" s="78"/>
      <c r="E31" s="78"/>
      <c r="F31" s="78"/>
      <c r="G31" s="768"/>
      <c r="H31" s="768"/>
    </row>
    <row r="32" spans="1:8">
      <c r="A32" s="379"/>
      <c r="B32" s="83"/>
      <c r="C32" s="78"/>
      <c r="D32" s="78"/>
      <c r="E32" s="78"/>
      <c r="F32" s="78"/>
      <c r="G32" s="768"/>
      <c r="H32" s="768"/>
    </row>
    <row r="33" spans="1:9">
      <c r="A33" s="28" t="s">
        <v>243</v>
      </c>
      <c r="B33" s="107"/>
      <c r="C33" s="108" t="s">
        <v>388</v>
      </c>
      <c r="D33" s="108"/>
      <c r="E33" s="108" t="s">
        <v>392</v>
      </c>
      <c r="F33" s="108" t="s">
        <v>815</v>
      </c>
      <c r="G33" s="768"/>
      <c r="H33" s="768"/>
      <c r="I33" s="768"/>
    </row>
    <row r="34" spans="1:9">
      <c r="A34" s="379">
        <f>A28+1</f>
        <v>22</v>
      </c>
      <c r="B34" s="102" t="s">
        <v>816</v>
      </c>
      <c r="C34" s="102" t="s">
        <v>771</v>
      </c>
      <c r="D34" s="102" t="s">
        <v>817</v>
      </c>
      <c r="E34" s="102" t="s">
        <v>818</v>
      </c>
      <c r="F34" s="102" t="s">
        <v>819</v>
      </c>
      <c r="G34" s="768"/>
      <c r="H34" s="768"/>
      <c r="I34" s="768"/>
    </row>
    <row r="35" spans="1:9">
      <c r="A35" s="379">
        <f t="shared" ref="A35:A42" si="2">A34+1</f>
        <v>23</v>
      </c>
      <c r="B35" s="103" t="s">
        <v>837</v>
      </c>
      <c r="C35" s="76"/>
      <c r="D35" s="76"/>
      <c r="E35" s="76"/>
      <c r="F35" s="79"/>
      <c r="G35" s="768"/>
      <c r="H35" s="768"/>
      <c r="I35" s="768"/>
    </row>
    <row r="36" spans="1:9">
      <c r="A36" s="379">
        <f t="shared" si="2"/>
        <v>24</v>
      </c>
      <c r="B36" s="1191">
        <v>360</v>
      </c>
      <c r="C36" s="525">
        <v>126028197</v>
      </c>
      <c r="D36" s="1192" t="s">
        <v>838</v>
      </c>
      <c r="E36" s="750">
        <v>0</v>
      </c>
      <c r="F36" s="1193">
        <f>E36/C36</f>
        <v>0</v>
      </c>
      <c r="G36" s="768"/>
      <c r="H36" s="298"/>
      <c r="I36" s="768"/>
    </row>
    <row r="37" spans="1:9">
      <c r="A37" s="379">
        <f t="shared" si="2"/>
        <v>25</v>
      </c>
      <c r="B37" s="104" t="s">
        <v>839</v>
      </c>
      <c r="C37" s="1194"/>
      <c r="D37" s="1194"/>
      <c r="E37" s="1194"/>
      <c r="F37" s="1193"/>
      <c r="G37" s="768"/>
      <c r="H37" s="768"/>
      <c r="I37" s="768"/>
    </row>
    <row r="38" spans="1:9">
      <c r="A38" s="379">
        <f t="shared" si="2"/>
        <v>26</v>
      </c>
      <c r="B38" s="1191">
        <v>361</v>
      </c>
      <c r="C38" s="525">
        <v>696502262</v>
      </c>
      <c r="D38" s="1192" t="s">
        <v>840</v>
      </c>
      <c r="E38" s="525">
        <v>0</v>
      </c>
      <c r="F38" s="1193">
        <f>E38/C38</f>
        <v>0</v>
      </c>
      <c r="G38" s="768"/>
      <c r="H38" s="298"/>
      <c r="I38" s="768"/>
    </row>
    <row r="39" spans="1:9">
      <c r="A39" s="379">
        <f t="shared" si="2"/>
        <v>27</v>
      </c>
      <c r="B39" s="1191">
        <v>362</v>
      </c>
      <c r="C39" s="98">
        <v>2727819402</v>
      </c>
      <c r="D39" s="1192" t="s">
        <v>841</v>
      </c>
      <c r="E39" s="98">
        <v>0</v>
      </c>
      <c r="F39" s="99">
        <f>E39/C39</f>
        <v>0</v>
      </c>
      <c r="G39" s="768"/>
      <c r="H39" s="298"/>
      <c r="I39" s="768"/>
    </row>
    <row r="40" spans="1:9">
      <c r="A40" s="379">
        <f t="shared" si="2"/>
        <v>28</v>
      </c>
      <c r="B40" s="105" t="s">
        <v>842</v>
      </c>
      <c r="C40" s="1194">
        <f>SUM(C38:C39)</f>
        <v>3424321664</v>
      </c>
      <c r="D40" s="302" t="str">
        <f>"L "&amp;A38&amp;" + L "&amp;A39&amp;""</f>
        <v>L 26 + L 27</v>
      </c>
      <c r="E40" s="1194">
        <f>SUM(E38:E39)</f>
        <v>0</v>
      </c>
      <c r="F40" s="1193">
        <f>E40/C40</f>
        <v>0</v>
      </c>
      <c r="G40" s="10"/>
      <c r="H40" s="768"/>
      <c r="I40" s="768"/>
    </row>
    <row r="41" spans="1:9">
      <c r="A41" s="379">
        <f t="shared" si="2"/>
        <v>29</v>
      </c>
      <c r="B41" s="1202"/>
      <c r="C41" s="87"/>
      <c r="D41" s="1194"/>
      <c r="E41" s="1194"/>
      <c r="F41" s="1193"/>
      <c r="G41" s="768"/>
      <c r="H41" s="768"/>
      <c r="I41" s="768"/>
    </row>
    <row r="42" spans="1:9">
      <c r="A42" s="379">
        <f t="shared" si="2"/>
        <v>30</v>
      </c>
      <c r="B42" s="106" t="s">
        <v>843</v>
      </c>
      <c r="C42" s="100">
        <f>C36+C40</f>
        <v>3550349861</v>
      </c>
      <c r="D42" s="302" t="str">
        <f>"L "&amp;A36&amp;" + L "&amp;A40&amp;""</f>
        <v>L 24 + L 28</v>
      </c>
      <c r="E42" s="100">
        <f>E36+E40</f>
        <v>0</v>
      </c>
      <c r="F42" s="101">
        <f>E42/C42</f>
        <v>0</v>
      </c>
      <c r="G42" s="298" t="s">
        <v>170</v>
      </c>
      <c r="H42" s="300"/>
      <c r="I42" s="768"/>
    </row>
    <row r="43" spans="1:9">
      <c r="A43" s="379"/>
      <c r="B43" s="84"/>
      <c r="C43" s="85"/>
      <c r="D43" s="85"/>
      <c r="E43" s="85"/>
      <c r="F43" s="86"/>
      <c r="G43" s="768"/>
      <c r="H43" s="977"/>
      <c r="I43" s="298"/>
    </row>
    <row r="44" spans="1:9">
      <c r="A44" s="1109"/>
      <c r="E44" s="81"/>
      <c r="G44" s="768"/>
      <c r="H44" s="768"/>
      <c r="I44" s="768"/>
    </row>
    <row r="45" spans="1:9">
      <c r="A45" s="51" t="s">
        <v>226</v>
      </c>
      <c r="G45" s="768"/>
      <c r="H45" s="768"/>
      <c r="I45" s="768"/>
    </row>
    <row r="46" spans="1:9">
      <c r="A46" s="302" t="s">
        <v>844</v>
      </c>
      <c r="E46" s="81"/>
      <c r="G46" s="768"/>
      <c r="H46" s="768"/>
      <c r="I46" s="768"/>
    </row>
    <row r="47" spans="1:9">
      <c r="A47" s="302" t="s">
        <v>845</v>
      </c>
      <c r="G47" s="768"/>
      <c r="H47" s="768"/>
      <c r="I47" s="768"/>
    </row>
    <row r="48" spans="1:9">
      <c r="A48" s="302" t="s">
        <v>846</v>
      </c>
      <c r="C48" s="81"/>
      <c r="D48" s="81"/>
      <c r="G48" s="768"/>
      <c r="H48" s="768"/>
      <c r="I48" s="768"/>
    </row>
    <row r="49" spans="1:4">
      <c r="A49" s="302" t="s">
        <v>847</v>
      </c>
      <c r="C49" s="82"/>
      <c r="D49" s="82"/>
    </row>
    <row r="50" spans="1:4">
      <c r="A50" s="1109"/>
      <c r="C50" s="81"/>
      <c r="D50" s="81"/>
    </row>
    <row r="51" spans="1:4">
      <c r="A51" s="51" t="s">
        <v>408</v>
      </c>
    </row>
    <row r="52" spans="1:4">
      <c r="A52" s="302" t="s">
        <v>848</v>
      </c>
    </row>
    <row r="53" spans="1:4">
      <c r="A53" s="302" t="s">
        <v>849</v>
      </c>
    </row>
    <row r="54" spans="1:4">
      <c r="A54" s="302" t="s">
        <v>850</v>
      </c>
    </row>
  </sheetData>
  <pageMargins left="0.7" right="0.7" top="0.75" bottom="0.75" header="0.3" footer="0.3"/>
  <pageSetup scale="90" orientation="portrait" cellComments="asDisplayed" r:id="rId1"/>
  <headerFooter>
    <oddHeader>&amp;CSchedule 7
Transmission Plant Study Summary
&amp;RTO2020 Draft Annual Update 
Attachment1</oddHeader>
    <oddFooter>&amp;R7-PlantStudy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54"/>
  <sheetViews>
    <sheetView zoomScaleNormal="100" workbookViewId="0"/>
  </sheetViews>
  <sheetFormatPr defaultColWidth="8.85546875" defaultRowHeight="12.75"/>
  <cols>
    <col min="1" max="1" width="4.7109375" style="768" customWidth="1"/>
    <col min="2" max="2" width="7.7109375" style="768" customWidth="1"/>
    <col min="3" max="3" width="10.7109375" style="768" customWidth="1"/>
    <col min="4" max="4" width="13.7109375" style="768" customWidth="1"/>
    <col min="5" max="6" width="14.7109375" style="768" customWidth="1"/>
    <col min="7" max="10" width="13.7109375" style="768" customWidth="1"/>
    <col min="11" max="12" width="11.7109375" style="768" customWidth="1"/>
    <col min="13" max="13" width="13.7109375" style="768" customWidth="1"/>
    <col min="14" max="14" width="14.7109375" style="768" customWidth="1"/>
    <col min="15" max="15" width="13.7109375" style="10" customWidth="1"/>
    <col min="16" max="23" width="8.85546875" style="10"/>
    <col min="24" max="16384" width="8.85546875" style="768"/>
  </cols>
  <sheetData>
    <row r="1" spans="1:18">
      <c r="A1" s="1" t="s">
        <v>116</v>
      </c>
      <c r="B1" s="1"/>
      <c r="C1" s="133"/>
      <c r="D1" s="133"/>
      <c r="E1" s="133"/>
      <c r="F1" s="133"/>
      <c r="G1" s="133"/>
      <c r="H1" s="133"/>
      <c r="I1" s="133"/>
      <c r="J1" s="333" t="s">
        <v>812</v>
      </c>
      <c r="K1" s="113"/>
      <c r="L1" s="133"/>
      <c r="M1" s="133"/>
      <c r="N1" s="133"/>
      <c r="O1" s="141"/>
      <c r="P1" s="141"/>
      <c r="Q1" s="141"/>
      <c r="R1" s="141"/>
    </row>
    <row r="2" spans="1:18">
      <c r="A2" s="133"/>
      <c r="B2" s="133"/>
      <c r="C2" s="133"/>
      <c r="D2" s="133"/>
      <c r="E2" s="133"/>
      <c r="F2" s="133"/>
      <c r="G2" s="133"/>
      <c r="H2" s="133"/>
      <c r="I2" s="133"/>
      <c r="L2" s="133"/>
      <c r="M2" s="133"/>
      <c r="N2" s="133"/>
      <c r="O2" s="141"/>
      <c r="P2" s="141"/>
      <c r="Q2" s="141"/>
      <c r="R2" s="141"/>
    </row>
    <row r="3" spans="1:18">
      <c r="A3" s="133"/>
      <c r="B3" s="1" t="s">
        <v>851</v>
      </c>
      <c r="C3" s="133"/>
      <c r="D3" s="133"/>
      <c r="E3" s="133"/>
      <c r="F3" s="133"/>
      <c r="G3" s="685" t="s">
        <v>579</v>
      </c>
      <c r="H3" s="769">
        <v>2018</v>
      </c>
      <c r="I3" s="133"/>
      <c r="J3" s="133"/>
      <c r="K3" s="133"/>
      <c r="L3" s="133"/>
      <c r="M3" s="133"/>
      <c r="N3" s="133"/>
      <c r="O3" s="141"/>
      <c r="P3" s="141"/>
      <c r="Q3" s="141"/>
      <c r="R3" s="141"/>
    </row>
    <row r="4" spans="1:18">
      <c r="A4" s="133"/>
      <c r="B4" s="133"/>
      <c r="C4" s="133"/>
      <c r="D4" s="133"/>
      <c r="E4" s="133"/>
      <c r="F4" s="133"/>
      <c r="G4" s="133"/>
      <c r="H4" s="133"/>
      <c r="I4" s="133"/>
      <c r="J4" s="133"/>
      <c r="K4" s="133"/>
      <c r="L4" s="133"/>
      <c r="M4" s="133"/>
      <c r="N4" s="133"/>
      <c r="O4" s="141"/>
      <c r="P4" s="141"/>
      <c r="Q4" s="141"/>
      <c r="R4" s="141"/>
    </row>
    <row r="5" spans="1:18">
      <c r="A5" s="133"/>
      <c r="B5" s="133"/>
      <c r="C5" s="298" t="s">
        <v>852</v>
      </c>
      <c r="D5" s="133"/>
      <c r="E5" s="133"/>
      <c r="F5" s="133"/>
      <c r="G5" s="133"/>
      <c r="H5" s="133"/>
      <c r="I5" s="133"/>
      <c r="J5" s="298"/>
      <c r="K5" s="133"/>
      <c r="L5" s="133"/>
      <c r="M5" s="133"/>
      <c r="N5" s="133"/>
      <c r="O5" s="141"/>
      <c r="P5" s="141"/>
      <c r="Q5" s="141"/>
      <c r="R5" s="141"/>
    </row>
    <row r="6" spans="1:18">
      <c r="A6" s="133"/>
      <c r="B6" s="133"/>
      <c r="C6" s="133"/>
      <c r="D6" s="133"/>
      <c r="E6" s="133"/>
      <c r="F6" s="133"/>
      <c r="G6" s="133"/>
      <c r="H6" s="133"/>
      <c r="I6" s="133"/>
      <c r="J6" s="133"/>
      <c r="K6" s="133"/>
      <c r="L6" s="133"/>
      <c r="M6" s="133"/>
      <c r="N6" s="133"/>
      <c r="O6" s="141"/>
      <c r="P6" s="141"/>
      <c r="Q6" s="141"/>
      <c r="R6" s="141"/>
    </row>
    <row r="7" spans="1:18">
      <c r="A7" s="133"/>
      <c r="B7" s="133"/>
      <c r="C7" s="52" t="s">
        <v>307</v>
      </c>
      <c r="D7" s="52" t="s">
        <v>308</v>
      </c>
      <c r="E7" s="52" t="s">
        <v>309</v>
      </c>
      <c r="F7" s="52" t="s">
        <v>310</v>
      </c>
      <c r="G7" s="52" t="s">
        <v>311</v>
      </c>
      <c r="H7" s="52" t="s">
        <v>312</v>
      </c>
      <c r="I7" s="52" t="s">
        <v>313</v>
      </c>
      <c r="J7" s="52" t="s">
        <v>314</v>
      </c>
      <c r="K7" s="52" t="s">
        <v>315</v>
      </c>
      <c r="L7" s="52" t="s">
        <v>534</v>
      </c>
      <c r="M7" s="52" t="s">
        <v>535</v>
      </c>
      <c r="N7" s="52" t="s">
        <v>536</v>
      </c>
      <c r="O7" s="141"/>
      <c r="P7" s="141"/>
      <c r="Q7" s="141"/>
      <c r="R7" s="141"/>
    </row>
    <row r="8" spans="1:18">
      <c r="A8" s="133"/>
      <c r="B8" s="133"/>
      <c r="C8" s="149"/>
      <c r="D8" s="133"/>
      <c r="E8" s="133"/>
      <c r="F8" s="133"/>
      <c r="G8" s="133"/>
      <c r="H8" s="133"/>
      <c r="I8" s="133"/>
      <c r="J8" s="133"/>
      <c r="K8" s="133"/>
      <c r="L8" s="133"/>
      <c r="M8" s="133"/>
      <c r="N8" s="287" t="s">
        <v>853</v>
      </c>
      <c r="O8" s="141"/>
      <c r="P8" s="141"/>
      <c r="Q8" s="141"/>
      <c r="R8" s="141"/>
    </row>
    <row r="9" spans="1:18">
      <c r="A9" s="133"/>
      <c r="B9" s="133"/>
      <c r="C9" s="279"/>
      <c r="D9" s="334" t="s">
        <v>854</v>
      </c>
      <c r="E9" s="133"/>
      <c r="F9" s="133"/>
      <c r="G9" s="133"/>
      <c r="H9" s="133"/>
      <c r="I9" s="133"/>
      <c r="J9" s="133"/>
      <c r="K9" s="133"/>
      <c r="L9" s="133"/>
      <c r="M9" s="133"/>
      <c r="N9" s="133"/>
      <c r="O9" s="141"/>
      <c r="P9" s="141"/>
      <c r="Q9" s="141"/>
      <c r="R9" s="141"/>
    </row>
    <row r="10" spans="1:18">
      <c r="A10" s="133"/>
      <c r="B10" s="133"/>
      <c r="C10" s="64"/>
      <c r="D10" s="334" t="s">
        <v>855</v>
      </c>
      <c r="E10" s="133"/>
      <c r="F10" s="133"/>
      <c r="G10" s="133"/>
      <c r="H10" s="133"/>
      <c r="I10" s="133"/>
      <c r="J10" s="133"/>
      <c r="K10" s="133"/>
      <c r="L10" s="133"/>
      <c r="M10" s="133"/>
      <c r="N10" s="133"/>
      <c r="O10" s="141"/>
      <c r="P10" s="141"/>
      <c r="Q10" s="141"/>
      <c r="R10" s="141"/>
    </row>
    <row r="11" spans="1:18" ht="12.75" customHeight="1">
      <c r="A11" s="28" t="s">
        <v>243</v>
      </c>
      <c r="B11" s="28"/>
      <c r="C11" s="74" t="s">
        <v>742</v>
      </c>
      <c r="D11" s="52">
        <v>350.1</v>
      </c>
      <c r="E11" s="52">
        <v>350.2</v>
      </c>
      <c r="F11" s="52">
        <v>352</v>
      </c>
      <c r="G11" s="52">
        <v>353</v>
      </c>
      <c r="H11" s="52">
        <v>354</v>
      </c>
      <c r="I11" s="52">
        <v>355</v>
      </c>
      <c r="J11" s="52">
        <v>356</v>
      </c>
      <c r="K11" s="52">
        <v>357</v>
      </c>
      <c r="L11" s="52">
        <v>358</v>
      </c>
      <c r="M11" s="52">
        <v>359</v>
      </c>
      <c r="N11" s="2" t="s">
        <v>388</v>
      </c>
      <c r="O11" s="141"/>
      <c r="P11" s="141"/>
      <c r="Q11" s="141"/>
      <c r="R11" s="141"/>
    </row>
    <row r="12" spans="1:18" ht="12.75" customHeight="1">
      <c r="A12" s="379">
        <v>1</v>
      </c>
      <c r="B12" s="379"/>
      <c r="C12" s="744" t="s">
        <v>743</v>
      </c>
      <c r="D12" s="325">
        <v>0</v>
      </c>
      <c r="E12" s="325">
        <v>20570771.263630729</v>
      </c>
      <c r="F12" s="325">
        <v>90912859.774352491</v>
      </c>
      <c r="G12" s="325">
        <v>521029731.1982764</v>
      </c>
      <c r="H12" s="325">
        <v>508793022.97525769</v>
      </c>
      <c r="I12" s="325">
        <v>46422545.596403174</v>
      </c>
      <c r="J12" s="325">
        <v>417546824.55132443</v>
      </c>
      <c r="K12" s="325">
        <v>3830318.0792135773</v>
      </c>
      <c r="L12" s="325">
        <v>6981972.4030607948</v>
      </c>
      <c r="M12" s="325">
        <v>17589054.15759493</v>
      </c>
      <c r="N12" s="135">
        <f t="shared" ref="N12:N25" si="0">SUM(D12:M12)</f>
        <v>1633677099.9991143</v>
      </c>
      <c r="O12" s="141"/>
      <c r="P12" s="141"/>
      <c r="Q12" s="141"/>
      <c r="R12" s="141"/>
    </row>
    <row r="13" spans="1:18" ht="12.75" customHeight="1">
      <c r="A13" s="379">
        <f>A12+1</f>
        <v>2</v>
      </c>
      <c r="B13" s="379"/>
      <c r="C13" s="529" t="s">
        <v>744</v>
      </c>
      <c r="D13" s="137">
        <f>D12+D70+D119</f>
        <v>0</v>
      </c>
      <c r="E13" s="137">
        <f>E12+E70+E119</f>
        <v>20798948.357584048</v>
      </c>
      <c r="F13" s="137">
        <f t="shared" ref="F13:M23" si="1">F12+F70+F119</f>
        <v>92087265.64115195</v>
      </c>
      <c r="G13" s="137">
        <f t="shared" si="1"/>
        <v>525370266.1794576</v>
      </c>
      <c r="H13" s="137">
        <f t="shared" si="1"/>
        <v>512777395.56798768</v>
      </c>
      <c r="I13" s="137">
        <f t="shared" si="1"/>
        <v>46989466.15952915</v>
      </c>
      <c r="J13" s="137">
        <f t="shared" si="1"/>
        <v>415601744.39050335</v>
      </c>
      <c r="K13" s="137">
        <f t="shared" si="1"/>
        <v>4060599.361216418</v>
      </c>
      <c r="L13" s="137">
        <f t="shared" si="1"/>
        <v>7583355.5603807652</v>
      </c>
      <c r="M13" s="137">
        <f t="shared" si="1"/>
        <v>17817711.290401541</v>
      </c>
      <c r="N13" s="135">
        <f t="shared" si="0"/>
        <v>1643086752.5082123</v>
      </c>
      <c r="O13" s="141"/>
      <c r="P13" s="141"/>
      <c r="Q13" s="141"/>
      <c r="R13" s="141"/>
    </row>
    <row r="14" spans="1:18" ht="12.75" customHeight="1">
      <c r="A14" s="379">
        <f t="shared" ref="A14:A25" si="2">A13+1</f>
        <v>3</v>
      </c>
      <c r="B14" s="379"/>
      <c r="C14" s="528" t="s">
        <v>745</v>
      </c>
      <c r="D14" s="137">
        <f t="shared" ref="D14:E23" si="3">D13+D71+D120</f>
        <v>0</v>
      </c>
      <c r="E14" s="137">
        <f t="shared" si="3"/>
        <v>21026258.892974608</v>
      </c>
      <c r="F14" s="137">
        <f t="shared" si="1"/>
        <v>93268362.718418941</v>
      </c>
      <c r="G14" s="137">
        <f t="shared" si="1"/>
        <v>524732155.20147789</v>
      </c>
      <c r="H14" s="137">
        <f t="shared" si="1"/>
        <v>523499858.23810905</v>
      </c>
      <c r="I14" s="137">
        <f t="shared" si="1"/>
        <v>47544015.935694247</v>
      </c>
      <c r="J14" s="137">
        <f t="shared" si="1"/>
        <v>418836043.57210404</v>
      </c>
      <c r="K14" s="137">
        <f t="shared" si="1"/>
        <v>4334840.4492904628</v>
      </c>
      <c r="L14" s="137">
        <f t="shared" si="1"/>
        <v>7760131.4505145364</v>
      </c>
      <c r="M14" s="137">
        <f t="shared" si="1"/>
        <v>18054406.700668652</v>
      </c>
      <c r="N14" s="135">
        <f t="shared" si="0"/>
        <v>1659056073.1592524</v>
      </c>
      <c r="O14" s="141"/>
      <c r="P14" s="141"/>
      <c r="Q14" s="141"/>
      <c r="R14" s="141"/>
    </row>
    <row r="15" spans="1:18" ht="12.75" customHeight="1">
      <c r="A15" s="379">
        <f t="shared" si="2"/>
        <v>4</v>
      </c>
      <c r="B15" s="379"/>
      <c r="C15" s="528" t="s">
        <v>746</v>
      </c>
      <c r="D15" s="137">
        <f t="shared" si="3"/>
        <v>0</v>
      </c>
      <c r="E15" s="137">
        <f t="shared" si="3"/>
        <v>21251760.027610261</v>
      </c>
      <c r="F15" s="137">
        <f t="shared" si="1"/>
        <v>94464769.028335169</v>
      </c>
      <c r="G15" s="137">
        <f t="shared" si="1"/>
        <v>521018652.1528706</v>
      </c>
      <c r="H15" s="137">
        <f t="shared" si="1"/>
        <v>537947952.4162792</v>
      </c>
      <c r="I15" s="137">
        <f t="shared" si="1"/>
        <v>47448245.881636217</v>
      </c>
      <c r="J15" s="137">
        <f t="shared" si="1"/>
        <v>420551238.87728453</v>
      </c>
      <c r="K15" s="137">
        <f t="shared" si="1"/>
        <v>4597391.2646804042</v>
      </c>
      <c r="L15" s="137">
        <f t="shared" si="1"/>
        <v>7953720.5500848424</v>
      </c>
      <c r="M15" s="137">
        <f t="shared" si="1"/>
        <v>18291312.799813639</v>
      </c>
      <c r="N15" s="135">
        <f t="shared" si="0"/>
        <v>1673525042.998595</v>
      </c>
      <c r="O15" s="141"/>
      <c r="P15" s="141"/>
      <c r="Q15" s="141"/>
      <c r="R15" s="141"/>
    </row>
    <row r="16" spans="1:18" ht="12.75" customHeight="1">
      <c r="A16" s="379">
        <f t="shared" si="2"/>
        <v>5</v>
      </c>
      <c r="B16" s="379"/>
      <c r="C16" s="529" t="s">
        <v>747</v>
      </c>
      <c r="D16" s="137">
        <f t="shared" si="3"/>
        <v>0</v>
      </c>
      <c r="E16" s="137">
        <f t="shared" si="3"/>
        <v>21481557.021162953</v>
      </c>
      <c r="F16" s="137">
        <f t="shared" si="1"/>
        <v>95660423.197237343</v>
      </c>
      <c r="G16" s="137">
        <f t="shared" si="1"/>
        <v>522236018.47616041</v>
      </c>
      <c r="H16" s="137">
        <f t="shared" si="1"/>
        <v>540169720.95180631</v>
      </c>
      <c r="I16" s="137">
        <f t="shared" si="1"/>
        <v>47882838.593515895</v>
      </c>
      <c r="J16" s="137">
        <f t="shared" si="1"/>
        <v>424162350.08783495</v>
      </c>
      <c r="K16" s="137">
        <f t="shared" si="1"/>
        <v>4758305.8527046395</v>
      </c>
      <c r="L16" s="137">
        <f t="shared" si="1"/>
        <v>8267961.8196000429</v>
      </c>
      <c r="M16" s="137">
        <f t="shared" si="1"/>
        <v>18546170.731253676</v>
      </c>
      <c r="N16" s="135">
        <f t="shared" si="0"/>
        <v>1683165346.731276</v>
      </c>
      <c r="O16" s="141"/>
      <c r="P16" s="141"/>
      <c r="Q16" s="141"/>
      <c r="R16" s="141"/>
    </row>
    <row r="17" spans="1:18" ht="12.75" customHeight="1">
      <c r="A17" s="379">
        <f t="shared" si="2"/>
        <v>6</v>
      </c>
      <c r="B17" s="379"/>
      <c r="C17" s="528" t="s">
        <v>748</v>
      </c>
      <c r="D17" s="137">
        <f t="shared" si="3"/>
        <v>0</v>
      </c>
      <c r="E17" s="137">
        <f t="shared" si="3"/>
        <v>21710229.042074822</v>
      </c>
      <c r="F17" s="137">
        <f t="shared" si="1"/>
        <v>96823203.295891687</v>
      </c>
      <c r="G17" s="137">
        <f t="shared" si="1"/>
        <v>526862414.21329367</v>
      </c>
      <c r="H17" s="137">
        <f t="shared" si="1"/>
        <v>543070824.59965086</v>
      </c>
      <c r="I17" s="137">
        <f t="shared" si="1"/>
        <v>48495251.471133031</v>
      </c>
      <c r="J17" s="137">
        <f t="shared" si="1"/>
        <v>426089384.68845278</v>
      </c>
      <c r="K17" s="137">
        <f t="shared" si="1"/>
        <v>5015087.7227271488</v>
      </c>
      <c r="L17" s="137">
        <f t="shared" si="1"/>
        <v>8558426.5446899105</v>
      </c>
      <c r="M17" s="137">
        <f t="shared" si="1"/>
        <v>18783444.647505552</v>
      </c>
      <c r="N17" s="135">
        <f t="shared" si="0"/>
        <v>1695408266.2254193</v>
      </c>
      <c r="O17" s="141"/>
      <c r="P17" s="141"/>
      <c r="Q17" s="141"/>
      <c r="R17" s="141"/>
    </row>
    <row r="18" spans="1:18" ht="12.75" customHeight="1">
      <c r="A18" s="379">
        <f t="shared" si="2"/>
        <v>7</v>
      </c>
      <c r="B18" s="379"/>
      <c r="C18" s="528" t="s">
        <v>749</v>
      </c>
      <c r="D18" s="137">
        <f t="shared" si="3"/>
        <v>0</v>
      </c>
      <c r="E18" s="137">
        <f t="shared" si="3"/>
        <v>21917209.176428776</v>
      </c>
      <c r="F18" s="137">
        <f t="shared" si="1"/>
        <v>98045482.685037836</v>
      </c>
      <c r="G18" s="137">
        <f t="shared" si="1"/>
        <v>529295710.78008103</v>
      </c>
      <c r="H18" s="137">
        <f t="shared" si="1"/>
        <v>547410494.17508221</v>
      </c>
      <c r="I18" s="137">
        <f t="shared" si="1"/>
        <v>49136859.340079762</v>
      </c>
      <c r="J18" s="137">
        <f t="shared" si="1"/>
        <v>429399923.96066284</v>
      </c>
      <c r="K18" s="137">
        <f t="shared" si="1"/>
        <v>5282155.8914532112</v>
      </c>
      <c r="L18" s="137">
        <f t="shared" si="1"/>
        <v>8938444.7727935575</v>
      </c>
      <c r="M18" s="137">
        <f t="shared" si="1"/>
        <v>19020446.97134956</v>
      </c>
      <c r="N18" s="135">
        <f t="shared" si="0"/>
        <v>1708446727.7529688</v>
      </c>
      <c r="O18" s="141"/>
      <c r="P18" s="141"/>
      <c r="Q18" s="141"/>
      <c r="R18" s="141"/>
    </row>
    <row r="19" spans="1:18" ht="12.75" customHeight="1">
      <c r="A19" s="379">
        <f t="shared" si="2"/>
        <v>8</v>
      </c>
      <c r="B19" s="379"/>
      <c r="C19" s="529" t="s">
        <v>750</v>
      </c>
      <c r="D19" s="137">
        <f t="shared" si="3"/>
        <v>0</v>
      </c>
      <c r="E19" s="137">
        <f t="shared" si="3"/>
        <v>22145789.201868083</v>
      </c>
      <c r="F19" s="137">
        <f t="shared" si="1"/>
        <v>99259206.545258373</v>
      </c>
      <c r="G19" s="137">
        <f t="shared" si="1"/>
        <v>533126433.82818729</v>
      </c>
      <c r="H19" s="137">
        <f t="shared" si="1"/>
        <v>551911881.24538291</v>
      </c>
      <c r="I19" s="137">
        <f t="shared" si="1"/>
        <v>49872503.365818128</v>
      </c>
      <c r="J19" s="137">
        <f t="shared" si="1"/>
        <v>432433453.2442081</v>
      </c>
      <c r="K19" s="137">
        <f t="shared" si="1"/>
        <v>5554206.8486308549</v>
      </c>
      <c r="L19" s="137">
        <f t="shared" si="1"/>
        <v>9143372.9610209838</v>
      </c>
      <c r="M19" s="137">
        <f t="shared" si="1"/>
        <v>19257981.336192388</v>
      </c>
      <c r="N19" s="135">
        <f t="shared" si="0"/>
        <v>1722704828.5765672</v>
      </c>
      <c r="O19" s="141"/>
      <c r="P19" s="141"/>
      <c r="Q19" s="141"/>
      <c r="R19" s="141"/>
    </row>
    <row r="20" spans="1:18" ht="12.75" customHeight="1">
      <c r="A20" s="379">
        <f t="shared" si="2"/>
        <v>9</v>
      </c>
      <c r="B20" s="379"/>
      <c r="C20" s="528" t="s">
        <v>751</v>
      </c>
      <c r="D20" s="137">
        <f t="shared" si="3"/>
        <v>0</v>
      </c>
      <c r="E20" s="137">
        <f t="shared" si="3"/>
        <v>22374791.860245261</v>
      </c>
      <c r="F20" s="137">
        <f t="shared" si="1"/>
        <v>100429256.29370427</v>
      </c>
      <c r="G20" s="137">
        <f t="shared" si="1"/>
        <v>538763635.09892952</v>
      </c>
      <c r="H20" s="137">
        <f t="shared" si="1"/>
        <v>524443769.30352896</v>
      </c>
      <c r="I20" s="137">
        <f t="shared" si="1"/>
        <v>47343602.781194367</v>
      </c>
      <c r="J20" s="137">
        <f t="shared" si="1"/>
        <v>430781746.28782558</v>
      </c>
      <c r="K20" s="137">
        <f t="shared" si="1"/>
        <v>5825027.3966331473</v>
      </c>
      <c r="L20" s="137">
        <f t="shared" si="1"/>
        <v>9351579.9083236903</v>
      </c>
      <c r="M20" s="137">
        <f t="shared" si="1"/>
        <v>19483743.94297291</v>
      </c>
      <c r="N20" s="135">
        <f t="shared" si="0"/>
        <v>1698797152.8733578</v>
      </c>
      <c r="O20" s="141"/>
      <c r="P20" s="141"/>
      <c r="Q20" s="141"/>
      <c r="R20" s="141"/>
    </row>
    <row r="21" spans="1:18" ht="12.75" customHeight="1">
      <c r="A21" s="379">
        <f t="shared" si="2"/>
        <v>10</v>
      </c>
      <c r="B21" s="379"/>
      <c r="C21" s="528" t="s">
        <v>752</v>
      </c>
      <c r="D21" s="137">
        <f t="shared" si="3"/>
        <v>0</v>
      </c>
      <c r="E21" s="137">
        <f t="shared" si="3"/>
        <v>22605563.466946919</v>
      </c>
      <c r="F21" s="137">
        <f t="shared" si="1"/>
        <v>101708598.00033998</v>
      </c>
      <c r="G21" s="137">
        <f t="shared" si="1"/>
        <v>545689351.46154332</v>
      </c>
      <c r="H21" s="137">
        <f t="shared" si="1"/>
        <v>519985268.35505038</v>
      </c>
      <c r="I21" s="137">
        <f t="shared" si="1"/>
        <v>47726065.932750553</v>
      </c>
      <c r="J21" s="137">
        <f t="shared" si="1"/>
        <v>433738781.87740016</v>
      </c>
      <c r="K21" s="137">
        <f t="shared" si="1"/>
        <v>6057133.7295420114</v>
      </c>
      <c r="L21" s="137">
        <f t="shared" si="1"/>
        <v>9804564.4286345039</v>
      </c>
      <c r="M21" s="137">
        <f t="shared" si="1"/>
        <v>19719421.027298752</v>
      </c>
      <c r="N21" s="135">
        <f t="shared" si="0"/>
        <v>1707034748.2795064</v>
      </c>
      <c r="O21" s="141"/>
      <c r="P21" s="141"/>
      <c r="Q21" s="141"/>
      <c r="R21" s="141"/>
    </row>
    <row r="22" spans="1:18" ht="12.75" customHeight="1">
      <c r="A22" s="379">
        <f t="shared" si="2"/>
        <v>11</v>
      </c>
      <c r="B22" s="379"/>
      <c r="C22" s="529" t="s">
        <v>753</v>
      </c>
      <c r="D22" s="137">
        <f t="shared" si="3"/>
        <v>0</v>
      </c>
      <c r="E22" s="137">
        <f t="shared" si="3"/>
        <v>22834051.270832509</v>
      </c>
      <c r="F22" s="137">
        <f t="shared" si="1"/>
        <v>102959017.66331917</v>
      </c>
      <c r="G22" s="137">
        <f t="shared" si="1"/>
        <v>560132285.57611835</v>
      </c>
      <c r="H22" s="137">
        <f t="shared" si="1"/>
        <v>530173809.96465909</v>
      </c>
      <c r="I22" s="137">
        <f t="shared" si="1"/>
        <v>48159874.644305184</v>
      </c>
      <c r="J22" s="137">
        <f t="shared" si="1"/>
        <v>436487947.32735687</v>
      </c>
      <c r="K22" s="137">
        <f t="shared" si="1"/>
        <v>6351683.0286725527</v>
      </c>
      <c r="L22" s="137">
        <f t="shared" si="1"/>
        <v>10062798.002146982</v>
      </c>
      <c r="M22" s="137">
        <f t="shared" si="1"/>
        <v>19846017.628611118</v>
      </c>
      <c r="N22" s="135">
        <f t="shared" si="0"/>
        <v>1737007485.1060216</v>
      </c>
      <c r="O22" s="141"/>
      <c r="P22" s="141"/>
      <c r="Q22" s="141"/>
      <c r="R22" s="141"/>
    </row>
    <row r="23" spans="1:18" ht="12.75" customHeight="1">
      <c r="A23" s="379">
        <f t="shared" si="2"/>
        <v>12</v>
      </c>
      <c r="B23" s="379"/>
      <c r="C23" s="529" t="s">
        <v>754</v>
      </c>
      <c r="D23" s="137">
        <f t="shared" si="3"/>
        <v>0</v>
      </c>
      <c r="E23" s="137">
        <f t="shared" si="3"/>
        <v>23059137.448664624</v>
      </c>
      <c r="F23" s="137">
        <f t="shared" si="1"/>
        <v>104207094.88378817</v>
      </c>
      <c r="G23" s="137">
        <f t="shared" si="1"/>
        <v>559685514.63255525</v>
      </c>
      <c r="H23" s="137">
        <f t="shared" si="1"/>
        <v>534529316.70717734</v>
      </c>
      <c r="I23" s="137">
        <f t="shared" si="1"/>
        <v>48745928.870742321</v>
      </c>
      <c r="J23" s="137">
        <f t="shared" si="1"/>
        <v>439775893.14510626</v>
      </c>
      <c r="K23" s="137">
        <f t="shared" si="1"/>
        <v>6556753.9332150435</v>
      </c>
      <c r="L23" s="137">
        <f t="shared" si="1"/>
        <v>10910004.840011002</v>
      </c>
      <c r="M23" s="137">
        <f t="shared" si="1"/>
        <v>20072490.889248732</v>
      </c>
      <c r="N23" s="135">
        <f t="shared" si="0"/>
        <v>1747542135.3505092</v>
      </c>
      <c r="O23" s="141"/>
      <c r="P23" s="141"/>
      <c r="Q23" s="141"/>
      <c r="R23" s="141"/>
    </row>
    <row r="24" spans="1:18">
      <c r="A24" s="379">
        <f t="shared" si="2"/>
        <v>13</v>
      </c>
      <c r="B24" s="379"/>
      <c r="C24" s="528" t="s">
        <v>755</v>
      </c>
      <c r="D24" s="68">
        <v>0</v>
      </c>
      <c r="E24" s="68">
        <v>23285718.871868949</v>
      </c>
      <c r="F24" s="68">
        <v>105746315.80267715</v>
      </c>
      <c r="G24" s="68">
        <v>558039637.55097854</v>
      </c>
      <c r="H24" s="68">
        <v>542790390.85300505</v>
      </c>
      <c r="I24" s="68">
        <v>49370280.440375119</v>
      </c>
      <c r="J24" s="68">
        <v>437221587.31308496</v>
      </c>
      <c r="K24" s="68">
        <v>6809024.0482156798</v>
      </c>
      <c r="L24" s="68">
        <v>11173141.017508255</v>
      </c>
      <c r="M24" s="68">
        <v>20303393.816705655</v>
      </c>
      <c r="N24" s="206">
        <f t="shared" si="0"/>
        <v>1754739489.7144194</v>
      </c>
      <c r="O24" s="141"/>
      <c r="P24" s="141"/>
      <c r="Q24" s="141"/>
      <c r="R24" s="141"/>
    </row>
    <row r="25" spans="1:18">
      <c r="A25" s="379">
        <f t="shared" si="2"/>
        <v>14</v>
      </c>
      <c r="B25" s="133"/>
      <c r="C25" s="861" t="s">
        <v>756</v>
      </c>
      <c r="D25" s="135">
        <f t="shared" ref="D25:M25" si="4">AVERAGE(D12:D24)</f>
        <v>0</v>
      </c>
      <c r="E25" s="135">
        <f t="shared" si="4"/>
        <v>21927829.684760965</v>
      </c>
      <c r="F25" s="135">
        <f t="shared" si="4"/>
        <v>98120911.963808641</v>
      </c>
      <c r="G25" s="135">
        <f t="shared" si="4"/>
        <v>535844754.33460999</v>
      </c>
      <c r="H25" s="135">
        <f t="shared" si="4"/>
        <v>532115669.64253658</v>
      </c>
      <c r="I25" s="135">
        <f t="shared" si="4"/>
        <v>48087498.385629013</v>
      </c>
      <c r="J25" s="135">
        <f t="shared" si="4"/>
        <v>427894378.409473</v>
      </c>
      <c r="K25" s="135">
        <f t="shared" si="4"/>
        <v>5310194.4312457805</v>
      </c>
      <c r="L25" s="135">
        <f t="shared" si="4"/>
        <v>8960728.7891361434</v>
      </c>
      <c r="M25" s="135">
        <f t="shared" si="4"/>
        <v>18983507.379970547</v>
      </c>
      <c r="N25" s="135">
        <f t="shared" si="0"/>
        <v>1697245473.0211706</v>
      </c>
      <c r="O25" s="141"/>
      <c r="P25" s="141"/>
      <c r="Q25" s="141"/>
      <c r="R25" s="141"/>
    </row>
    <row r="26" spans="1:18">
      <c r="A26" s="133"/>
      <c r="B26" s="133"/>
      <c r="C26" s="133"/>
      <c r="D26" s="141"/>
      <c r="E26" s="141"/>
      <c r="F26" s="141"/>
      <c r="G26" s="141"/>
      <c r="H26" s="141"/>
      <c r="I26" s="141"/>
      <c r="J26" s="141"/>
      <c r="K26" s="141"/>
      <c r="L26" s="141"/>
      <c r="M26" s="141"/>
      <c r="N26" s="141"/>
      <c r="O26" s="141"/>
      <c r="P26" s="141"/>
      <c r="Q26" s="141"/>
      <c r="R26" s="141"/>
    </row>
    <row r="27" spans="1:18">
      <c r="A27" s="133"/>
      <c r="B27" s="227" t="s">
        <v>856</v>
      </c>
      <c r="C27" s="133"/>
      <c r="D27" s="133"/>
      <c r="E27" s="133"/>
      <c r="F27" s="133"/>
      <c r="G27" s="133"/>
      <c r="H27" s="133"/>
      <c r="I27" s="133"/>
      <c r="J27" s="133"/>
      <c r="K27" s="133"/>
      <c r="L27" s="133"/>
      <c r="M27" s="133"/>
      <c r="N27" s="133"/>
      <c r="O27" s="141"/>
      <c r="P27" s="141"/>
      <c r="Q27" s="141"/>
      <c r="R27" s="141"/>
    </row>
    <row r="28" spans="1:18">
      <c r="A28" s="133"/>
      <c r="B28" s="227"/>
      <c r="C28" s="133"/>
      <c r="D28" s="133"/>
      <c r="E28" s="133"/>
      <c r="F28" s="133"/>
      <c r="G28" s="133"/>
      <c r="H28" s="133"/>
      <c r="I28" s="133"/>
      <c r="J28" s="133"/>
      <c r="K28" s="133"/>
      <c r="L28" s="133"/>
      <c r="M28" s="133"/>
      <c r="N28" s="133"/>
      <c r="O28" s="141"/>
      <c r="P28" s="141"/>
      <c r="Q28" s="141"/>
      <c r="R28" s="141"/>
    </row>
    <row r="29" spans="1:18">
      <c r="A29" s="133"/>
      <c r="B29" s="133"/>
      <c r="C29" s="52" t="s">
        <v>307</v>
      </c>
      <c r="D29" s="52" t="s">
        <v>308</v>
      </c>
      <c r="E29" s="52" t="s">
        <v>309</v>
      </c>
      <c r="F29" s="52" t="s">
        <v>310</v>
      </c>
      <c r="G29" s="52" t="s">
        <v>311</v>
      </c>
      <c r="H29" s="133"/>
      <c r="I29" s="133"/>
      <c r="J29" s="133"/>
      <c r="K29" s="133"/>
      <c r="L29" s="133"/>
      <c r="M29" s="133"/>
      <c r="N29" s="133"/>
      <c r="O29" s="141"/>
      <c r="P29" s="141"/>
      <c r="Q29" s="141"/>
      <c r="R29" s="141"/>
    </row>
    <row r="30" spans="1:18">
      <c r="A30" s="133"/>
      <c r="B30" s="133"/>
      <c r="C30" s="133"/>
      <c r="D30" s="334" t="s">
        <v>854</v>
      </c>
      <c r="E30" s="133"/>
      <c r="F30" s="133"/>
      <c r="G30" s="287" t="s">
        <v>857</v>
      </c>
      <c r="H30" s="133"/>
      <c r="I30" s="133"/>
      <c r="J30" s="133"/>
      <c r="K30" s="133"/>
      <c r="L30" s="133"/>
      <c r="M30" s="133"/>
      <c r="N30" s="133"/>
      <c r="O30" s="335"/>
      <c r="P30" s="141"/>
      <c r="Q30" s="141"/>
      <c r="R30" s="141"/>
    </row>
    <row r="31" spans="1:18">
      <c r="A31" s="133"/>
      <c r="B31" s="133"/>
      <c r="C31" s="133"/>
      <c r="D31" s="334" t="s">
        <v>855</v>
      </c>
      <c r="E31" s="133"/>
      <c r="F31" s="133"/>
      <c r="G31" s="133"/>
      <c r="H31" s="133"/>
      <c r="I31" s="133"/>
      <c r="J31" s="133"/>
      <c r="K31" s="133"/>
      <c r="L31" s="133"/>
      <c r="M31" s="133"/>
      <c r="N31" s="133"/>
      <c r="O31" s="291"/>
      <c r="P31" s="141"/>
      <c r="Q31" s="141"/>
      <c r="R31" s="141"/>
    </row>
    <row r="32" spans="1:18">
      <c r="A32" s="133"/>
      <c r="B32" s="133"/>
      <c r="C32" s="74" t="s">
        <v>742</v>
      </c>
      <c r="D32" s="52">
        <v>360</v>
      </c>
      <c r="E32" s="52">
        <v>361</v>
      </c>
      <c r="F32" s="52">
        <v>362</v>
      </c>
      <c r="G32" s="2" t="s">
        <v>388</v>
      </c>
      <c r="H32" s="689" t="s">
        <v>98</v>
      </c>
      <c r="I32" s="141"/>
      <c r="J32" s="141"/>
      <c r="K32" s="133"/>
      <c r="L32" s="133"/>
      <c r="M32" s="133"/>
      <c r="N32" s="133"/>
      <c r="O32" s="291"/>
      <c r="P32" s="141"/>
      <c r="Q32" s="141"/>
      <c r="R32" s="141"/>
    </row>
    <row r="33" spans="1:18">
      <c r="A33" s="379">
        <f>A25+1</f>
        <v>15</v>
      </c>
      <c r="C33" s="528" t="s">
        <v>743</v>
      </c>
      <c r="D33" s="772">
        <v>0</v>
      </c>
      <c r="E33" s="772">
        <v>0</v>
      </c>
      <c r="F33" s="772">
        <v>0</v>
      </c>
      <c r="G33" s="135">
        <f>SUM(D33:F33)</f>
        <v>0</v>
      </c>
      <c r="H33" s="297" t="s">
        <v>858</v>
      </c>
      <c r="I33" s="141"/>
      <c r="J33" s="141"/>
      <c r="K33" s="133"/>
      <c r="L33" s="133"/>
      <c r="M33" s="133"/>
      <c r="N33" s="133"/>
      <c r="O33" s="291"/>
      <c r="P33" s="141"/>
      <c r="Q33" s="141"/>
      <c r="R33" s="141"/>
    </row>
    <row r="34" spans="1:18">
      <c r="A34" s="379">
        <v>16</v>
      </c>
      <c r="C34" s="528" t="s">
        <v>755</v>
      </c>
      <c r="D34" s="228">
        <v>0</v>
      </c>
      <c r="E34" s="228">
        <v>0</v>
      </c>
      <c r="F34" s="228">
        <v>0</v>
      </c>
      <c r="G34" s="206">
        <f>SUM(D34:F34)</f>
        <v>0</v>
      </c>
      <c r="H34" s="297" t="s">
        <v>859</v>
      </c>
      <c r="I34" s="141"/>
      <c r="J34" s="141"/>
      <c r="K34" s="133"/>
      <c r="L34" s="133"/>
      <c r="O34" s="291"/>
      <c r="P34" s="141"/>
      <c r="Q34" s="141"/>
      <c r="R34" s="141"/>
    </row>
    <row r="35" spans="1:18">
      <c r="A35" s="379">
        <f>A34+1</f>
        <v>17</v>
      </c>
      <c r="C35" s="134" t="s">
        <v>860</v>
      </c>
      <c r="D35" s="135">
        <f>AVERAGE(D33:D34)</f>
        <v>0</v>
      </c>
      <c r="E35" s="135">
        <f>AVERAGE(E33:E34)</f>
        <v>0</v>
      </c>
      <c r="F35" s="135">
        <f>AVERAGE(F33:F34)</f>
        <v>0</v>
      </c>
      <c r="G35" s="135">
        <f>AVERAGE(G33:G34)</f>
        <v>0</v>
      </c>
      <c r="H35" s="147" t="str">
        <f>"Average of Line "&amp;A33&amp;" and Line "&amp;A34&amp;""</f>
        <v>Average of Line 15 and Line 16</v>
      </c>
      <c r="I35" s="133"/>
      <c r="J35" s="141"/>
      <c r="K35" s="133"/>
      <c r="M35" s="439"/>
      <c r="N35" s="411"/>
      <c r="O35" s="291"/>
      <c r="P35" s="141"/>
      <c r="Q35" s="141"/>
      <c r="R35" s="141"/>
    </row>
    <row r="36" spans="1:18">
      <c r="C36" s="134"/>
      <c r="D36" s="10"/>
      <c r="E36" s="10"/>
      <c r="F36" s="10"/>
      <c r="G36" s="10"/>
      <c r="I36" s="133"/>
      <c r="J36" s="133"/>
      <c r="K36" s="133"/>
      <c r="M36" s="432"/>
      <c r="N36" s="872"/>
      <c r="O36" s="291"/>
      <c r="P36" s="141"/>
      <c r="Q36" s="141"/>
      <c r="R36" s="141"/>
    </row>
    <row r="37" spans="1:18">
      <c r="B37" s="227" t="s">
        <v>861</v>
      </c>
      <c r="I37" s="133"/>
      <c r="J37" s="133"/>
      <c r="K37" s="133"/>
      <c r="L37" s="133"/>
      <c r="M37" s="439"/>
      <c r="N37" s="872"/>
      <c r="O37" s="291"/>
      <c r="P37" s="141"/>
      <c r="Q37" s="141"/>
      <c r="R37" s="141"/>
    </row>
    <row r="38" spans="1:18" ht="15">
      <c r="B38" s="209"/>
      <c r="C38" s="200" t="s">
        <v>307</v>
      </c>
      <c r="D38" s="200" t="s">
        <v>308</v>
      </c>
      <c r="E38" s="200" t="s">
        <v>309</v>
      </c>
      <c r="F38" s="200" t="s">
        <v>310</v>
      </c>
      <c r="G38" s="200" t="s">
        <v>311</v>
      </c>
      <c r="J38" s="133"/>
      <c r="K38" s="136"/>
      <c r="L38" s="133"/>
      <c r="O38" s="141"/>
      <c r="P38" s="141"/>
      <c r="Q38" s="141"/>
      <c r="R38" s="141"/>
    </row>
    <row r="39" spans="1:18" ht="15">
      <c r="B39" s="209"/>
      <c r="C39" s="200"/>
      <c r="D39" s="200"/>
      <c r="E39" s="354" t="s">
        <v>862</v>
      </c>
      <c r="F39" s="200"/>
      <c r="G39" s="200"/>
      <c r="J39" s="133"/>
      <c r="K39" s="136"/>
      <c r="L39" s="133"/>
      <c r="O39" s="141"/>
      <c r="P39" s="141"/>
      <c r="Q39" s="141"/>
      <c r="R39" s="141"/>
    </row>
    <row r="40" spans="1:18">
      <c r="C40" s="10"/>
      <c r="D40" s="10"/>
      <c r="E40" s="279" t="s">
        <v>388</v>
      </c>
      <c r="F40" s="10"/>
      <c r="G40" s="10"/>
      <c r="J40" s="133"/>
      <c r="K40" s="136"/>
      <c r="L40" s="133"/>
      <c r="O40" s="141"/>
      <c r="P40" s="141"/>
      <c r="Q40" s="141"/>
      <c r="R40" s="141"/>
    </row>
    <row r="41" spans="1:18">
      <c r="B41" s="133"/>
      <c r="C41" s="10"/>
      <c r="D41" s="141"/>
      <c r="E41" s="279" t="s">
        <v>863</v>
      </c>
      <c r="F41" s="64" t="s">
        <v>768</v>
      </c>
      <c r="G41" s="64" t="s">
        <v>769</v>
      </c>
      <c r="J41" s="133"/>
      <c r="K41" s="136"/>
      <c r="L41" s="133"/>
      <c r="O41" s="141"/>
      <c r="P41" s="141"/>
      <c r="Q41" s="141"/>
      <c r="R41" s="141"/>
    </row>
    <row r="42" spans="1:18">
      <c r="B42" s="133"/>
      <c r="C42" s="10"/>
      <c r="D42" s="141"/>
      <c r="E42" s="279" t="s">
        <v>864</v>
      </c>
      <c r="F42" s="279" t="s">
        <v>864</v>
      </c>
      <c r="G42" s="279" t="s">
        <v>864</v>
      </c>
      <c r="J42" s="133"/>
      <c r="K42" s="136"/>
      <c r="L42" s="133"/>
      <c r="Q42" s="141"/>
      <c r="R42" s="141"/>
    </row>
    <row r="43" spans="1:18">
      <c r="B43" s="133"/>
      <c r="C43" s="74" t="s">
        <v>742</v>
      </c>
      <c r="D43" s="141"/>
      <c r="E43" s="280" t="s">
        <v>865</v>
      </c>
      <c r="F43" s="280" t="s">
        <v>865</v>
      </c>
      <c r="G43" s="280" t="s">
        <v>865</v>
      </c>
      <c r="H43" s="229" t="s">
        <v>763</v>
      </c>
      <c r="J43" s="133"/>
      <c r="K43" s="207"/>
      <c r="L43" s="133"/>
      <c r="O43" s="141"/>
      <c r="P43" s="141"/>
      <c r="Q43" s="141"/>
      <c r="R43" s="141"/>
    </row>
    <row r="44" spans="1:18">
      <c r="A44" s="379">
        <f>A35+1</f>
        <v>18</v>
      </c>
      <c r="B44" s="133"/>
      <c r="C44" s="744" t="s">
        <v>743</v>
      </c>
      <c r="D44" s="862" t="s">
        <v>866</v>
      </c>
      <c r="E44" s="137">
        <f>SUM(F44:G44)</f>
        <v>1736829507</v>
      </c>
      <c r="F44" s="772">
        <v>1094912964</v>
      </c>
      <c r="G44" s="398">
        <v>641916543</v>
      </c>
      <c r="H44" s="297" t="s">
        <v>867</v>
      </c>
      <c r="I44" s="10"/>
      <c r="J44" s="141"/>
      <c r="L44" s="133"/>
      <c r="O44" s="141"/>
      <c r="P44" s="141"/>
      <c r="Q44" s="141"/>
      <c r="R44" s="141"/>
    </row>
    <row r="45" spans="1:18">
      <c r="A45" s="379">
        <f>A44+1</f>
        <v>19</v>
      </c>
      <c r="B45" s="133"/>
      <c r="C45" s="528" t="s">
        <v>755</v>
      </c>
      <c r="D45" s="134" t="s">
        <v>868</v>
      </c>
      <c r="E45" s="286">
        <f>SUM(F45:G45)</f>
        <v>1612060674</v>
      </c>
      <c r="F45" s="772">
        <v>1060652423</v>
      </c>
      <c r="G45" s="398">
        <v>551408251</v>
      </c>
      <c r="H45" s="297" t="s">
        <v>869</v>
      </c>
      <c r="I45" s="10"/>
      <c r="J45" s="141"/>
      <c r="K45" s="884"/>
      <c r="L45" s="133"/>
      <c r="O45" s="141"/>
      <c r="P45" s="141"/>
      <c r="Q45" s="141"/>
      <c r="R45" s="141"/>
    </row>
    <row r="46" spans="1:18">
      <c r="A46" s="379">
        <f>A45+1</f>
        <v>20</v>
      </c>
      <c r="B46" s="133"/>
      <c r="D46" s="134" t="s">
        <v>860</v>
      </c>
      <c r="E46" s="135">
        <f>AVERAGE(E44:E45)</f>
        <v>1674445090.5</v>
      </c>
      <c r="H46" s="147" t="str">
        <f>"Average of Line "&amp;A44&amp;" and Line "&amp;A45&amp;""</f>
        <v>Average of Line 18 and Line 19</v>
      </c>
      <c r="J46" s="133"/>
      <c r="K46" s="884"/>
      <c r="L46" s="133"/>
      <c r="O46" s="141"/>
      <c r="P46" s="141"/>
      <c r="Q46" s="141"/>
      <c r="R46" s="141"/>
    </row>
    <row r="47" spans="1:18">
      <c r="E47" s="10"/>
      <c r="I47" s="133"/>
      <c r="J47" s="133"/>
      <c r="K47" s="133"/>
      <c r="L47" s="133"/>
      <c r="O47" s="141"/>
      <c r="P47" s="141"/>
      <c r="Q47" s="141"/>
      <c r="R47" s="141"/>
    </row>
    <row r="48" spans="1:18">
      <c r="B48" s="1" t="s">
        <v>870</v>
      </c>
      <c r="C48" s="444"/>
      <c r="D48" s="868"/>
      <c r="E48" s="133"/>
      <c r="F48" s="133"/>
      <c r="G48" s="133"/>
      <c r="H48" s="133"/>
      <c r="I48" s="133"/>
      <c r="J48" s="133"/>
      <c r="K48" s="133"/>
      <c r="L48" s="133"/>
      <c r="M48" s="133"/>
      <c r="N48" s="133"/>
      <c r="O48" s="141"/>
      <c r="P48" s="141"/>
      <c r="Q48" s="141"/>
      <c r="R48" s="141"/>
    </row>
    <row r="49" spans="1:18">
      <c r="B49" s="1"/>
      <c r="C49" s="444"/>
      <c r="D49" s="868"/>
      <c r="E49" s="133"/>
      <c r="F49" s="133"/>
      <c r="G49" s="133"/>
      <c r="H49" s="133"/>
      <c r="I49" s="133"/>
      <c r="J49" s="133"/>
      <c r="K49" s="133"/>
      <c r="L49" s="133"/>
      <c r="M49" s="133"/>
      <c r="N49" s="133"/>
      <c r="O49" s="141"/>
      <c r="P49" s="141"/>
      <c r="Q49" s="141"/>
      <c r="R49" s="141"/>
    </row>
    <row r="50" spans="1:18">
      <c r="B50" s="133"/>
      <c r="C50" s="1"/>
      <c r="D50" s="444"/>
      <c r="E50" s="868"/>
      <c r="F50" s="207" t="s">
        <v>79</v>
      </c>
      <c r="G50" s="229" t="s">
        <v>763</v>
      </c>
      <c r="H50" s="133"/>
      <c r="I50" s="133"/>
      <c r="J50" s="133"/>
      <c r="K50" s="133"/>
      <c r="L50" s="133"/>
      <c r="M50" s="133"/>
      <c r="N50" s="133"/>
      <c r="O50" s="141"/>
      <c r="P50" s="141"/>
      <c r="Q50" s="141"/>
      <c r="R50" s="141"/>
    </row>
    <row r="51" spans="1:18">
      <c r="A51" s="379">
        <f>A46+1</f>
        <v>21</v>
      </c>
      <c r="B51" s="133"/>
      <c r="C51" s="444"/>
      <c r="D51" s="444"/>
      <c r="E51" s="862" t="s">
        <v>871</v>
      </c>
      <c r="F51" s="863">
        <f>E46</f>
        <v>1674445090.5</v>
      </c>
      <c r="G51" s="147" t="str">
        <f>"Line "&amp;A46&amp;""</f>
        <v>Line 20</v>
      </c>
      <c r="H51" s="141"/>
      <c r="I51" s="141"/>
      <c r="J51" s="133"/>
      <c r="K51" s="133"/>
      <c r="L51" s="133"/>
      <c r="M51" s="133"/>
      <c r="N51" s="133"/>
      <c r="O51" s="141"/>
      <c r="P51" s="141"/>
      <c r="Q51" s="141"/>
      <c r="R51" s="141"/>
    </row>
    <row r="52" spans="1:18">
      <c r="A52" s="379">
        <f>A51+1</f>
        <v>22</v>
      </c>
      <c r="B52" s="133"/>
      <c r="C52" s="444"/>
      <c r="D52" s="444"/>
      <c r="E52" s="415" t="s">
        <v>780</v>
      </c>
      <c r="F52" s="884">
        <f>'27-Allocators'!G14</f>
        <v>5.9033379723389116E-2</v>
      </c>
      <c r="G52" s="291" t="str">
        <f>"27-Allocators, Line "&amp;'27-Allocators'!A14&amp;""</f>
        <v>27-Allocators, Line 9</v>
      </c>
      <c r="H52" s="141"/>
      <c r="I52" s="141"/>
      <c r="J52" s="133"/>
      <c r="K52" s="133"/>
      <c r="L52" s="133"/>
      <c r="M52" s="133"/>
      <c r="N52" s="133"/>
      <c r="O52" s="141"/>
      <c r="P52" s="141"/>
      <c r="Q52" s="141"/>
      <c r="R52" s="141"/>
    </row>
    <row r="53" spans="1:18">
      <c r="A53" s="379">
        <f>A52+1</f>
        <v>23</v>
      </c>
      <c r="B53" s="133"/>
      <c r="C53" s="444"/>
      <c r="D53" s="444"/>
      <c r="E53" s="415" t="s">
        <v>872</v>
      </c>
      <c r="F53" s="863">
        <f>F51*F52</f>
        <v>98848152.853451148</v>
      </c>
      <c r="G53" s="291" t="str">
        <f>"Line "&amp;A51&amp;" * Line "&amp;A52&amp;""</f>
        <v>Line 21 * Line 22</v>
      </c>
      <c r="H53" s="141"/>
      <c r="I53" s="141"/>
      <c r="J53" s="133"/>
      <c r="K53" s="133"/>
      <c r="L53" s="133"/>
      <c r="M53" s="133"/>
      <c r="O53" s="141"/>
      <c r="P53" s="141"/>
      <c r="Q53" s="141"/>
      <c r="R53" s="141"/>
    </row>
    <row r="54" spans="1:18">
      <c r="B54" s="444"/>
      <c r="C54" s="444"/>
      <c r="D54" s="415"/>
      <c r="E54" s="863"/>
      <c r="F54" s="133"/>
      <c r="G54" s="141"/>
      <c r="H54" s="133"/>
      <c r="I54" s="133"/>
      <c r="J54" s="133"/>
      <c r="K54" s="133"/>
      <c r="L54" s="133"/>
      <c r="M54" s="133"/>
      <c r="O54" s="141"/>
      <c r="P54" s="141"/>
      <c r="Q54" s="141"/>
      <c r="R54" s="141"/>
    </row>
    <row r="55" spans="1:18">
      <c r="B55" s="1" t="s">
        <v>873</v>
      </c>
      <c r="C55" s="444"/>
      <c r="D55" s="868"/>
      <c r="E55" s="133"/>
      <c r="F55" s="133"/>
      <c r="G55" s="141"/>
      <c r="H55" s="133"/>
      <c r="I55" s="133"/>
      <c r="J55" s="133"/>
      <c r="K55" s="133"/>
      <c r="L55" s="133"/>
      <c r="M55" s="133"/>
      <c r="O55" s="141"/>
      <c r="P55" s="141"/>
      <c r="Q55" s="141"/>
      <c r="R55" s="141"/>
    </row>
    <row r="56" spans="1:18">
      <c r="B56" s="133"/>
      <c r="C56" s="133"/>
      <c r="D56" s="133"/>
      <c r="E56" s="133"/>
      <c r="F56" s="133"/>
      <c r="G56" s="141"/>
      <c r="H56" s="133"/>
      <c r="I56" s="133"/>
      <c r="J56" s="133"/>
      <c r="K56" s="133"/>
      <c r="L56" s="133"/>
      <c r="M56" s="133"/>
      <c r="O56" s="695"/>
      <c r="P56" s="851"/>
      <c r="Q56" s="141"/>
      <c r="R56" s="141"/>
    </row>
    <row r="57" spans="1:18">
      <c r="B57" s="133"/>
      <c r="C57" s="133"/>
      <c r="D57" s="133"/>
      <c r="E57" s="133"/>
      <c r="F57" s="207" t="s">
        <v>79</v>
      </c>
      <c r="G57" s="335" t="s">
        <v>763</v>
      </c>
      <c r="H57" s="133"/>
      <c r="I57" s="133"/>
      <c r="J57" s="133"/>
      <c r="K57" s="133"/>
      <c r="L57" s="133"/>
      <c r="M57" s="133"/>
      <c r="O57" s="452"/>
      <c r="P57" s="452"/>
      <c r="Q57" s="141"/>
      <c r="R57" s="141"/>
    </row>
    <row r="58" spans="1:18">
      <c r="A58" s="379">
        <f>A53+1</f>
        <v>24</v>
      </c>
      <c r="B58" s="444"/>
      <c r="C58" s="444"/>
      <c r="E58" s="862" t="s">
        <v>874</v>
      </c>
      <c r="F58" s="863">
        <f>E45</f>
        <v>1612060674</v>
      </c>
      <c r="G58" s="291" t="str">
        <f>"Line "&amp;A45&amp;""</f>
        <v>Line 19</v>
      </c>
      <c r="H58" s="141"/>
      <c r="I58" s="141"/>
      <c r="J58" s="133"/>
      <c r="K58" s="133"/>
      <c r="L58" s="133"/>
      <c r="M58" s="133"/>
      <c r="O58" s="885"/>
      <c r="P58" s="454"/>
      <c r="Q58" s="141"/>
      <c r="R58" s="141"/>
    </row>
    <row r="59" spans="1:18">
      <c r="A59" s="379">
        <f>A58+1</f>
        <v>25</v>
      </c>
      <c r="B59" s="444"/>
      <c r="C59" s="444"/>
      <c r="E59" s="415" t="s">
        <v>780</v>
      </c>
      <c r="F59" s="884">
        <f>'27-Allocators'!G14</f>
        <v>5.9033379723389116E-2</v>
      </c>
      <c r="G59" s="291" t="str">
        <f>"27-Allocators, Line "&amp;'27-Allocators'!A14&amp;""</f>
        <v>27-Allocators, Line 9</v>
      </c>
      <c r="H59" s="141"/>
      <c r="I59" s="141"/>
      <c r="J59" s="133"/>
      <c r="K59" s="133"/>
      <c r="L59" s="133"/>
      <c r="M59" s="133"/>
      <c r="O59" s="885"/>
      <c r="P59" s="454"/>
      <c r="Q59" s="141"/>
      <c r="R59" s="141"/>
    </row>
    <row r="60" spans="1:18">
      <c r="A60" s="379">
        <f>A59+1</f>
        <v>26</v>
      </c>
      <c r="B60" s="444"/>
      <c r="C60" s="444"/>
      <c r="E60" s="415" t="s">
        <v>875</v>
      </c>
      <c r="F60" s="863">
        <f>F58*F59</f>
        <v>95165389.905384585</v>
      </c>
      <c r="G60" s="147" t="str">
        <f>"Line "&amp;A58&amp;" * Line "&amp;A59&amp;""</f>
        <v>Line 24 * Line 25</v>
      </c>
      <c r="H60" s="141"/>
      <c r="I60" s="141"/>
      <c r="J60" s="133"/>
      <c r="K60" s="133"/>
      <c r="L60" s="133"/>
      <c r="M60" s="133"/>
      <c r="Q60" s="141"/>
      <c r="R60" s="141"/>
    </row>
    <row r="61" spans="1:18">
      <c r="B61" s="133"/>
      <c r="C61" s="133"/>
      <c r="D61" s="133"/>
      <c r="E61" s="133"/>
      <c r="F61" s="133"/>
      <c r="G61" s="133"/>
      <c r="H61" s="133"/>
      <c r="I61" s="133"/>
      <c r="J61" s="133"/>
      <c r="K61" s="133"/>
      <c r="L61" s="133"/>
      <c r="M61" s="133"/>
      <c r="Q61" s="141"/>
      <c r="R61" s="141"/>
    </row>
    <row r="62" spans="1:18">
      <c r="Q62" s="141"/>
      <c r="R62" s="141"/>
    </row>
    <row r="63" spans="1:18">
      <c r="B63" s="1" t="s">
        <v>876</v>
      </c>
      <c r="Q63" s="141"/>
      <c r="R63" s="141"/>
    </row>
    <row r="64" spans="1:18">
      <c r="Q64" s="141"/>
      <c r="R64" s="141"/>
    </row>
    <row r="65" spans="1:14">
      <c r="C65" s="1" t="s">
        <v>877</v>
      </c>
      <c r="D65" s="298"/>
      <c r="E65" s="298"/>
      <c r="F65" s="298"/>
      <c r="G65" s="298"/>
      <c r="H65" s="298"/>
      <c r="I65" s="298"/>
      <c r="J65" s="298"/>
      <c r="K65" s="298"/>
      <c r="L65" s="298"/>
    </row>
    <row r="66" spans="1:14">
      <c r="A66" s="298"/>
      <c r="C66" s="298"/>
      <c r="D66" s="298"/>
      <c r="E66" s="298"/>
      <c r="F66" s="298"/>
      <c r="G66" s="298"/>
      <c r="H66" s="298"/>
      <c r="I66" s="298"/>
      <c r="J66" s="298"/>
      <c r="K66" s="298"/>
      <c r="L66" s="298"/>
    </row>
    <row r="67" spans="1:14">
      <c r="A67" s="227"/>
      <c r="C67" s="52" t="s">
        <v>307</v>
      </c>
      <c r="D67" s="52" t="s">
        <v>308</v>
      </c>
      <c r="E67" s="52" t="s">
        <v>309</v>
      </c>
      <c r="F67" s="52" t="s">
        <v>310</v>
      </c>
      <c r="G67" s="52" t="s">
        <v>311</v>
      </c>
      <c r="H67" s="52" t="s">
        <v>312</v>
      </c>
      <c r="I67" s="52" t="s">
        <v>313</v>
      </c>
      <c r="J67" s="52" t="s">
        <v>314</v>
      </c>
      <c r="K67" s="52" t="s">
        <v>315</v>
      </c>
      <c r="L67" s="52" t="s">
        <v>534</v>
      </c>
      <c r="M67" s="52" t="s">
        <v>535</v>
      </c>
      <c r="N67" s="52" t="s">
        <v>536</v>
      </c>
    </row>
    <row r="68" spans="1:14">
      <c r="A68" s="133"/>
      <c r="C68" s="149"/>
      <c r="D68" s="133"/>
      <c r="E68" s="133"/>
      <c r="F68" s="133"/>
      <c r="G68" s="133"/>
      <c r="H68" s="133"/>
      <c r="I68" s="133"/>
      <c r="J68" s="133"/>
      <c r="K68" s="133"/>
      <c r="L68" s="133"/>
      <c r="N68" s="149" t="s">
        <v>741</v>
      </c>
    </row>
    <row r="69" spans="1:14">
      <c r="A69" s="28"/>
      <c r="C69" s="74" t="s">
        <v>742</v>
      </c>
      <c r="D69" s="52">
        <v>350.1</v>
      </c>
      <c r="E69" s="52">
        <v>350.2</v>
      </c>
      <c r="F69" s="52">
        <v>352</v>
      </c>
      <c r="G69" s="52">
        <v>353</v>
      </c>
      <c r="H69" s="52">
        <v>354</v>
      </c>
      <c r="I69" s="52">
        <v>355</v>
      </c>
      <c r="J69" s="52">
        <v>356</v>
      </c>
      <c r="K69" s="52">
        <v>357</v>
      </c>
      <c r="L69" s="52">
        <v>358</v>
      </c>
      <c r="M69" s="52">
        <v>359</v>
      </c>
      <c r="N69" s="2" t="s">
        <v>388</v>
      </c>
    </row>
    <row r="70" spans="1:14">
      <c r="A70" s="379">
        <f>A60+1</f>
        <v>27</v>
      </c>
      <c r="C70" s="529" t="s">
        <v>744</v>
      </c>
      <c r="D70" s="311">
        <f>'17-Depreciation'!C48</f>
        <v>0</v>
      </c>
      <c r="E70" s="311">
        <f>'17-Depreciation'!D48</f>
        <v>229487.38929532954</v>
      </c>
      <c r="F70" s="311">
        <f>'17-Depreciation'!E48</f>
        <v>1144143.5290960446</v>
      </c>
      <c r="G70" s="311">
        <f>'17-Depreciation'!F48</f>
        <v>8069026.3979511568</v>
      </c>
      <c r="H70" s="311">
        <f>'17-Depreciation'!G48</f>
        <v>5194691.5970631177</v>
      </c>
      <c r="I70" s="311">
        <f>'17-Depreciation'!H48</f>
        <v>862470.32354415767</v>
      </c>
      <c r="J70" s="311">
        <f>'17-Depreciation'!I48</f>
        <v>3364020.9522275864</v>
      </c>
      <c r="K70" s="311">
        <f>'17-Depreciation'!J48</f>
        <v>274237.42124431836</v>
      </c>
      <c r="L70" s="311">
        <f>'17-Depreciation'!K48</f>
        <v>170548.41770906598</v>
      </c>
      <c r="M70" s="311">
        <f>'17-Depreciation'!L48</f>
        <v>237381.21689483617</v>
      </c>
      <c r="N70" s="135">
        <f t="shared" ref="N70:N82" si="5">SUM(D70:M70)</f>
        <v>19546007.245025616</v>
      </c>
    </row>
    <row r="71" spans="1:14">
      <c r="A71" s="379">
        <f t="shared" ref="A71:A82" si="6">A70+1</f>
        <v>28</v>
      </c>
      <c r="C71" s="528" t="s">
        <v>745</v>
      </c>
      <c r="D71" s="311">
        <f>'17-Depreciation'!C49</f>
        <v>0</v>
      </c>
      <c r="E71" s="311">
        <f>'17-Depreciation'!D49</f>
        <v>229503.64881350484</v>
      </c>
      <c r="F71" s="311">
        <f>'17-Depreciation'!E49</f>
        <v>1149435.2994951853</v>
      </c>
      <c r="G71" s="311">
        <f>'17-Depreciation'!F49</f>
        <v>8075334.4980711835</v>
      </c>
      <c r="H71" s="311">
        <f>'17-Depreciation'!G49</f>
        <v>5195085.8872983903</v>
      </c>
      <c r="I71" s="311">
        <f>'17-Depreciation'!H49</f>
        <v>864331.02028594946</v>
      </c>
      <c r="J71" s="311">
        <f>'17-Depreciation'!I49</f>
        <v>3408523.0596424318</v>
      </c>
      <c r="K71" s="311">
        <f>'17-Depreciation'!J49</f>
        <v>274300.35003466578</v>
      </c>
      <c r="L71" s="311">
        <f>'17-Depreciation'!K49</f>
        <v>170589.66125632499</v>
      </c>
      <c r="M71" s="311">
        <f>'17-Depreciation'!L49</f>
        <v>237362.2396674905</v>
      </c>
      <c r="N71" s="135">
        <f t="shared" si="5"/>
        <v>19604465.664565124</v>
      </c>
    </row>
    <row r="72" spans="1:14">
      <c r="A72" s="379">
        <f t="shared" si="6"/>
        <v>29</v>
      </c>
      <c r="C72" s="528" t="s">
        <v>746</v>
      </c>
      <c r="D72" s="311">
        <f>'17-Depreciation'!C50</f>
        <v>0</v>
      </c>
      <c r="E72" s="311">
        <f>'17-Depreciation'!D50</f>
        <v>229529.48704289136</v>
      </c>
      <c r="F72" s="311">
        <f>'17-Depreciation'!E50</f>
        <v>1154974.6665647</v>
      </c>
      <c r="G72" s="311">
        <f>'17-Depreciation'!F50</f>
        <v>8089950.9341017762</v>
      </c>
      <c r="H72" s="311">
        <f>'17-Depreciation'!G50</f>
        <v>5195980.8928478733</v>
      </c>
      <c r="I72" s="311">
        <f>'17-Depreciation'!H50</f>
        <v>866504.70793338481</v>
      </c>
      <c r="J72" s="311">
        <f>'17-Depreciation'!I50</f>
        <v>3410411.7171179526</v>
      </c>
      <c r="K72" s="311">
        <f>'17-Depreciation'!J50</f>
        <v>274405.87899591471</v>
      </c>
      <c r="L72" s="311">
        <f>'17-Depreciation'!K50</f>
        <v>170612.61347459126</v>
      </c>
      <c r="M72" s="311">
        <f>'17-Depreciation'!L50</f>
        <v>237424.12041878572</v>
      </c>
      <c r="N72" s="135">
        <f t="shared" si="5"/>
        <v>19629795.018497873</v>
      </c>
    </row>
    <row r="73" spans="1:14">
      <c r="A73" s="379">
        <f t="shared" si="6"/>
        <v>30</v>
      </c>
      <c r="C73" s="529" t="s">
        <v>747</v>
      </c>
      <c r="D73" s="311">
        <f>'17-Depreciation'!C51</f>
        <v>0</v>
      </c>
      <c r="E73" s="311">
        <f>'17-Depreciation'!D51</f>
        <v>229577.10504558033</v>
      </c>
      <c r="F73" s="311">
        <f>'17-Depreciation'!E51</f>
        <v>1160812.6372969327</v>
      </c>
      <c r="G73" s="311">
        <f>'17-Depreciation'!F51</f>
        <v>8110167.450702901</v>
      </c>
      <c r="H73" s="311">
        <f>'17-Depreciation'!G51</f>
        <v>5196348.218483272</v>
      </c>
      <c r="I73" s="311">
        <f>'17-Depreciation'!H51</f>
        <v>873176.29629049858</v>
      </c>
      <c r="J73" s="311">
        <f>'17-Depreciation'!I51</f>
        <v>3416809.7437143554</v>
      </c>
      <c r="K73" s="311">
        <f>'17-Depreciation'!J51</f>
        <v>274522.28522833536</v>
      </c>
      <c r="L73" s="311">
        <f>'17-Depreciation'!K51</f>
        <v>168217.71237185047</v>
      </c>
      <c r="M73" s="311">
        <f>'17-Depreciation'!L51</f>
        <v>237512.45887061305</v>
      </c>
      <c r="N73" s="135">
        <f t="shared" si="5"/>
        <v>19667143.90800434</v>
      </c>
    </row>
    <row r="74" spans="1:14">
      <c r="A74" s="379">
        <f t="shared" si="6"/>
        <v>31</v>
      </c>
      <c r="C74" s="528" t="s">
        <v>748</v>
      </c>
      <c r="D74" s="311">
        <f>'17-Depreciation'!C52</f>
        <v>0</v>
      </c>
      <c r="E74" s="311">
        <f>'17-Depreciation'!D52</f>
        <v>229575.18342955693</v>
      </c>
      <c r="F74" s="311">
        <f>'17-Depreciation'!E52</f>
        <v>1166908.585519335</v>
      </c>
      <c r="G74" s="311">
        <f>'17-Depreciation'!F52</f>
        <v>8121643.7648584368</v>
      </c>
      <c r="H74" s="311">
        <f>'17-Depreciation'!G52</f>
        <v>5196718.3952395888</v>
      </c>
      <c r="I74" s="311">
        <f>'17-Depreciation'!H52</f>
        <v>876081.97119414562</v>
      </c>
      <c r="J74" s="311">
        <f>'17-Depreciation'!I52</f>
        <v>3415186.5042879321</v>
      </c>
      <c r="K74" s="311">
        <f>'17-Depreciation'!J52</f>
        <v>274698.20615869813</v>
      </c>
      <c r="L74" s="311">
        <f>'17-Depreciation'!K52</f>
        <v>168336.77243864405</v>
      </c>
      <c r="M74" s="311">
        <f>'17-Depreciation'!L52</f>
        <v>237448.63437699559</v>
      </c>
      <c r="N74" s="135">
        <f t="shared" si="5"/>
        <v>19686598.017503336</v>
      </c>
    </row>
    <row r="75" spans="1:14">
      <c r="A75" s="379">
        <f t="shared" si="6"/>
        <v>32</v>
      </c>
      <c r="C75" s="528" t="s">
        <v>749</v>
      </c>
      <c r="D75" s="311">
        <f>'17-Depreciation'!C53</f>
        <v>0</v>
      </c>
      <c r="E75" s="311">
        <f>'17-Depreciation'!D53</f>
        <v>229586.7911107009</v>
      </c>
      <c r="F75" s="311">
        <f>'17-Depreciation'!E53</f>
        <v>1166000.8142918048</v>
      </c>
      <c r="G75" s="311">
        <f>'17-Depreciation'!F53</f>
        <v>8126616.8510864414</v>
      </c>
      <c r="H75" s="311">
        <f>'17-Depreciation'!G53</f>
        <v>5196835.0402248604</v>
      </c>
      <c r="I75" s="311">
        <f>'17-Depreciation'!H53</f>
        <v>877882.02233097702</v>
      </c>
      <c r="J75" s="311">
        <f>'17-Depreciation'!I53</f>
        <v>3430218.4214308518</v>
      </c>
      <c r="K75" s="311">
        <f>'17-Depreciation'!J53</f>
        <v>274804.03538855287</v>
      </c>
      <c r="L75" s="311">
        <f>'17-Depreciation'!K53</f>
        <v>168409.64092966029</v>
      </c>
      <c r="M75" s="311">
        <f>'17-Depreciation'!L53</f>
        <v>237470.56118480905</v>
      </c>
      <c r="N75" s="135">
        <f t="shared" si="5"/>
        <v>19707824.177978657</v>
      </c>
    </row>
    <row r="76" spans="1:14">
      <c r="A76" s="379">
        <f t="shared" si="6"/>
        <v>33</v>
      </c>
      <c r="C76" s="529" t="s">
        <v>750</v>
      </c>
      <c r="D76" s="311">
        <f>'17-Depreciation'!C54</f>
        <v>0</v>
      </c>
      <c r="E76" s="311">
        <f>'17-Depreciation'!D54</f>
        <v>229854.63390516257</v>
      </c>
      <c r="F76" s="311">
        <f>'17-Depreciation'!E54</f>
        <v>1176473.8109087783</v>
      </c>
      <c r="G76" s="311">
        <f>'17-Depreciation'!F54</f>
        <v>8151373.2958985558</v>
      </c>
      <c r="H76" s="311">
        <f>'17-Depreciation'!G54</f>
        <v>5197278.818942247</v>
      </c>
      <c r="I76" s="311">
        <f>'17-Depreciation'!H54</f>
        <v>879851.10810033791</v>
      </c>
      <c r="J76" s="311">
        <f>'17-Depreciation'!I54</f>
        <v>3432586.5335420258</v>
      </c>
      <c r="K76" s="311">
        <f>'17-Depreciation'!J54</f>
        <v>274870.59430640721</v>
      </c>
      <c r="L76" s="311">
        <f>'17-Depreciation'!K54</f>
        <v>168455.11794118476</v>
      </c>
      <c r="M76" s="311">
        <f>'17-Depreciation'!L54</f>
        <v>237714.67781214579</v>
      </c>
      <c r="N76" s="135">
        <f t="shared" si="5"/>
        <v>19748458.591356844</v>
      </c>
    </row>
    <row r="77" spans="1:14">
      <c r="A77" s="379">
        <f t="shared" si="6"/>
        <v>34</v>
      </c>
      <c r="C77" s="528" t="s">
        <v>751</v>
      </c>
      <c r="D77" s="311">
        <f>'17-Depreciation'!C55</f>
        <v>0</v>
      </c>
      <c r="E77" s="311">
        <f>'17-Depreciation'!D55</f>
        <v>229870.42795202683</v>
      </c>
      <c r="F77" s="311">
        <f>'17-Depreciation'!E55</f>
        <v>1183094.9283262771</v>
      </c>
      <c r="G77" s="311">
        <f>'17-Depreciation'!F55</f>
        <v>8158669.1065383181</v>
      </c>
      <c r="H77" s="311">
        <f>'17-Depreciation'!G55</f>
        <v>5197380.0960130608</v>
      </c>
      <c r="I77" s="311">
        <f>'17-Depreciation'!H55</f>
        <v>880501.06463831943</v>
      </c>
      <c r="J77" s="311">
        <f>'17-Depreciation'!I55</f>
        <v>3436595.2515154709</v>
      </c>
      <c r="K77" s="311">
        <f>'17-Depreciation'!J55</f>
        <v>274913.71844336111</v>
      </c>
      <c r="L77" s="311">
        <f>'17-Depreciation'!K55</f>
        <v>168484.97580658065</v>
      </c>
      <c r="M77" s="311">
        <f>'17-Depreciation'!L55</f>
        <v>237650.49836632109</v>
      </c>
      <c r="N77" s="135">
        <f t="shared" si="5"/>
        <v>19767160.067599736</v>
      </c>
    </row>
    <row r="78" spans="1:14">
      <c r="A78" s="379">
        <f t="shared" si="6"/>
        <v>35</v>
      </c>
      <c r="C78" s="528" t="s">
        <v>752</v>
      </c>
      <c r="D78" s="311">
        <f>'17-Depreciation'!C56</f>
        <v>0</v>
      </c>
      <c r="E78" s="311">
        <f>'17-Depreciation'!D56</f>
        <v>229880.74686912016</v>
      </c>
      <c r="F78" s="311">
        <f>'17-Depreciation'!E56</f>
        <v>1199866.7813323096</v>
      </c>
      <c r="G78" s="311">
        <f>'17-Depreciation'!F56</f>
        <v>8178412.4111254886</v>
      </c>
      <c r="H78" s="311">
        <f>'17-Depreciation'!G56</f>
        <v>5197326.2277798494</v>
      </c>
      <c r="I78" s="311">
        <f>'17-Depreciation'!H56</f>
        <v>903536.97267999139</v>
      </c>
      <c r="J78" s="311">
        <f>'17-Depreciation'!I56</f>
        <v>3478527.4881438385</v>
      </c>
      <c r="K78" s="311">
        <f>'17-Depreciation'!J56</f>
        <v>274945.67273113673</v>
      </c>
      <c r="L78" s="311">
        <f>'17-Depreciation'!K56</f>
        <v>168507.00390904091</v>
      </c>
      <c r="M78" s="311">
        <f>'17-Depreciation'!L56</f>
        <v>237738.55156343218</v>
      </c>
      <c r="N78" s="135">
        <f t="shared" si="5"/>
        <v>19868741.856134202</v>
      </c>
    </row>
    <row r="79" spans="1:14">
      <c r="A79" s="379">
        <f t="shared" si="6"/>
        <v>36</v>
      </c>
      <c r="C79" s="529" t="s">
        <v>753</v>
      </c>
      <c r="D79" s="311">
        <f>'17-Depreciation'!C57</f>
        <v>0</v>
      </c>
      <c r="E79" s="311">
        <f>'17-Depreciation'!D57</f>
        <v>229871.85963046385</v>
      </c>
      <c r="F79" s="311">
        <f>'17-Depreciation'!E57</f>
        <v>1213804.0371181243</v>
      </c>
      <c r="G79" s="311">
        <f>'17-Depreciation'!F57</f>
        <v>8180583.161207784</v>
      </c>
      <c r="H79" s="311">
        <f>'17-Depreciation'!G57</f>
        <v>5197349.2006794633</v>
      </c>
      <c r="I79" s="311">
        <f>'17-Depreciation'!H57</f>
        <v>907079.38014083763</v>
      </c>
      <c r="J79" s="311">
        <f>'17-Depreciation'!I57</f>
        <v>3482938.9333737004</v>
      </c>
      <c r="K79" s="311">
        <f>'17-Depreciation'!J57</f>
        <v>275043.77757696941</v>
      </c>
      <c r="L79" s="311">
        <f>'17-Depreciation'!K57</f>
        <v>168573.27872127455</v>
      </c>
      <c r="M79" s="311">
        <f>'17-Depreciation'!L57</f>
        <v>237766.81282828457</v>
      </c>
      <c r="N79" s="135">
        <f t="shared" si="5"/>
        <v>19893010.441276897</v>
      </c>
    </row>
    <row r="80" spans="1:14">
      <c r="A80" s="379">
        <f t="shared" si="6"/>
        <v>37</v>
      </c>
      <c r="C80" s="529" t="s">
        <v>754</v>
      </c>
      <c r="D80" s="311">
        <f>'17-Depreciation'!C58</f>
        <v>0</v>
      </c>
      <c r="E80" s="311">
        <f>'17-Depreciation'!D58</f>
        <v>229888.38555478808</v>
      </c>
      <c r="F80" s="311">
        <f>'17-Depreciation'!E58</f>
        <v>1220372.7419277532</v>
      </c>
      <c r="G80" s="311">
        <f>'17-Depreciation'!F58</f>
        <v>8170236.4406958194</v>
      </c>
      <c r="H80" s="311">
        <f>'17-Depreciation'!G58</f>
        <v>5197412.8004973922</v>
      </c>
      <c r="I80" s="311">
        <f>'17-Depreciation'!H58</f>
        <v>910278.2241266924</v>
      </c>
      <c r="J80" s="311">
        <f>'17-Depreciation'!I58</f>
        <v>3489057.4071944221</v>
      </c>
      <c r="K80" s="311">
        <f>'17-Depreciation'!J58</f>
        <v>275115.18044046737</v>
      </c>
      <c r="L80" s="311">
        <f>'17-Depreciation'!K58</f>
        <v>168623.27031979951</v>
      </c>
      <c r="M80" s="311">
        <f>'17-Depreciation'!L58</f>
        <v>238544.65791449949</v>
      </c>
      <c r="N80" s="135">
        <f t="shared" si="5"/>
        <v>19899529.108671635</v>
      </c>
    </row>
    <row r="81" spans="1:14">
      <c r="A81" s="379">
        <f t="shared" si="6"/>
        <v>38</v>
      </c>
      <c r="C81" s="528" t="s">
        <v>755</v>
      </c>
      <c r="D81" s="65">
        <f>'17-Depreciation'!C59</f>
        <v>0</v>
      </c>
      <c r="E81" s="65">
        <f>'17-Depreciation'!D59</f>
        <v>229949.63583872563</v>
      </c>
      <c r="F81" s="65">
        <f>'17-Depreciation'!E59</f>
        <v>1225336.6970150215</v>
      </c>
      <c r="G81" s="65">
        <f>'17-Depreciation'!F59</f>
        <v>8184854.1916372078</v>
      </c>
      <c r="H81" s="65">
        <f>'17-Depreciation'!G59</f>
        <v>5197320.0201278189</v>
      </c>
      <c r="I81" s="65">
        <f>'17-Depreciation'!H59</f>
        <v>913091.64745389635</v>
      </c>
      <c r="J81" s="65">
        <f>'17-Depreciation'!I59</f>
        <v>3491655.7252782653</v>
      </c>
      <c r="K81" s="65">
        <f>'17-Depreciation'!J59</f>
        <v>275150.04121498455</v>
      </c>
      <c r="L81" s="65">
        <f>'17-Depreciation'!K59</f>
        <v>168643.42717413834</v>
      </c>
      <c r="M81" s="65">
        <f>'17-Depreciation'!L59</f>
        <v>238750.29317852631</v>
      </c>
      <c r="N81" s="206">
        <f t="shared" si="5"/>
        <v>19924751.678918585</v>
      </c>
    </row>
    <row r="82" spans="1:14">
      <c r="A82" s="379">
        <f t="shared" si="6"/>
        <v>39</v>
      </c>
      <c r="C82" s="861" t="s">
        <v>382</v>
      </c>
      <c r="D82" s="135">
        <f t="shared" ref="D82:M82" si="7">SUM(D70:D81)</f>
        <v>0</v>
      </c>
      <c r="E82" s="135">
        <f t="shared" si="7"/>
        <v>2756575.2944878512</v>
      </c>
      <c r="F82" s="135">
        <f t="shared" si="7"/>
        <v>14161224.528892267</v>
      </c>
      <c r="G82" s="135">
        <f t="shared" si="7"/>
        <v>97616868.503875062</v>
      </c>
      <c r="H82" s="135">
        <f t="shared" si="7"/>
        <v>62359727.195196934</v>
      </c>
      <c r="I82" s="135">
        <f t="shared" si="7"/>
        <v>10614784.73871919</v>
      </c>
      <c r="J82" s="135">
        <f t="shared" si="7"/>
        <v>41256531.737468831</v>
      </c>
      <c r="K82" s="135">
        <f t="shared" si="7"/>
        <v>3297007.1617638115</v>
      </c>
      <c r="L82" s="135">
        <f t="shared" si="7"/>
        <v>2028001.8920521557</v>
      </c>
      <c r="M82" s="135">
        <f t="shared" si="7"/>
        <v>2852764.7230767389</v>
      </c>
      <c r="N82" s="135">
        <f t="shared" si="5"/>
        <v>236943485.77553284</v>
      </c>
    </row>
    <row r="83" spans="1:14">
      <c r="D83" s="10"/>
      <c r="E83" s="10"/>
      <c r="F83" s="10"/>
      <c r="G83" s="10"/>
      <c r="H83" s="10"/>
      <c r="I83" s="10"/>
      <c r="J83" s="10"/>
      <c r="K83" s="10"/>
      <c r="L83" s="10"/>
      <c r="M83" s="10"/>
    </row>
    <row r="84" spans="1:14">
      <c r="C84" s="1" t="s">
        <v>878</v>
      </c>
      <c r="D84" s="298"/>
      <c r="E84" s="298"/>
      <c r="F84" s="298"/>
      <c r="G84" s="298"/>
      <c r="H84" s="298"/>
      <c r="I84" s="298"/>
      <c r="J84" s="298"/>
      <c r="K84" s="298"/>
      <c r="L84" s="298"/>
    </row>
    <row r="85" spans="1:14">
      <c r="C85" s="298"/>
      <c r="D85" s="298"/>
      <c r="E85" s="298"/>
      <c r="F85" s="298"/>
      <c r="G85" s="298"/>
      <c r="H85" s="298"/>
      <c r="I85" s="298"/>
      <c r="J85" s="298"/>
      <c r="K85" s="298"/>
      <c r="L85" s="298"/>
    </row>
    <row r="86" spans="1:14">
      <c r="C86" s="52" t="s">
        <v>307</v>
      </c>
      <c r="D86" s="52" t="s">
        <v>308</v>
      </c>
      <c r="E86" s="52" t="s">
        <v>309</v>
      </c>
      <c r="F86" s="52" t="s">
        <v>310</v>
      </c>
      <c r="G86" s="52" t="s">
        <v>311</v>
      </c>
      <c r="H86" s="52" t="s">
        <v>312</v>
      </c>
      <c r="I86" s="52" t="s">
        <v>313</v>
      </c>
      <c r="J86" s="52" t="s">
        <v>314</v>
      </c>
      <c r="K86" s="52" t="s">
        <v>315</v>
      </c>
      <c r="L86" s="52" t="s">
        <v>534</v>
      </c>
      <c r="M86" s="52" t="s">
        <v>535</v>
      </c>
      <c r="N86" s="52"/>
    </row>
    <row r="87" spans="1:14">
      <c r="C87" s="149"/>
      <c r="D87" s="133"/>
      <c r="E87" s="133"/>
      <c r="F87" s="133"/>
      <c r="G87" s="133"/>
      <c r="H87" s="133"/>
      <c r="I87" s="133"/>
      <c r="J87" s="133"/>
      <c r="K87" s="133"/>
      <c r="L87" s="133"/>
      <c r="N87" s="149"/>
    </row>
    <row r="88" spans="1:14">
      <c r="C88" s="74" t="s">
        <v>742</v>
      </c>
      <c r="D88" s="52">
        <v>350.1</v>
      </c>
      <c r="E88" s="52">
        <v>350.2</v>
      </c>
      <c r="F88" s="52">
        <v>352</v>
      </c>
      <c r="G88" s="52">
        <v>353</v>
      </c>
      <c r="H88" s="52">
        <v>354</v>
      </c>
      <c r="I88" s="52">
        <v>355</v>
      </c>
      <c r="J88" s="52">
        <v>356</v>
      </c>
      <c r="K88" s="52">
        <v>357</v>
      </c>
      <c r="L88" s="52">
        <v>358</v>
      </c>
      <c r="M88" s="52">
        <v>359</v>
      </c>
      <c r="N88" s="2"/>
    </row>
    <row r="89" spans="1:14">
      <c r="A89" s="379">
        <f>A82+1</f>
        <v>40</v>
      </c>
      <c r="C89" s="529" t="s">
        <v>744</v>
      </c>
      <c r="D89" s="887">
        <f>'6-PlantInService'!C166</f>
        <v>1.2579661956050519E-2</v>
      </c>
      <c r="E89" s="887">
        <f>'6-PlantInService'!D166</f>
        <v>3.1476535451723596E-2</v>
      </c>
      <c r="F89" s="887">
        <f>'6-PlantInService'!E166</f>
        <v>4.5017732327289117E-2</v>
      </c>
      <c r="G89" s="887">
        <f>'6-PlantInService'!F166</f>
        <v>6.1519193248293025E-2</v>
      </c>
      <c r="H89" s="887">
        <f>'6-PlantInService'!G166</f>
        <v>4.2673424688916148E-2</v>
      </c>
      <c r="I89" s="887">
        <f>'6-PlantInService'!H166</f>
        <v>3.8548041877315663E-2</v>
      </c>
      <c r="J89" s="887">
        <f>'6-PlantInService'!I166</f>
        <v>0.24599934875701937</v>
      </c>
      <c r="K89" s="887">
        <f>'6-PlantInService'!J166</f>
        <v>0.1380960556889437</v>
      </c>
      <c r="L89" s="887">
        <f>'6-PlantInService'!K166</f>
        <v>0.1991685315562895</v>
      </c>
      <c r="M89" s="887">
        <f>'6-PlantInService'!L166</f>
        <v>6.3023876155585815E-2</v>
      </c>
      <c r="N89" s="135"/>
    </row>
    <row r="90" spans="1:14">
      <c r="A90" s="379">
        <f t="shared" ref="A90:A100" si="8">A89+1</f>
        <v>41</v>
      </c>
      <c r="C90" s="528" t="s">
        <v>745</v>
      </c>
      <c r="D90" s="887">
        <f>'6-PlantInService'!C167</f>
        <v>3.8230455737876519E-13</v>
      </c>
      <c r="E90" s="887">
        <f>'6-PlantInService'!D167</f>
        <v>5.2684009622681348E-2</v>
      </c>
      <c r="F90" s="887">
        <f>'6-PlantInService'!E167</f>
        <v>4.7099515268981124E-2</v>
      </c>
      <c r="G90" s="887">
        <f>'6-PlantInService'!F167</f>
        <v>0.14376971170930572</v>
      </c>
      <c r="H90" s="887">
        <f>'6-PlantInService'!G167</f>
        <v>-0.1948842379774208</v>
      </c>
      <c r="I90" s="887">
        <f>'6-PlantInService'!H167</f>
        <v>4.0404229576370451E-2</v>
      </c>
      <c r="J90" s="887">
        <f>'6-PlantInService'!I167</f>
        <v>8.0727339004424241E-3</v>
      </c>
      <c r="K90" s="887">
        <f>'6-PlantInService'!J167</f>
        <v>1.8618202497604501E-4</v>
      </c>
      <c r="L90" s="887">
        <f>'6-PlantInService'!K167</f>
        <v>2.8598021656858629E-3</v>
      </c>
      <c r="M90" s="887">
        <f>'6-PlantInService'!L167</f>
        <v>4.8172591095334638E-3</v>
      </c>
      <c r="N90" s="135"/>
    </row>
    <row r="91" spans="1:14">
      <c r="A91" s="379">
        <f t="shared" si="8"/>
        <v>42</v>
      </c>
      <c r="C91" s="528" t="s">
        <v>746</v>
      </c>
      <c r="D91" s="887">
        <f>'6-PlantInService'!C168</f>
        <v>0.30114117997221862</v>
      </c>
      <c r="E91" s="887">
        <f>'6-PlantInService'!D168</f>
        <v>9.6770989938857757E-2</v>
      </c>
      <c r="F91" s="887">
        <f>'6-PlantInService'!E168</f>
        <v>6.1632999028609886E-2</v>
      </c>
      <c r="G91" s="887">
        <f>'6-PlantInService'!F168</f>
        <v>0.19475409365127869</v>
      </c>
      <c r="H91" s="887">
        <f>'6-PlantInService'!G168</f>
        <v>-0.32621098907064627</v>
      </c>
      <c r="I91" s="887">
        <f>'6-PlantInService'!H168</f>
        <v>0.12550782572194696</v>
      </c>
      <c r="J91" s="887">
        <f>'6-PlantInService'!I168</f>
        <v>7.8548538530162998E-2</v>
      </c>
      <c r="K91" s="887">
        <f>'6-PlantInService'!J168</f>
        <v>3.724479793215342E-2</v>
      </c>
      <c r="L91" s="887">
        <f>'6-PlantInService'!K168</f>
        <v>1.0621689885406814E-2</v>
      </c>
      <c r="M91" s="887">
        <f>'6-PlantInService'!L168</f>
        <v>3.7422505647398407E-3</v>
      </c>
      <c r="N91" s="135"/>
    </row>
    <row r="92" spans="1:14">
      <c r="A92" s="379">
        <f t="shared" si="8"/>
        <v>43</v>
      </c>
      <c r="C92" s="529" t="s">
        <v>747</v>
      </c>
      <c r="D92" s="887">
        <f>'6-PlantInService'!C169</f>
        <v>0.2869821331449498</v>
      </c>
      <c r="E92" s="887">
        <f>'6-PlantInService'!D169</f>
        <v>-5.282265888940975E-3</v>
      </c>
      <c r="F92" s="887">
        <f>'6-PlantInService'!E169</f>
        <v>5.1829662303339914E-2</v>
      </c>
      <c r="G92" s="887">
        <f>'6-PlantInService'!F169</f>
        <v>0.1137295268193816</v>
      </c>
      <c r="H92" s="887">
        <f>'6-PlantInService'!G169</f>
        <v>0.10487772366405815</v>
      </c>
      <c r="I92" s="887">
        <f>'6-PlantInService'!H169</f>
        <v>5.7203695088941575E-2</v>
      </c>
      <c r="J92" s="887">
        <f>'6-PlantInService'!I169</f>
        <v>-9.0030371029720096E-3</v>
      </c>
      <c r="K92" s="887">
        <f>'6-PlantInService'!J169</f>
        <v>0.35691885480665037</v>
      </c>
      <c r="L92" s="887">
        <f>'6-PlantInService'!K169</f>
        <v>6.750453195843166E-2</v>
      </c>
      <c r="M92" s="887">
        <f>'6-PlantInService'!L169</f>
        <v>-0.12530586638330049</v>
      </c>
      <c r="N92" s="135"/>
    </row>
    <row r="93" spans="1:14">
      <c r="A93" s="379">
        <f t="shared" si="8"/>
        <v>44</v>
      </c>
      <c r="C93" s="528" t="s">
        <v>748</v>
      </c>
      <c r="D93" s="887">
        <f>'6-PlantInService'!C170</f>
        <v>0.15704052625539672</v>
      </c>
      <c r="E93" s="887">
        <f>'6-PlantInService'!D170</f>
        <v>2.1696197868760137E-2</v>
      </c>
      <c r="F93" s="887">
        <f>'6-PlantInService'!E170</f>
        <v>-6.1414659510348859E-3</v>
      </c>
      <c r="G93" s="887">
        <f>'6-PlantInService'!F170</f>
        <v>5.7670734576779036E-2</v>
      </c>
      <c r="H93" s="887">
        <f>'6-PlantInService'!G170</f>
        <v>8.093877951763577E-2</v>
      </c>
      <c r="I93" s="887">
        <f>'6-PlantInService'!H170</f>
        <v>3.438990187838175E-2</v>
      </c>
      <c r="J93" s="887">
        <f>'6-PlantInService'!I170</f>
        <v>6.8954120737050192E-2</v>
      </c>
      <c r="K93" s="887">
        <f>'6-PlantInService'!J170</f>
        <v>5.6287367259732858E-2</v>
      </c>
      <c r="L93" s="887">
        <f>'6-PlantInService'!K170</f>
        <v>5.6457947224700801E-2</v>
      </c>
      <c r="M93" s="887">
        <f>'6-PlantInService'!L170</f>
        <v>1.2621856195324419E-3</v>
      </c>
      <c r="N93" s="135"/>
    </row>
    <row r="94" spans="1:14">
      <c r="A94" s="379">
        <f t="shared" si="8"/>
        <v>45</v>
      </c>
      <c r="C94" s="528" t="s">
        <v>749</v>
      </c>
      <c r="D94" s="887">
        <f>'6-PlantInService'!C171</f>
        <v>3.8230455737876519E-13</v>
      </c>
      <c r="E94" s="887">
        <f>'6-PlantInService'!D171</f>
        <v>0.54306781840288443</v>
      </c>
      <c r="F94" s="887">
        <f>'6-PlantInService'!E171</f>
        <v>8.371903860778368E-2</v>
      </c>
      <c r="G94" s="887">
        <f>'6-PlantInService'!F171</f>
        <v>9.3938387310984542E-2</v>
      </c>
      <c r="H94" s="887">
        <f>'6-PlantInService'!G171</f>
        <v>3.0221937998869498E-2</v>
      </c>
      <c r="I94" s="887">
        <f>'6-PlantInService'!H171</f>
        <v>3.0816827414429534E-2</v>
      </c>
      <c r="J94" s="887">
        <f>'6-PlantInService'!I171</f>
        <v>5.5453818153402635E-3</v>
      </c>
      <c r="K94" s="887">
        <f>'6-PlantInService'!J171</f>
        <v>2.4303605636442543E-2</v>
      </c>
      <c r="L94" s="887">
        <f>'6-PlantInService'!K171</f>
        <v>9.7823521868748653E-2</v>
      </c>
      <c r="M94" s="887">
        <f>'6-PlantInService'!L171</f>
        <v>3.3826051972469912E-3</v>
      </c>
      <c r="N94" s="135"/>
    </row>
    <row r="95" spans="1:14">
      <c r="A95" s="379">
        <f t="shared" si="8"/>
        <v>46</v>
      </c>
      <c r="C95" s="529" t="s">
        <v>750</v>
      </c>
      <c r="D95" s="887">
        <f>'6-PlantInService'!C172</f>
        <v>1.8780209977335702E-3</v>
      </c>
      <c r="E95" s="887">
        <f>'6-PlantInService'!D172</f>
        <v>3.0619248406212878E-2</v>
      </c>
      <c r="F95" s="887">
        <f>'6-PlantInService'!E172</f>
        <v>5.5412531759095517E-2</v>
      </c>
      <c r="G95" s="887">
        <f>'6-PlantInService'!F172</f>
        <v>7.1289668619509888E-2</v>
      </c>
      <c r="H95" s="887">
        <f>'6-PlantInService'!G172</f>
        <v>2.4535749683326936E-2</v>
      </c>
      <c r="I95" s="887">
        <f>'6-PlantInService'!H172</f>
        <v>1.8808679262772254E-2</v>
      </c>
      <c r="J95" s="887">
        <f>'6-PlantInService'!I172</f>
        <v>1.8490479183886549E-2</v>
      </c>
      <c r="K95" s="887">
        <f>'6-PlantInService'!J172</f>
        <v>8.858393222783284E-3</v>
      </c>
      <c r="L95" s="887">
        <f>'6-PlantInService'!K172</f>
        <v>1.6860961251223047E-2</v>
      </c>
      <c r="M95" s="887">
        <f>'6-PlantInService'!L172</f>
        <v>1.3026034747454377E-3</v>
      </c>
      <c r="N95" s="135"/>
    </row>
    <row r="96" spans="1:14">
      <c r="A96" s="379">
        <f t="shared" si="8"/>
        <v>47</v>
      </c>
      <c r="C96" s="528" t="s">
        <v>751</v>
      </c>
      <c r="D96" s="887">
        <f>'6-PlantInService'!C173</f>
        <v>0.2522151411589677</v>
      </c>
      <c r="E96" s="887">
        <f>'6-PlantInService'!D173</f>
        <v>2.0845971828531547E-2</v>
      </c>
      <c r="F96" s="887">
        <f>'6-PlantInService'!E173</f>
        <v>-1.9405784899099485E-2</v>
      </c>
      <c r="G96" s="887">
        <f>'6-PlantInService'!F173</f>
        <v>4.1603600416512822E-2</v>
      </c>
      <c r="H96" s="887">
        <f>'6-PlantInService'!G173</f>
        <v>1.1517198436228107</v>
      </c>
      <c r="I96" s="887">
        <f>'6-PlantInService'!H173</f>
        <v>0.44468233493535597</v>
      </c>
      <c r="J96" s="887">
        <f>'6-PlantInService'!I173</f>
        <v>0.23576854212577267</v>
      </c>
      <c r="K96" s="887">
        <f>'6-PlantInService'!J173</f>
        <v>1.2859425393773442E-2</v>
      </c>
      <c r="L96" s="887">
        <f>'6-PlantInService'!K173</f>
        <v>1.836288025554552E-2</v>
      </c>
      <c r="M96" s="887">
        <f>'6-PlantInService'!L173</f>
        <v>8.5879617788867185E-2</v>
      </c>
      <c r="N96" s="135"/>
    </row>
    <row r="97" spans="1:14">
      <c r="A97" s="379">
        <f t="shared" si="8"/>
        <v>48</v>
      </c>
      <c r="C97" s="528" t="s">
        <v>752</v>
      </c>
      <c r="D97" s="887">
        <f>'6-PlantInService'!C174</f>
        <v>-7.6460911475753039E-13</v>
      </c>
      <c r="E97" s="887">
        <f>'6-PlantInService'!D174</f>
        <v>-2.1400656937637916E-2</v>
      </c>
      <c r="F97" s="887">
        <f>'6-PlantInService'!E174</f>
        <v>0.11822553000046665</v>
      </c>
      <c r="G97" s="887">
        <f>'6-PlantInService'!F174</f>
        <v>2.0669177336212347E-2</v>
      </c>
      <c r="H97" s="887">
        <f>'6-PlantInService'!G174</f>
        <v>0.34044513251469238</v>
      </c>
      <c r="I97" s="887">
        <f>'6-PlantInService'!H174</f>
        <v>6.7962753376732812E-2</v>
      </c>
      <c r="J97" s="887">
        <f>'6-PlantInService'!I174</f>
        <v>2.4163538176887801E-2</v>
      </c>
      <c r="K97" s="887">
        <f>'6-PlantInService'!J174</f>
        <v>0.13458743101331599</v>
      </c>
      <c r="L97" s="887">
        <f>'6-PlantInService'!K174</f>
        <v>0.13150975070787277</v>
      </c>
      <c r="M97" s="887">
        <f>'6-PlantInService'!L174</f>
        <v>1.4892297525652935E-2</v>
      </c>
      <c r="N97" s="135"/>
    </row>
    <row r="98" spans="1:14">
      <c r="A98" s="379">
        <f t="shared" si="8"/>
        <v>49</v>
      </c>
      <c r="C98" s="529" t="s">
        <v>753</v>
      </c>
      <c r="D98" s="887">
        <f>'6-PlantInService'!C175</f>
        <v>0.15148240509889435</v>
      </c>
      <c r="E98" s="887">
        <f>'6-PlantInService'!D175</f>
        <v>3.3248442792970484E-2</v>
      </c>
      <c r="F98" s="887">
        <f>'6-PlantInService'!E175</f>
        <v>5.4468774361192906E-2</v>
      </c>
      <c r="G98" s="887">
        <f>'6-PlantInService'!F175</f>
        <v>-0.10332725368657997</v>
      </c>
      <c r="H98" s="887">
        <f>'6-PlantInService'!G175</f>
        <v>-0.17597945054798259</v>
      </c>
      <c r="I98" s="887">
        <f>'6-PlantInService'!H175</f>
        <v>6.172787122599116E-2</v>
      </c>
      <c r="J98" s="887">
        <f>'6-PlantInService'!I175</f>
        <v>3.3999691324787314E-2</v>
      </c>
      <c r="K98" s="887">
        <f>'6-PlantInService'!J175</f>
        <v>-6.1280076849021432E-2</v>
      </c>
      <c r="L98" s="887">
        <f>'6-PlantInService'!K175</f>
        <v>4.1448628930423025E-2</v>
      </c>
      <c r="M98" s="887">
        <f>'6-PlantInService'!L175</f>
        <v>0.80310753219672204</v>
      </c>
      <c r="N98" s="135"/>
    </row>
    <row r="99" spans="1:14">
      <c r="A99" s="379">
        <f t="shared" si="8"/>
        <v>50</v>
      </c>
      <c r="C99" s="529" t="s">
        <v>754</v>
      </c>
      <c r="D99" s="887">
        <f>'6-PlantInService'!C176</f>
        <v>-0.25040382582681681</v>
      </c>
      <c r="E99" s="887">
        <f>'6-PlantInService'!D176</f>
        <v>0.11536090893629729</v>
      </c>
      <c r="F99" s="887">
        <f>'6-PlantInService'!E176</f>
        <v>4.1212705094359356E-2</v>
      </c>
      <c r="G99" s="887">
        <f>'6-PlantInService'!F176</f>
        <v>0.14217850686469438</v>
      </c>
      <c r="H99" s="887">
        <f>'6-PlantInService'!G176</f>
        <v>2.9683921868276213E-2</v>
      </c>
      <c r="I99" s="887">
        <f>'6-PlantInService'!H176</f>
        <v>4.2287972837072627E-2</v>
      </c>
      <c r="J99" s="887">
        <f>'6-PlantInService'!I176</f>
        <v>9.3185868902315207E-3</v>
      </c>
      <c r="K99" s="887">
        <f>'6-PlantInService'!J176</f>
        <v>0.22005659259472019</v>
      </c>
      <c r="L99" s="887">
        <f>'6-PlantInService'!K176</f>
        <v>0.31369915250582997</v>
      </c>
      <c r="M99" s="887">
        <f>'6-PlantInService'!L176</f>
        <v>8.7205285885589554E-2</v>
      </c>
      <c r="N99" s="135"/>
    </row>
    <row r="100" spans="1:14">
      <c r="A100" s="379">
        <f t="shared" si="8"/>
        <v>51</v>
      </c>
      <c r="C100" s="528" t="s">
        <v>755</v>
      </c>
      <c r="D100" s="887">
        <f>'6-PlantInService'!C177</f>
        <v>8.7084757242605448E-2</v>
      </c>
      <c r="E100" s="887">
        <f>'6-PlantInService'!D177</f>
        <v>8.0912799577659428E-2</v>
      </c>
      <c r="F100" s="887">
        <f>'6-PlantInService'!E177</f>
        <v>0.46692876209901624</v>
      </c>
      <c r="G100" s="887">
        <f>'6-PlantInService'!F177</f>
        <v>0.16220465313362789</v>
      </c>
      <c r="H100" s="887">
        <f>'6-PlantInService'!G177</f>
        <v>-0.10802183596253608</v>
      </c>
      <c r="I100" s="887">
        <f>'6-PlantInService'!H177</f>
        <v>3.7659866804689225E-2</v>
      </c>
      <c r="J100" s="887">
        <f>'6-PlantInService'!I177</f>
        <v>0.28014207566139093</v>
      </c>
      <c r="K100" s="887">
        <f>'6-PlantInService'!J177</f>
        <v>7.1881371275529585E-2</v>
      </c>
      <c r="L100" s="887">
        <f>'6-PlantInService'!K177</f>
        <v>4.3682601689842365E-2</v>
      </c>
      <c r="M100" s="887">
        <f>'6-PlantInService'!L177</f>
        <v>5.6690352865084795E-2</v>
      </c>
      <c r="N100" s="206"/>
    </row>
    <row r="102" spans="1:14">
      <c r="C102" s="1" t="s">
        <v>879</v>
      </c>
    </row>
    <row r="104" spans="1:14">
      <c r="C104" s="302" t="s">
        <v>880</v>
      </c>
    </row>
    <row r="105" spans="1:14">
      <c r="C105" s="11"/>
      <c r="D105" s="52">
        <v>350.1</v>
      </c>
      <c r="E105" s="52">
        <v>350.2</v>
      </c>
      <c r="F105" s="52">
        <v>352</v>
      </c>
      <c r="G105" s="52">
        <v>353</v>
      </c>
      <c r="H105" s="52">
        <v>354</v>
      </c>
      <c r="I105" s="52">
        <v>355</v>
      </c>
      <c r="J105" s="52">
        <v>356</v>
      </c>
      <c r="K105" s="52">
        <v>357</v>
      </c>
      <c r="L105" s="52">
        <v>358</v>
      </c>
      <c r="M105" s="52">
        <v>359</v>
      </c>
      <c r="N105" s="2" t="s">
        <v>388</v>
      </c>
    </row>
    <row r="106" spans="1:14">
      <c r="A106" s="379">
        <f>A100+1</f>
        <v>52</v>
      </c>
      <c r="C106" s="11"/>
      <c r="D106" s="5">
        <f t="shared" ref="D106:M106" si="9">D24-D12</f>
        <v>0</v>
      </c>
      <c r="E106" s="5">
        <f t="shared" si="9"/>
        <v>2714947.6082382202</v>
      </c>
      <c r="F106" s="5">
        <f t="shared" si="9"/>
        <v>14833456.028324664</v>
      </c>
      <c r="G106" s="5">
        <f t="shared" si="9"/>
        <v>37009906.352702141</v>
      </c>
      <c r="H106" s="5">
        <f t="shared" si="9"/>
        <v>33997367.877747357</v>
      </c>
      <c r="I106" s="5">
        <f t="shared" si="9"/>
        <v>2947734.8439719453</v>
      </c>
      <c r="J106" s="5">
        <f t="shared" si="9"/>
        <v>19674762.761760533</v>
      </c>
      <c r="K106" s="5">
        <f t="shared" si="9"/>
        <v>2978705.9690021025</v>
      </c>
      <c r="L106" s="5">
        <f t="shared" si="9"/>
        <v>4191168.6144474605</v>
      </c>
      <c r="M106" s="5">
        <f t="shared" si="9"/>
        <v>2714339.6591107249</v>
      </c>
      <c r="N106" s="5">
        <f>SUM(D106:M106)</f>
        <v>121062389.71530513</v>
      </c>
    </row>
    <row r="107" spans="1:14">
      <c r="C107" s="302" t="s">
        <v>881</v>
      </c>
    </row>
    <row r="108" spans="1:14">
      <c r="C108" s="11"/>
      <c r="D108" s="52">
        <v>350.1</v>
      </c>
      <c r="E108" s="52">
        <v>350.2</v>
      </c>
      <c r="F108" s="52">
        <v>352</v>
      </c>
      <c r="G108" s="52">
        <v>353</v>
      </c>
      <c r="H108" s="52">
        <v>354</v>
      </c>
      <c r="I108" s="52">
        <v>355</v>
      </c>
      <c r="J108" s="52">
        <v>356</v>
      </c>
      <c r="K108" s="52">
        <v>357</v>
      </c>
      <c r="L108" s="52">
        <v>358</v>
      </c>
      <c r="M108" s="52">
        <v>359</v>
      </c>
      <c r="N108" s="2" t="s">
        <v>388</v>
      </c>
    </row>
    <row r="109" spans="1:14">
      <c r="A109" s="379">
        <f>A106+1</f>
        <v>53</v>
      </c>
      <c r="C109" s="11"/>
      <c r="D109" s="5">
        <f t="shared" ref="D109:M109" si="10">D82</f>
        <v>0</v>
      </c>
      <c r="E109" s="5">
        <f t="shared" si="10"/>
        <v>2756575.2944878512</v>
      </c>
      <c r="F109" s="5">
        <f t="shared" si="10"/>
        <v>14161224.528892267</v>
      </c>
      <c r="G109" s="5">
        <f t="shared" si="10"/>
        <v>97616868.503875062</v>
      </c>
      <c r="H109" s="5">
        <f t="shared" si="10"/>
        <v>62359727.195196934</v>
      </c>
      <c r="I109" s="5">
        <f t="shared" si="10"/>
        <v>10614784.73871919</v>
      </c>
      <c r="J109" s="5">
        <f t="shared" si="10"/>
        <v>41256531.737468831</v>
      </c>
      <c r="K109" s="5">
        <f t="shared" si="10"/>
        <v>3297007.1617638115</v>
      </c>
      <c r="L109" s="5">
        <f t="shared" si="10"/>
        <v>2028001.8920521557</v>
      </c>
      <c r="M109" s="5">
        <f t="shared" si="10"/>
        <v>2852764.7230767389</v>
      </c>
      <c r="N109" s="5">
        <f>SUM(D109:M109)</f>
        <v>236943485.77553284</v>
      </c>
    </row>
    <row r="110" spans="1:14">
      <c r="C110" s="302" t="s">
        <v>882</v>
      </c>
    </row>
    <row r="111" spans="1:14">
      <c r="D111" s="52">
        <v>350.1</v>
      </c>
      <c r="E111" s="52">
        <v>350.2</v>
      </c>
      <c r="F111" s="52">
        <v>352</v>
      </c>
      <c r="G111" s="52">
        <v>353</v>
      </c>
      <c r="H111" s="52">
        <v>354</v>
      </c>
      <c r="I111" s="52">
        <v>355</v>
      </c>
      <c r="J111" s="52">
        <v>356</v>
      </c>
      <c r="K111" s="52">
        <v>357</v>
      </c>
      <c r="L111" s="52">
        <v>358</v>
      </c>
      <c r="M111" s="52">
        <v>359</v>
      </c>
      <c r="N111" s="2" t="s">
        <v>388</v>
      </c>
    </row>
    <row r="112" spans="1:14">
      <c r="A112" s="379">
        <f>A109+1</f>
        <v>54</v>
      </c>
      <c r="D112" s="5">
        <f t="shared" ref="D112:M112" si="11">D106-D109</f>
        <v>0</v>
      </c>
      <c r="E112" s="5">
        <f t="shared" si="11"/>
        <v>-41627.686249630991</v>
      </c>
      <c r="F112" s="5">
        <f t="shared" si="11"/>
        <v>672231.49943239614</v>
      </c>
      <c r="G112" s="5">
        <f t="shared" si="11"/>
        <v>-60606962.151172921</v>
      </c>
      <c r="H112" s="5">
        <f t="shared" si="11"/>
        <v>-28362359.317449577</v>
      </c>
      <c r="I112" s="5">
        <f t="shared" si="11"/>
        <v>-7667049.8947472442</v>
      </c>
      <c r="J112" s="5">
        <f t="shared" si="11"/>
        <v>-21581768.975708298</v>
      </c>
      <c r="K112" s="5">
        <f t="shared" si="11"/>
        <v>-318301.19276170898</v>
      </c>
      <c r="L112" s="5">
        <f t="shared" si="11"/>
        <v>2163166.7223953046</v>
      </c>
      <c r="M112" s="5">
        <f t="shared" si="11"/>
        <v>-138425.06396601396</v>
      </c>
      <c r="N112" s="5">
        <f>SUM(D112:M112)</f>
        <v>-115881096.06022769</v>
      </c>
    </row>
    <row r="114" spans="1:14">
      <c r="C114" s="1" t="s">
        <v>883</v>
      </c>
      <c r="D114" s="298"/>
      <c r="E114" s="298"/>
      <c r="F114" s="298"/>
      <c r="G114" s="298"/>
      <c r="H114" s="298"/>
      <c r="I114" s="298"/>
      <c r="J114" s="298"/>
      <c r="K114" s="298"/>
      <c r="L114" s="298"/>
    </row>
    <row r="115" spans="1:14">
      <c r="C115" s="298"/>
      <c r="D115" s="298"/>
      <c r="E115" s="298"/>
      <c r="F115" s="298"/>
      <c r="G115" s="298"/>
      <c r="H115" s="298"/>
      <c r="I115" s="298"/>
      <c r="J115" s="298"/>
      <c r="K115" s="298"/>
      <c r="L115" s="298"/>
    </row>
    <row r="116" spans="1:14">
      <c r="C116" s="52" t="s">
        <v>307</v>
      </c>
      <c r="D116" s="52" t="s">
        <v>308</v>
      </c>
      <c r="E116" s="52" t="s">
        <v>309</v>
      </c>
      <c r="F116" s="52" t="s">
        <v>310</v>
      </c>
      <c r="G116" s="52" t="s">
        <v>311</v>
      </c>
      <c r="H116" s="52" t="s">
        <v>312</v>
      </c>
      <c r="I116" s="52" t="s">
        <v>313</v>
      </c>
      <c r="J116" s="52" t="s">
        <v>314</v>
      </c>
      <c r="K116" s="52" t="s">
        <v>315</v>
      </c>
      <c r="L116" s="52" t="s">
        <v>534</v>
      </c>
      <c r="M116" s="52" t="s">
        <v>535</v>
      </c>
      <c r="N116" s="52" t="s">
        <v>536</v>
      </c>
    </row>
    <row r="117" spans="1:14">
      <c r="C117" s="149"/>
      <c r="D117" s="133"/>
      <c r="E117" s="133"/>
      <c r="F117" s="133"/>
      <c r="G117" s="133"/>
      <c r="H117" s="133"/>
      <c r="I117" s="133"/>
      <c r="J117" s="133"/>
      <c r="K117" s="133"/>
      <c r="L117" s="133"/>
      <c r="N117" s="149" t="s">
        <v>741</v>
      </c>
    </row>
    <row r="118" spans="1:14">
      <c r="C118" s="74" t="s">
        <v>742</v>
      </c>
      <c r="D118" s="52">
        <v>350.1</v>
      </c>
      <c r="E118" s="52">
        <v>350.2</v>
      </c>
      <c r="F118" s="52">
        <v>352</v>
      </c>
      <c r="G118" s="52">
        <v>353</v>
      </c>
      <c r="H118" s="52">
        <v>354</v>
      </c>
      <c r="I118" s="52">
        <v>355</v>
      </c>
      <c r="J118" s="52">
        <v>356</v>
      </c>
      <c r="K118" s="52">
        <v>357</v>
      </c>
      <c r="L118" s="52">
        <v>358</v>
      </c>
      <c r="M118" s="52">
        <v>359</v>
      </c>
      <c r="N118" s="2" t="s">
        <v>388</v>
      </c>
    </row>
    <row r="119" spans="1:14">
      <c r="A119" s="379">
        <f>A112+1</f>
        <v>55</v>
      </c>
      <c r="C119" s="529" t="s">
        <v>744</v>
      </c>
      <c r="D119" s="137">
        <f>D$112*D89</f>
        <v>0</v>
      </c>
      <c r="E119" s="137">
        <f t="shared" ref="E119:M119" si="12">E$112*E89</f>
        <v>-1310.2953420097367</v>
      </c>
      <c r="F119" s="137">
        <f t="shared" si="12"/>
        <v>30262.337703419817</v>
      </c>
      <c r="G119" s="137">
        <f t="shared" si="12"/>
        <v>-3728491.4167699879</v>
      </c>
      <c r="H119" s="137">
        <f t="shared" si="12"/>
        <v>-1210319.0043331638</v>
      </c>
      <c r="I119" s="137">
        <f t="shared" si="12"/>
        <v>-295549.76041818544</v>
      </c>
      <c r="J119" s="137">
        <f t="shared" si="12"/>
        <v>-5309101.1130486866</v>
      </c>
      <c r="K119" s="137">
        <f t="shared" si="12"/>
        <v>-43956.139241478166</v>
      </c>
      <c r="L119" s="137">
        <f t="shared" si="12"/>
        <v>430834.73961090454</v>
      </c>
      <c r="M119" s="137">
        <f t="shared" si="12"/>
        <v>-8724.0840882231078</v>
      </c>
      <c r="N119" s="135">
        <f>SUM(D119:M119)</f>
        <v>-10136354.735927409</v>
      </c>
    </row>
    <row r="120" spans="1:14">
      <c r="A120" s="379">
        <f t="shared" ref="A120:A131" si="13">A119+1</f>
        <v>56</v>
      </c>
      <c r="C120" s="528" t="s">
        <v>745</v>
      </c>
      <c r="D120" s="137">
        <f t="shared" ref="D120:M130" si="14">D$112*D90</f>
        <v>0</v>
      </c>
      <c r="E120" s="137">
        <f t="shared" si="14"/>
        <v>-2193.1134229455192</v>
      </c>
      <c r="F120" s="137">
        <f t="shared" si="14"/>
        <v>31661.777771806217</v>
      </c>
      <c r="G120" s="137">
        <f t="shared" si="14"/>
        <v>-8713445.4760509338</v>
      </c>
      <c r="H120" s="137">
        <f t="shared" si="14"/>
        <v>5527376.7828229619</v>
      </c>
      <c r="I120" s="137">
        <f t="shared" si="14"/>
        <v>-309781.24412085454</v>
      </c>
      <c r="J120" s="137">
        <f t="shared" si="14"/>
        <v>-174223.87804171696</v>
      </c>
      <c r="K120" s="137">
        <f t="shared" si="14"/>
        <v>-59.26196062066542</v>
      </c>
      <c r="L120" s="137">
        <f t="shared" si="14"/>
        <v>6186.228877445682</v>
      </c>
      <c r="M120" s="137">
        <f t="shared" si="14"/>
        <v>-666.82940037803314</v>
      </c>
      <c r="N120" s="135">
        <f t="shared" ref="N120:N130" si="15">SUM(D120:M120)</f>
        <v>-3635145.0135252345</v>
      </c>
    </row>
    <row r="121" spans="1:14">
      <c r="A121" s="379">
        <f t="shared" si="13"/>
        <v>57</v>
      </c>
      <c r="C121" s="528" t="s">
        <v>746</v>
      </c>
      <c r="D121" s="137">
        <f t="shared" si="14"/>
        <v>0</v>
      </c>
      <c r="E121" s="137">
        <f t="shared" si="14"/>
        <v>-4028.3524072409682</v>
      </c>
      <c r="F121" s="137">
        <f t="shared" si="14"/>
        <v>41431.643351517836</v>
      </c>
      <c r="G121" s="137">
        <f t="shared" si="14"/>
        <v>-11803453.982709033</v>
      </c>
      <c r="H121" s="137">
        <f t="shared" si="14"/>
        <v>9252113.2853222862</v>
      </c>
      <c r="I121" s="137">
        <f t="shared" si="14"/>
        <v>-962274.76199140889</v>
      </c>
      <c r="J121" s="137">
        <f t="shared" si="14"/>
        <v>-1695216.4119374997</v>
      </c>
      <c r="K121" s="137">
        <f t="shared" si="14"/>
        <v>-11855.063605973266</v>
      </c>
      <c r="L121" s="137">
        <f t="shared" si="14"/>
        <v>22976.486095714816</v>
      </c>
      <c r="M121" s="137">
        <f t="shared" si="14"/>
        <v>-518.02127380096431</v>
      </c>
      <c r="N121" s="135">
        <f t="shared" si="15"/>
        <v>-5160825.1791554391</v>
      </c>
    </row>
    <row r="122" spans="1:14">
      <c r="A122" s="379">
        <f t="shared" si="13"/>
        <v>58</v>
      </c>
      <c r="C122" s="529" t="s">
        <v>747</v>
      </c>
      <c r="D122" s="137">
        <f t="shared" si="14"/>
        <v>0</v>
      </c>
      <c r="E122" s="137">
        <f t="shared" si="14"/>
        <v>219.88850711196307</v>
      </c>
      <c r="F122" s="137">
        <f t="shared" si="14"/>
        <v>34841.531605248929</v>
      </c>
      <c r="G122" s="137">
        <f t="shared" si="14"/>
        <v>-6892801.1274130661</v>
      </c>
      <c r="H122" s="137">
        <f t="shared" si="14"/>
        <v>-2974579.6829562015</v>
      </c>
      <c r="I122" s="137">
        <f t="shared" si="14"/>
        <v>-438583.58441082295</v>
      </c>
      <c r="J122" s="137">
        <f t="shared" si="14"/>
        <v>194301.46683607204</v>
      </c>
      <c r="K122" s="137">
        <f t="shared" si="14"/>
        <v>-113607.69720410004</v>
      </c>
      <c r="L122" s="137">
        <f t="shared" si="14"/>
        <v>146023.5571433497</v>
      </c>
      <c r="M122" s="137">
        <f t="shared" si="14"/>
        <v>17345.472569425168</v>
      </c>
      <c r="N122" s="135">
        <f t="shared" si="15"/>
        <v>-10026840.175322982</v>
      </c>
    </row>
    <row r="123" spans="1:14">
      <c r="A123" s="379">
        <f t="shared" si="13"/>
        <v>59</v>
      </c>
      <c r="C123" s="528" t="s">
        <v>748</v>
      </c>
      <c r="D123" s="137">
        <f t="shared" si="14"/>
        <v>0</v>
      </c>
      <c r="E123" s="137">
        <f t="shared" si="14"/>
        <v>-903.16251769065957</v>
      </c>
      <c r="F123" s="137">
        <f t="shared" si="14"/>
        <v>-4128.4868649771879</v>
      </c>
      <c r="G123" s="137">
        <f t="shared" si="14"/>
        <v>-3495248.0277251867</v>
      </c>
      <c r="H123" s="137">
        <f t="shared" si="14"/>
        <v>-2295614.7473950139</v>
      </c>
      <c r="I123" s="137">
        <f t="shared" si="14"/>
        <v>-263669.09357701486</v>
      </c>
      <c r="J123" s="137">
        <f t="shared" si="14"/>
        <v>-1488151.903670114</v>
      </c>
      <c r="K123" s="137">
        <f t="shared" si="14"/>
        <v>-17916.336136189337</v>
      </c>
      <c r="L123" s="137">
        <f t="shared" si="14"/>
        <v>122127.95265122311</v>
      </c>
      <c r="M123" s="137">
        <f t="shared" si="14"/>
        <v>-174.71812512076121</v>
      </c>
      <c r="N123" s="135">
        <f t="shared" si="15"/>
        <v>-7443678.5233600847</v>
      </c>
    </row>
    <row r="124" spans="1:14">
      <c r="A124" s="379">
        <f t="shared" si="13"/>
        <v>60</v>
      </c>
      <c r="C124" s="528" t="s">
        <v>749</v>
      </c>
      <c r="D124" s="137">
        <f t="shared" si="14"/>
        <v>0</v>
      </c>
      <c r="E124" s="137">
        <f t="shared" si="14"/>
        <v>-22606.656756746852</v>
      </c>
      <c r="F124" s="137">
        <f t="shared" si="14"/>
        <v>56278.574854349084</v>
      </c>
      <c r="G124" s="137">
        <f t="shared" si="14"/>
        <v>-5693320.2842990626</v>
      </c>
      <c r="H124" s="137">
        <f t="shared" si="14"/>
        <v>-857165.4647936197</v>
      </c>
      <c r="I124" s="137">
        <f t="shared" si="14"/>
        <v>-236274.15338424596</v>
      </c>
      <c r="J124" s="137">
        <f t="shared" si="14"/>
        <v>-119679.14922076746</v>
      </c>
      <c r="K124" s="137">
        <f t="shared" si="14"/>
        <v>-7735.8666624898551</v>
      </c>
      <c r="L124" s="137">
        <f t="shared" si="14"/>
        <v>211608.58717398642</v>
      </c>
      <c r="M124" s="137">
        <f t="shared" si="14"/>
        <v>-468.23734080068601</v>
      </c>
      <c r="N124" s="135">
        <f t="shared" si="15"/>
        <v>-6669362.6504293978</v>
      </c>
    </row>
    <row r="125" spans="1:14">
      <c r="A125" s="379">
        <f t="shared" si="13"/>
        <v>61</v>
      </c>
      <c r="C125" s="529" t="s">
        <v>750</v>
      </c>
      <c r="D125" s="137">
        <f t="shared" si="14"/>
        <v>0</v>
      </c>
      <c r="E125" s="137">
        <f t="shared" si="14"/>
        <v>-1274.6084658533434</v>
      </c>
      <c r="F125" s="137">
        <f t="shared" si="14"/>
        <v>37250.04931176205</v>
      </c>
      <c r="G125" s="137">
        <f t="shared" si="14"/>
        <v>-4320650.2477922961</v>
      </c>
      <c r="H125" s="137">
        <f t="shared" si="14"/>
        <v>-695891.74864151818</v>
      </c>
      <c r="I125" s="137">
        <f t="shared" si="14"/>
        <v>-144207.08236197269</v>
      </c>
      <c r="J125" s="137">
        <f t="shared" si="14"/>
        <v>-399057.2499967828</v>
      </c>
      <c r="K125" s="137">
        <f t="shared" si="14"/>
        <v>-2819.6371287641587</v>
      </c>
      <c r="L125" s="137">
        <f t="shared" si="14"/>
        <v>36473.070286242393</v>
      </c>
      <c r="M125" s="137">
        <f t="shared" si="14"/>
        <v>-180.31296931398924</v>
      </c>
      <c r="N125" s="135">
        <f t="shared" si="15"/>
        <v>-5490357.767758497</v>
      </c>
    </row>
    <row r="126" spans="1:14">
      <c r="A126" s="379">
        <f t="shared" si="13"/>
        <v>62</v>
      </c>
      <c r="C126" s="528" t="s">
        <v>751</v>
      </c>
      <c r="D126" s="137">
        <f t="shared" si="14"/>
        <v>0</v>
      </c>
      <c r="E126" s="137">
        <f t="shared" si="14"/>
        <v>-867.76957484675768</v>
      </c>
      <c r="F126" s="137">
        <f t="shared" si="14"/>
        <v>-13045.179880384198</v>
      </c>
      <c r="G126" s="137">
        <f t="shared" si="14"/>
        <v>-2521467.8357961145</v>
      </c>
      <c r="H126" s="137">
        <f t="shared" si="14"/>
        <v>-32665492.037866995</v>
      </c>
      <c r="I126" s="137">
        <f t="shared" si="14"/>
        <v>-3409401.64926208</v>
      </c>
      <c r="J126" s="137">
        <f t="shared" si="14"/>
        <v>-5088302.207897976</v>
      </c>
      <c r="K126" s="137">
        <f t="shared" si="14"/>
        <v>-4093.1704410682955</v>
      </c>
      <c r="L126" s="137">
        <f t="shared" si="14"/>
        <v>39721.971496125858</v>
      </c>
      <c r="M126" s="137">
        <f t="shared" si="14"/>
        <v>-11887.891585800769</v>
      </c>
      <c r="N126" s="135">
        <f t="shared" si="15"/>
        <v>-43674835.770809136</v>
      </c>
    </row>
    <row r="127" spans="1:14">
      <c r="A127" s="379">
        <f t="shared" si="13"/>
        <v>63</v>
      </c>
      <c r="C127" s="528" t="s">
        <v>752</v>
      </c>
      <c r="D127" s="137">
        <f t="shared" si="14"/>
        <v>0</v>
      </c>
      <c r="E127" s="137">
        <f t="shared" si="14"/>
        <v>890.85983253597999</v>
      </c>
      <c r="F127" s="137">
        <f t="shared" si="14"/>
        <v>79474.925303403434</v>
      </c>
      <c r="G127" s="137">
        <f t="shared" si="14"/>
        <v>-1252696.0485117028</v>
      </c>
      <c r="H127" s="137">
        <f t="shared" si="14"/>
        <v>-9655827.1762584411</v>
      </c>
      <c r="I127" s="137">
        <f t="shared" si="14"/>
        <v>-521073.82112381223</v>
      </c>
      <c r="J127" s="137">
        <f t="shared" si="14"/>
        <v>-521491.89856930019</v>
      </c>
      <c r="K127" s="137">
        <f t="shared" si="14"/>
        <v>-42839.339822272705</v>
      </c>
      <c r="L127" s="137">
        <f t="shared" si="14"/>
        <v>284477.51640177274</v>
      </c>
      <c r="M127" s="137">
        <f t="shared" si="14"/>
        <v>-2061.4672375894188</v>
      </c>
      <c r="N127" s="135">
        <f t="shared" si="15"/>
        <v>-11631146.449985405</v>
      </c>
    </row>
    <row r="128" spans="1:14">
      <c r="A128" s="379">
        <f t="shared" si="13"/>
        <v>64</v>
      </c>
      <c r="C128" s="529" t="s">
        <v>753</v>
      </c>
      <c r="D128" s="137">
        <f t="shared" si="14"/>
        <v>0</v>
      </c>
      <c r="E128" s="137">
        <f t="shared" si="14"/>
        <v>-1384.0557448745801</v>
      </c>
      <c r="F128" s="137">
        <f t="shared" si="14"/>
        <v>36615.625861069566</v>
      </c>
      <c r="G128" s="137">
        <f t="shared" si="14"/>
        <v>6262350.9533671951</v>
      </c>
      <c r="H128" s="137">
        <f t="shared" si="14"/>
        <v>4991192.4089292306</v>
      </c>
      <c r="I128" s="137">
        <f t="shared" si="14"/>
        <v>-473270.66858620697</v>
      </c>
      <c r="J128" s="137">
        <f t="shared" si="14"/>
        <v>-733773.48341695347</v>
      </c>
      <c r="K128" s="137">
        <f t="shared" si="14"/>
        <v>19505.521553572711</v>
      </c>
      <c r="L128" s="137">
        <f t="shared" si="14"/>
        <v>89660.294791202366</v>
      </c>
      <c r="M128" s="137">
        <f t="shared" si="14"/>
        <v>-111170.21151591887</v>
      </c>
      <c r="N128" s="135">
        <f t="shared" si="15"/>
        <v>10079726.385238316</v>
      </c>
    </row>
    <row r="129" spans="1:14">
      <c r="A129" s="379">
        <f t="shared" si="13"/>
        <v>65</v>
      </c>
      <c r="C129" s="529" t="s">
        <v>754</v>
      </c>
      <c r="D129" s="137">
        <f t="shared" si="14"/>
        <v>0</v>
      </c>
      <c r="E129" s="137">
        <f t="shared" si="14"/>
        <v>-4802.2077226724359</v>
      </c>
      <c r="F129" s="137">
        <f t="shared" si="14"/>
        <v>27704.478541246343</v>
      </c>
      <c r="G129" s="137">
        <f t="shared" si="14"/>
        <v>-8617007.3842588123</v>
      </c>
      <c r="H129" s="137">
        <f t="shared" si="14"/>
        <v>-841906.05797914916</v>
      </c>
      <c r="I129" s="137">
        <f t="shared" si="14"/>
        <v>-324223.99768955202</v>
      </c>
      <c r="J129" s="137">
        <f t="shared" si="14"/>
        <v>-201111.58944504071</v>
      </c>
      <c r="K129" s="137">
        <f t="shared" si="14"/>
        <v>-70044.275897976884</v>
      </c>
      <c r="L129" s="137">
        <f t="shared" si="14"/>
        <v>678583.56754422106</v>
      </c>
      <c r="M129" s="137">
        <f t="shared" si="14"/>
        <v>-12071.397276887268</v>
      </c>
      <c r="N129" s="135">
        <f t="shared" si="15"/>
        <v>-9364878.8641846236</v>
      </c>
    </row>
    <row r="130" spans="1:14">
      <c r="A130" s="379">
        <f t="shared" si="13"/>
        <v>66</v>
      </c>
      <c r="C130" s="528" t="s">
        <v>755</v>
      </c>
      <c r="D130" s="286">
        <f t="shared" si="14"/>
        <v>0</v>
      </c>
      <c r="E130" s="286">
        <f t="shared" si="14"/>
        <v>-3368.2126343980817</v>
      </c>
      <c r="F130" s="286">
        <f t="shared" si="14"/>
        <v>313884.22187393426</v>
      </c>
      <c r="G130" s="286">
        <f t="shared" si="14"/>
        <v>-9830731.2732139174</v>
      </c>
      <c r="H130" s="286">
        <f t="shared" si="14"/>
        <v>3063754.1257000449</v>
      </c>
      <c r="I130" s="286">
        <f t="shared" si="14"/>
        <v>-288740.07782108773</v>
      </c>
      <c r="J130" s="286">
        <f t="shared" si="14"/>
        <v>-6045961.5572995339</v>
      </c>
      <c r="K130" s="286">
        <f t="shared" si="14"/>
        <v>-22879.926214348314</v>
      </c>
      <c r="L130" s="286">
        <f t="shared" si="14"/>
        <v>94492.750323115906</v>
      </c>
      <c r="M130" s="286">
        <f t="shared" si="14"/>
        <v>-7847.3657216052652</v>
      </c>
      <c r="N130" s="206">
        <f t="shared" si="15"/>
        <v>-12727397.315007795</v>
      </c>
    </row>
    <row r="131" spans="1:14">
      <c r="A131" s="379">
        <f t="shared" si="13"/>
        <v>67</v>
      </c>
      <c r="C131" s="861" t="s">
        <v>382</v>
      </c>
      <c r="D131" s="135">
        <f>SUM(D119:D130)</f>
        <v>0</v>
      </c>
      <c r="E131" s="135">
        <f t="shared" ref="E131:M131" si="16">SUM(E119:E130)</f>
        <v>-41627.686249630991</v>
      </c>
      <c r="F131" s="135">
        <f t="shared" si="16"/>
        <v>672231.49943239614</v>
      </c>
      <c r="G131" s="135">
        <f t="shared" si="16"/>
        <v>-60606962.151172921</v>
      </c>
      <c r="H131" s="135">
        <f t="shared" si="16"/>
        <v>-28362359.317449577</v>
      </c>
      <c r="I131" s="135">
        <f t="shared" si="16"/>
        <v>-7667049.8947472442</v>
      </c>
      <c r="J131" s="135">
        <f t="shared" si="16"/>
        <v>-21581768.975708302</v>
      </c>
      <c r="K131" s="135">
        <f t="shared" si="16"/>
        <v>-318301.19276170898</v>
      </c>
      <c r="L131" s="135">
        <f t="shared" si="16"/>
        <v>2163166.7223953046</v>
      </c>
      <c r="M131" s="135">
        <f t="shared" si="16"/>
        <v>-138425.06396601396</v>
      </c>
      <c r="N131" s="135">
        <f>SUM(N119:N130)</f>
        <v>-115881096.06022766</v>
      </c>
    </row>
    <row r="132" spans="1:14">
      <c r="D132" s="10"/>
      <c r="E132" s="10"/>
      <c r="F132" s="10"/>
      <c r="G132" s="10"/>
      <c r="H132" s="10"/>
      <c r="I132" s="10"/>
      <c r="J132" s="10"/>
      <c r="K132" s="10"/>
      <c r="L132" s="10"/>
      <c r="M132" s="10"/>
      <c r="N132" s="10"/>
    </row>
    <row r="133" spans="1:14">
      <c r="B133" s="229" t="s">
        <v>226</v>
      </c>
      <c r="D133" s="10"/>
      <c r="E133" s="10"/>
      <c r="F133" s="10"/>
      <c r="G133" s="10"/>
      <c r="H133" s="10"/>
      <c r="I133" s="10"/>
      <c r="J133" s="10"/>
      <c r="K133" s="10"/>
      <c r="L133" s="10"/>
      <c r="M133" s="10"/>
      <c r="N133" s="10"/>
    </row>
    <row r="134" spans="1:14">
      <c r="B134" s="686" t="s">
        <v>884</v>
      </c>
      <c r="C134" s="10"/>
      <c r="D134" s="10"/>
      <c r="E134" s="10"/>
      <c r="F134" s="10"/>
      <c r="G134" s="10"/>
      <c r="H134" s="10"/>
      <c r="I134" s="10"/>
      <c r="J134" s="10"/>
    </row>
    <row r="135" spans="1:14">
      <c r="B135" s="886" t="s">
        <v>885</v>
      </c>
      <c r="C135" s="10"/>
      <c r="D135" s="10"/>
      <c r="E135" s="10"/>
      <c r="F135" s="10"/>
      <c r="G135" s="10"/>
      <c r="H135" s="10"/>
      <c r="I135" s="10"/>
      <c r="J135" s="10"/>
    </row>
    <row r="136" spans="1:14">
      <c r="B136" s="419" t="s">
        <v>886</v>
      </c>
      <c r="C136" s="405"/>
      <c r="D136" s="405"/>
      <c r="E136" s="405"/>
      <c r="F136" s="405"/>
      <c r="G136" s="405"/>
      <c r="H136" s="405"/>
      <c r="I136" s="405"/>
      <c r="J136" s="10"/>
      <c r="K136" s="10"/>
      <c r="L136" s="405"/>
      <c r="M136" s="405"/>
      <c r="N136" s="10"/>
    </row>
    <row r="137" spans="1:14">
      <c r="B137" s="690" t="s">
        <v>887</v>
      </c>
      <c r="C137" s="405"/>
      <c r="D137" s="405"/>
      <c r="E137" s="405"/>
      <c r="F137" s="405"/>
      <c r="G137" s="405"/>
      <c r="H137" s="405"/>
      <c r="I137" s="405"/>
      <c r="J137" s="405"/>
      <c r="K137" s="405"/>
      <c r="L137" s="405"/>
      <c r="M137" s="405"/>
      <c r="N137" s="10"/>
    </row>
    <row r="138" spans="1:14">
      <c r="B138" s="690" t="s">
        <v>888</v>
      </c>
      <c r="C138" s="405"/>
      <c r="D138" s="405"/>
      <c r="E138" s="405"/>
      <c r="F138" s="405"/>
      <c r="G138" s="405"/>
      <c r="H138" s="405"/>
      <c r="I138" s="405"/>
      <c r="J138" s="405"/>
      <c r="K138" s="405"/>
      <c r="L138" s="405"/>
      <c r="M138" s="405"/>
      <c r="N138" s="10"/>
    </row>
    <row r="139" spans="1:14">
      <c r="B139" s="690" t="s">
        <v>889</v>
      </c>
      <c r="C139" s="405"/>
      <c r="D139" s="405"/>
      <c r="E139" s="405"/>
      <c r="F139" s="405"/>
      <c r="G139" s="405"/>
      <c r="H139" s="405"/>
      <c r="I139" s="405"/>
      <c r="J139" s="405"/>
      <c r="K139" s="405"/>
      <c r="L139" s="405"/>
      <c r="M139" s="405"/>
      <c r="N139" s="10"/>
    </row>
    <row r="140" spans="1:14">
      <c r="B140" s="419" t="s">
        <v>890</v>
      </c>
      <c r="C140" s="405"/>
      <c r="D140" s="405"/>
      <c r="E140" s="405"/>
      <c r="F140" s="405"/>
      <c r="G140" s="405"/>
      <c r="H140" s="405"/>
      <c r="I140" s="405"/>
      <c r="J140" s="405"/>
      <c r="K140" s="405"/>
      <c r="L140" s="405"/>
      <c r="M140" s="405"/>
      <c r="N140" s="10"/>
    </row>
    <row r="141" spans="1:14">
      <c r="B141" s="690" t="s">
        <v>891</v>
      </c>
      <c r="C141" s="405"/>
      <c r="D141" s="405"/>
      <c r="E141" s="405"/>
      <c r="F141" s="405"/>
      <c r="G141" s="405"/>
      <c r="H141" s="405"/>
      <c r="I141" s="405"/>
      <c r="J141" s="405"/>
      <c r="K141" s="405"/>
      <c r="L141" s="405"/>
      <c r="M141" s="405"/>
      <c r="N141" s="10"/>
    </row>
    <row r="142" spans="1:14">
      <c r="B142" s="690" t="s">
        <v>892</v>
      </c>
      <c r="C142" s="405"/>
      <c r="D142" s="405"/>
      <c r="E142" s="405"/>
      <c r="F142" s="405"/>
      <c r="G142" s="405"/>
      <c r="H142" s="405"/>
      <c r="I142" s="405"/>
      <c r="J142" s="405"/>
      <c r="K142" s="405"/>
      <c r="L142" s="405"/>
      <c r="M142" s="405"/>
      <c r="N142" s="10"/>
    </row>
    <row r="143" spans="1:14">
      <c r="B143" s="690" t="s">
        <v>893</v>
      </c>
      <c r="C143" s="405"/>
      <c r="D143" s="405"/>
      <c r="E143" s="405"/>
      <c r="F143" s="405"/>
      <c r="G143" s="405"/>
      <c r="H143" s="405"/>
      <c r="I143" s="405"/>
      <c r="J143" s="405"/>
      <c r="K143" s="405"/>
      <c r="L143" s="405"/>
      <c r="M143" s="405"/>
      <c r="N143" s="10"/>
    </row>
    <row r="144" spans="1:14">
      <c r="B144" s="300" t="str">
        <f>"2) Amounts on Line "&amp;A33&amp;" derived from Plant Study for previous year Prior Year."</f>
        <v>2) Amounts on Line 15 derived from Plant Study for previous year Prior Year.</v>
      </c>
      <c r="C144" s="10"/>
      <c r="D144" s="10"/>
      <c r="E144" s="10"/>
      <c r="F144" s="10"/>
      <c r="G144" s="10"/>
      <c r="H144" s="10"/>
      <c r="I144" s="10"/>
      <c r="J144" s="10"/>
    </row>
    <row r="145" spans="2:10">
      <c r="B145" s="297" t="str">
        <f>"Amounts on Line "&amp;A34&amp;" derived from Plant Study for Prior Year."</f>
        <v>Amounts on Line 16 derived from Plant Study for Prior Year.</v>
      </c>
      <c r="C145" s="10"/>
      <c r="D145" s="10"/>
      <c r="E145" s="10"/>
      <c r="F145" s="10"/>
      <c r="G145" s="10"/>
      <c r="H145" s="10"/>
      <c r="I145" s="10"/>
      <c r="J145" s="10"/>
    </row>
    <row r="146" spans="2:10">
      <c r="B146" s="10" t="str">
        <f>"3) From 17-Depreciation, Lines "&amp;'17-Depreciation'!A48&amp;" to "&amp;'17-Depreciation'!A59&amp;"."</f>
        <v>3) From 17-Depreciation, Lines 24 to 35.</v>
      </c>
      <c r="C146" s="10"/>
      <c r="D146" s="10"/>
      <c r="E146" s="10"/>
      <c r="F146" s="10"/>
      <c r="G146" s="10"/>
      <c r="H146" s="10"/>
      <c r="I146" s="10"/>
      <c r="J146" s="10"/>
    </row>
    <row r="147" spans="2:10">
      <c r="B147" s="300" t="s">
        <v>894</v>
      </c>
      <c r="C147" s="10"/>
      <c r="D147" s="10"/>
      <c r="E147" s="10"/>
      <c r="F147" s="10"/>
      <c r="G147" s="10"/>
      <c r="H147" s="10"/>
      <c r="I147" s="10"/>
      <c r="J147" s="10"/>
    </row>
    <row r="148" spans="2:10">
      <c r="B148" s="300" t="str">
        <f>"5) Line "&amp;A24&amp;" - Line "&amp;A12&amp;"."</f>
        <v>5) Line 13 - Line 1.</v>
      </c>
      <c r="C148" s="10"/>
      <c r="D148" s="10"/>
      <c r="E148" s="10"/>
      <c r="F148" s="10"/>
      <c r="G148" s="10"/>
      <c r="H148" s="10"/>
      <c r="I148" s="10"/>
      <c r="J148" s="10"/>
    </row>
    <row r="149" spans="2:10">
      <c r="B149" s="10" t="str">
        <f>"6) Line "&amp;A82&amp;"."</f>
        <v>6) Line 39.</v>
      </c>
      <c r="C149" s="10"/>
      <c r="D149" s="10"/>
      <c r="E149" s="10"/>
      <c r="F149" s="10"/>
      <c r="G149" s="10"/>
      <c r="H149" s="10"/>
      <c r="I149" s="10"/>
      <c r="J149" s="10"/>
    </row>
    <row r="150" spans="2:10">
      <c r="B150" s="300" t="str">
        <f>"7) Line "&amp;A106&amp;" - Line "&amp;A109&amp;"."</f>
        <v>7) Line 52 - Line 53.</v>
      </c>
      <c r="C150" s="10"/>
      <c r="D150" s="10"/>
      <c r="E150" s="10"/>
      <c r="F150" s="10"/>
      <c r="G150" s="10"/>
      <c r="H150" s="10"/>
      <c r="I150" s="10"/>
      <c r="J150" s="10"/>
    </row>
    <row r="151" spans="2:10">
      <c r="B151" s="300" t="s">
        <v>895</v>
      </c>
      <c r="C151" s="10"/>
      <c r="D151" s="10"/>
      <c r="E151" s="10"/>
      <c r="F151" s="10"/>
      <c r="G151" s="10"/>
      <c r="H151" s="10"/>
      <c r="I151" s="10"/>
      <c r="J151" s="10"/>
    </row>
    <row r="152" spans="2:10">
      <c r="B152" s="297" t="s">
        <v>896</v>
      </c>
      <c r="C152" s="10"/>
      <c r="D152" s="10"/>
      <c r="E152" s="10"/>
      <c r="F152" s="10"/>
      <c r="G152" s="10"/>
      <c r="H152" s="10"/>
      <c r="I152" s="10"/>
      <c r="J152" s="10"/>
    </row>
    <row r="153" spans="2:10">
      <c r="B153" s="300"/>
      <c r="C153" s="10"/>
      <c r="D153" s="10"/>
      <c r="E153" s="10"/>
      <c r="F153" s="10"/>
      <c r="G153" s="10"/>
      <c r="H153" s="10"/>
      <c r="I153" s="10"/>
      <c r="J153" s="10"/>
    </row>
    <row r="154" spans="2:10">
      <c r="B154" s="300"/>
      <c r="C154" s="10"/>
      <c r="D154" s="10"/>
      <c r="E154" s="10"/>
      <c r="F154" s="10"/>
      <c r="G154" s="10"/>
      <c r="H154" s="10"/>
      <c r="I154" s="10"/>
      <c r="J154" s="10"/>
    </row>
  </sheetData>
  <phoneticPr fontId="22" type="noConversion"/>
  <pageMargins left="0.75" right="0.75" top="1" bottom="1" header="0.5" footer="0.5"/>
  <pageSetup scale="65" orientation="landscape" cellComments="asDisplayed" r:id="rId1"/>
  <headerFooter alignWithMargins="0">
    <oddHeader>&amp;CSchedule 8
Accumulated Depreciation
&amp;RTO2020 Draft Annual Update 
Attachment1</oddHeader>
    <oddFooter>&amp;R&amp;A</oddFooter>
  </headerFooter>
  <rowBreaks count="3" manualBreakCount="3">
    <brk id="36" max="16383" man="1"/>
    <brk id="83" max="16383" man="1"/>
    <brk id="1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86"/>
  <sheetViews>
    <sheetView zoomScaleNormal="100" zoomScaleSheetLayoutView="80" workbookViewId="0"/>
  </sheetViews>
  <sheetFormatPr defaultRowHeight="12.75"/>
  <cols>
    <col min="1" max="1" width="4.7109375" customWidth="1"/>
    <col min="2" max="2" width="9.7109375" style="346" customWidth="1"/>
    <col min="3" max="3" width="50.7109375" style="346" customWidth="1"/>
    <col min="4" max="4" width="15.7109375" style="346" customWidth="1"/>
    <col min="5" max="5" width="16.7109375" style="346" customWidth="1"/>
    <col min="6" max="6" width="15.7109375" style="346" customWidth="1"/>
    <col min="7" max="7" width="16.7109375" style="346" customWidth="1"/>
    <col min="8" max="8" width="15.7109375" style="346" customWidth="1"/>
    <col min="9" max="9" width="16.140625" style="346" bestFit="1" customWidth="1"/>
    <col min="10" max="10" width="33.7109375" style="346" customWidth="1"/>
    <col min="11" max="11" width="10" style="10" bestFit="1" customWidth="1"/>
  </cols>
  <sheetData>
    <row r="1" spans="1:12">
      <c r="A1" s="25" t="s">
        <v>897</v>
      </c>
      <c r="B1" s="300"/>
      <c r="C1" s="141"/>
      <c r="D1" s="141"/>
      <c r="E1" s="141"/>
      <c r="F1" s="769" t="s">
        <v>94</v>
      </c>
      <c r="G1" s="769"/>
      <c r="H1" s="141"/>
      <c r="I1" s="133"/>
      <c r="J1" s="133"/>
      <c r="K1" s="345"/>
      <c r="L1" s="345"/>
    </row>
    <row r="2" spans="1:12">
      <c r="A2" s="298"/>
      <c r="B2" s="410"/>
      <c r="C2" s="411"/>
      <c r="D2" s="411"/>
      <c r="E2" s="133"/>
      <c r="F2" s="133"/>
      <c r="G2" s="133"/>
      <c r="H2" s="133"/>
      <c r="I2" s="133"/>
      <c r="J2" s="133"/>
      <c r="K2" s="345"/>
      <c r="L2" s="345"/>
    </row>
    <row r="3" spans="1:12">
      <c r="A3" s="298"/>
      <c r="B3" s="410" t="s">
        <v>898</v>
      </c>
      <c r="C3" s="411"/>
      <c r="D3" s="411"/>
      <c r="E3" s="133"/>
      <c r="F3" s="133"/>
      <c r="G3" s="133"/>
      <c r="H3" s="133"/>
      <c r="I3" s="133"/>
      <c r="J3" s="133"/>
      <c r="K3" s="345"/>
      <c r="L3" s="345"/>
    </row>
    <row r="4" spans="1:12">
      <c r="A4" s="298"/>
      <c r="B4" s="410"/>
      <c r="C4" s="411"/>
      <c r="D4" s="411"/>
      <c r="E4" s="133"/>
      <c r="F4" s="133"/>
      <c r="G4" s="133"/>
      <c r="H4" s="133"/>
      <c r="I4" s="133"/>
      <c r="J4" s="133"/>
      <c r="K4" s="345"/>
      <c r="L4" s="345"/>
    </row>
    <row r="5" spans="1:12">
      <c r="A5" s="298"/>
      <c r="B5" s="412" t="s">
        <v>899</v>
      </c>
      <c r="C5" s="411"/>
      <c r="D5" s="411"/>
      <c r="E5" s="133"/>
      <c r="F5" s="133"/>
      <c r="G5" s="133"/>
      <c r="H5" s="133"/>
      <c r="I5" s="133"/>
      <c r="J5" s="133"/>
      <c r="K5" s="345"/>
      <c r="L5" s="345"/>
    </row>
    <row r="6" spans="1:12">
      <c r="A6" s="133"/>
      <c r="B6" s="410"/>
      <c r="C6" s="52" t="s">
        <v>307</v>
      </c>
      <c r="D6" s="52" t="s">
        <v>308</v>
      </c>
      <c r="E6" s="133"/>
      <c r="I6" s="133"/>
      <c r="J6" s="133"/>
      <c r="K6" s="345"/>
      <c r="L6" s="345"/>
    </row>
    <row r="7" spans="1:12">
      <c r="A7" s="133"/>
      <c r="C7" s="411"/>
      <c r="D7" s="133"/>
      <c r="E7" s="133"/>
      <c r="I7" s="133"/>
      <c r="J7" s="133"/>
      <c r="K7" s="345"/>
      <c r="L7" s="345"/>
    </row>
    <row r="8" spans="1:12">
      <c r="A8" s="133"/>
      <c r="B8" s="410"/>
      <c r="C8" s="141"/>
      <c r="D8" s="64" t="s">
        <v>388</v>
      </c>
      <c r="J8" s="133"/>
      <c r="K8" s="345"/>
      <c r="L8" s="345"/>
    </row>
    <row r="9" spans="1:12">
      <c r="A9" s="30" t="s">
        <v>243</v>
      </c>
      <c r="B9" s="410"/>
      <c r="C9" s="335" t="s">
        <v>816</v>
      </c>
      <c r="D9" s="74" t="s">
        <v>900</v>
      </c>
      <c r="E9" s="207" t="s">
        <v>763</v>
      </c>
      <c r="J9" s="133"/>
      <c r="K9" s="345"/>
      <c r="L9" s="345"/>
    </row>
    <row r="10" spans="1:12" ht="15">
      <c r="A10" s="215">
        <v>1</v>
      </c>
      <c r="B10" s="410"/>
      <c r="C10" s="300" t="s">
        <v>901</v>
      </c>
      <c r="D10" s="311">
        <f>+D68</f>
        <v>85540797.909495234</v>
      </c>
      <c r="E10" s="297" t="str">
        <f>"Line "&amp;A68&amp;", Col. 2"</f>
        <v>Line 353, Col. 2</v>
      </c>
      <c r="F10" s="1022"/>
      <c r="J10" s="133"/>
      <c r="K10" s="345"/>
      <c r="L10" s="345"/>
    </row>
    <row r="11" spans="1:12">
      <c r="A11" s="379">
        <f>A10+1</f>
        <v>2</v>
      </c>
      <c r="B11" s="410"/>
      <c r="C11" s="300" t="s">
        <v>902</v>
      </c>
      <c r="D11" s="311">
        <f>+D88</f>
        <v>-1162146512</v>
      </c>
      <c r="E11" s="297" t="str">
        <f>"Line "&amp;A88&amp;", Col. 2"</f>
        <v>Line 452, Col. 2</v>
      </c>
      <c r="F11" s="1022"/>
      <c r="J11" s="133"/>
      <c r="K11" s="345"/>
      <c r="L11" s="345"/>
    </row>
    <row r="12" spans="1:12">
      <c r="A12" s="379">
        <f t="shared" ref="A12:A24" si="0">A11+1</f>
        <v>3</v>
      </c>
      <c r="B12" s="410"/>
      <c r="C12" s="300" t="s">
        <v>903</v>
      </c>
      <c r="D12" s="311">
        <f>+D127</f>
        <v>-15214645.7882706</v>
      </c>
      <c r="E12" s="297" t="str">
        <f>"Line "&amp;A127&amp;", Col. 2"</f>
        <v>Line 803, Col. 2</v>
      </c>
      <c r="F12" s="1022"/>
      <c r="I12" s="347"/>
      <c r="J12" s="133"/>
      <c r="K12" s="345"/>
      <c r="L12" s="345"/>
    </row>
    <row r="13" spans="1:12" s="768" customFormat="1">
      <c r="A13" s="379">
        <f t="shared" si="0"/>
        <v>4</v>
      </c>
      <c r="B13" s="410"/>
      <c r="C13" s="998" t="s">
        <v>904</v>
      </c>
      <c r="D13" s="325">
        <v>-564818327</v>
      </c>
      <c r="E13" s="297" t="s">
        <v>905</v>
      </c>
      <c r="F13" s="1022"/>
      <c r="G13" s="346"/>
      <c r="H13" s="346"/>
      <c r="I13" s="347"/>
      <c r="J13" s="133"/>
      <c r="K13" s="345"/>
      <c r="L13" s="345"/>
    </row>
    <row r="14" spans="1:12">
      <c r="A14" s="379">
        <f t="shared" si="0"/>
        <v>5</v>
      </c>
      <c r="B14" s="410"/>
      <c r="C14" s="300" t="s">
        <v>906</v>
      </c>
      <c r="D14" s="312">
        <f>SUM(D10:D13)</f>
        <v>-1656638686.8787754</v>
      </c>
      <c r="E14" s="365" t="str">
        <f>"Sum of Lines "&amp;A10&amp;" to "&amp;A13&amp;""</f>
        <v>Sum of Lines 1 to 4</v>
      </c>
      <c r="F14" s="1022"/>
      <c r="J14" s="133"/>
      <c r="K14" s="345"/>
      <c r="L14" s="345"/>
    </row>
    <row r="15" spans="1:12">
      <c r="A15" s="379">
        <f t="shared" si="0"/>
        <v>6</v>
      </c>
      <c r="B15" s="410"/>
      <c r="C15" s="147" t="s">
        <v>907</v>
      </c>
      <c r="D15" s="141"/>
      <c r="E15" s="141"/>
      <c r="G15" s="348"/>
      <c r="H15" s="147"/>
      <c r="I15" s="141"/>
      <c r="J15" s="133"/>
      <c r="K15" s="345"/>
      <c r="L15" s="345"/>
    </row>
    <row r="16" spans="1:12">
      <c r="A16" s="379">
        <f t="shared" si="0"/>
        <v>7</v>
      </c>
      <c r="B16" s="412" t="s">
        <v>908</v>
      </c>
      <c r="E16" s="141"/>
      <c r="G16" s="347"/>
      <c r="H16" s="349"/>
      <c r="I16" s="347"/>
      <c r="J16" s="133"/>
      <c r="K16" s="345"/>
      <c r="L16" s="345"/>
    </row>
    <row r="17" spans="1:12">
      <c r="A17" s="379">
        <f t="shared" si="0"/>
        <v>8</v>
      </c>
      <c r="B17" s="412"/>
      <c r="D17" s="64" t="s">
        <v>909</v>
      </c>
      <c r="E17" s="141"/>
      <c r="G17" s="347"/>
      <c r="H17" s="349"/>
      <c r="I17" s="347"/>
      <c r="J17" s="133"/>
      <c r="K17" s="345"/>
      <c r="L17" s="345"/>
    </row>
    <row r="18" spans="1:12">
      <c r="A18" s="379">
        <f t="shared" si="0"/>
        <v>9</v>
      </c>
      <c r="B18" s="410"/>
      <c r="D18" s="74" t="s">
        <v>900</v>
      </c>
      <c r="E18" s="207" t="s">
        <v>763</v>
      </c>
      <c r="G18" s="350"/>
      <c r="H18" s="347"/>
      <c r="I18" s="347"/>
      <c r="J18" s="133"/>
      <c r="K18" s="345"/>
      <c r="L18" s="345"/>
    </row>
    <row r="19" spans="1:12">
      <c r="A19" s="379">
        <f t="shared" si="0"/>
        <v>10</v>
      </c>
      <c r="B19" s="410"/>
      <c r="C19" s="300" t="s">
        <v>906</v>
      </c>
      <c r="D19" s="325">
        <v>-1649088770</v>
      </c>
      <c r="E19" s="297" t="str">
        <f>"Previous Year Informational Filing, Line "&amp;A14&amp;", Col. 2"</f>
        <v>Previous Year Informational Filing, Line 5, Col. 2</v>
      </c>
      <c r="G19" s="987"/>
      <c r="H19" s="347"/>
      <c r="I19" s="347"/>
      <c r="K19" s="345"/>
      <c r="L19" s="345"/>
    </row>
    <row r="20" spans="1:12">
      <c r="A20" s="379">
        <f t="shared" si="0"/>
        <v>11</v>
      </c>
      <c r="B20" s="410"/>
      <c r="D20" s="141"/>
      <c r="E20" s="141"/>
      <c r="F20" s="347"/>
      <c r="G20" s="347"/>
      <c r="H20" s="347"/>
      <c r="I20" s="347"/>
      <c r="J20" s="133"/>
      <c r="K20" s="345"/>
      <c r="L20" s="345"/>
    </row>
    <row r="21" spans="1:12">
      <c r="A21" s="379">
        <f t="shared" si="0"/>
        <v>12</v>
      </c>
      <c r="B21" s="412" t="s">
        <v>910</v>
      </c>
      <c r="D21" s="141"/>
      <c r="E21" s="141"/>
      <c r="F21" s="347"/>
      <c r="G21" s="347"/>
      <c r="H21" s="347"/>
      <c r="I21" s="347"/>
      <c r="J21" s="133"/>
      <c r="K21" s="345"/>
      <c r="L21" s="345"/>
    </row>
    <row r="22" spans="1:12">
      <c r="A22" s="379">
        <f t="shared" si="0"/>
        <v>13</v>
      </c>
      <c r="B22" s="411"/>
      <c r="C22" s="413"/>
      <c r="D22" s="414" t="s">
        <v>911</v>
      </c>
      <c r="E22" s="133"/>
      <c r="F22" s="133"/>
      <c r="G22" s="133"/>
      <c r="H22" s="133"/>
      <c r="I22" s="133"/>
      <c r="J22" s="133"/>
      <c r="K22" s="345"/>
      <c r="L22" s="345"/>
    </row>
    <row r="23" spans="1:12">
      <c r="A23" s="379">
        <f t="shared" si="0"/>
        <v>14</v>
      </c>
      <c r="B23" s="411"/>
      <c r="D23" s="74" t="s">
        <v>24</v>
      </c>
      <c r="E23" s="207" t="s">
        <v>763</v>
      </c>
      <c r="F23" s="133"/>
      <c r="G23" s="350"/>
      <c r="H23" s="133"/>
      <c r="I23" s="133"/>
      <c r="J23" s="133"/>
      <c r="K23" s="345"/>
      <c r="L23" s="345"/>
    </row>
    <row r="24" spans="1:12">
      <c r="A24" s="379">
        <f t="shared" si="0"/>
        <v>15</v>
      </c>
      <c r="B24" s="411"/>
      <c r="C24" s="415" t="s">
        <v>912</v>
      </c>
      <c r="D24" s="789">
        <f>J151</f>
        <v>-1652565523.959929</v>
      </c>
      <c r="E24" s="147" t="s">
        <v>913</v>
      </c>
      <c r="F24" s="141"/>
      <c r="G24" s="347"/>
      <c r="H24" s="133"/>
      <c r="I24" s="133"/>
      <c r="J24" s="133"/>
      <c r="K24" s="345"/>
      <c r="L24" s="345"/>
    </row>
    <row r="25" spans="1:12">
      <c r="A25" s="379"/>
      <c r="B25" s="411"/>
      <c r="C25" s="413"/>
      <c r="D25" s="416"/>
      <c r="E25" s="133"/>
      <c r="F25" s="133"/>
      <c r="G25" s="133"/>
      <c r="H25" s="133"/>
      <c r="I25" s="133"/>
      <c r="J25" s="133"/>
      <c r="K25" s="345"/>
      <c r="L25" s="345"/>
    </row>
    <row r="26" spans="1:12">
      <c r="A26" s="379"/>
      <c r="B26" s="410" t="s">
        <v>914</v>
      </c>
      <c r="C26" s="413"/>
      <c r="D26" s="416"/>
      <c r="E26" s="133"/>
      <c r="F26" s="133"/>
      <c r="G26" s="133"/>
      <c r="H26" s="133"/>
      <c r="I26" s="133"/>
      <c r="J26" s="133"/>
      <c r="L26" s="768"/>
    </row>
    <row r="27" spans="1:12">
      <c r="A27" s="379"/>
      <c r="B27" s="410"/>
      <c r="C27" s="52" t="s">
        <v>307</v>
      </c>
      <c r="D27" s="52" t="s">
        <v>308</v>
      </c>
      <c r="E27" s="52" t="s">
        <v>309</v>
      </c>
      <c r="F27" s="52" t="s">
        <v>310</v>
      </c>
      <c r="G27" s="52" t="s">
        <v>311</v>
      </c>
      <c r="H27" s="52" t="s">
        <v>312</v>
      </c>
      <c r="I27" s="52" t="s">
        <v>313</v>
      </c>
      <c r="J27" s="133"/>
      <c r="L27" s="768"/>
    </row>
    <row r="28" spans="1:12">
      <c r="A28" s="298"/>
      <c r="B28" s="414"/>
      <c r="C28" s="414"/>
      <c r="D28" s="414" t="s">
        <v>915</v>
      </c>
      <c r="E28" s="414" t="s">
        <v>916</v>
      </c>
      <c r="F28" s="414"/>
      <c r="G28" s="414"/>
      <c r="H28" s="414" t="s">
        <v>917</v>
      </c>
      <c r="I28" s="692" t="s">
        <v>918</v>
      </c>
      <c r="J28" s="133"/>
      <c r="L28" s="768"/>
    </row>
    <row r="29" spans="1:12">
      <c r="A29" s="298"/>
      <c r="B29" s="417" t="s">
        <v>919</v>
      </c>
      <c r="C29" s="417" t="s">
        <v>920</v>
      </c>
      <c r="D29" s="417" t="s">
        <v>921</v>
      </c>
      <c r="E29" s="417" t="s">
        <v>922</v>
      </c>
      <c r="F29" s="417" t="s">
        <v>923</v>
      </c>
      <c r="G29" s="417" t="s">
        <v>924</v>
      </c>
      <c r="H29" s="417" t="s">
        <v>925</v>
      </c>
      <c r="I29" s="417" t="s">
        <v>926</v>
      </c>
      <c r="J29" s="133"/>
      <c r="L29" s="768"/>
    </row>
    <row r="30" spans="1:12">
      <c r="A30" s="379"/>
      <c r="B30" s="411" t="s">
        <v>927</v>
      </c>
      <c r="C30" s="411"/>
      <c r="D30" s="411"/>
      <c r="E30" s="133"/>
      <c r="F30" s="133"/>
      <c r="G30" s="133"/>
      <c r="H30" s="133"/>
      <c r="I30" s="133"/>
      <c r="J30" s="133"/>
      <c r="L30" s="768"/>
    </row>
    <row r="31" spans="1:12">
      <c r="A31" s="64">
        <f>100</f>
        <v>100</v>
      </c>
      <c r="B31" s="773">
        <v>190</v>
      </c>
      <c r="C31" s="766" t="s">
        <v>928</v>
      </c>
      <c r="D31" s="767">
        <v>672292</v>
      </c>
      <c r="E31" s="775">
        <f>D31*$G$174</f>
        <v>613.55995700160815</v>
      </c>
      <c r="F31" s="772"/>
      <c r="G31" s="775">
        <f>D31-E31</f>
        <v>671678.44004299841</v>
      </c>
      <c r="H31" s="775"/>
      <c r="I31" s="776" t="s">
        <v>929</v>
      </c>
      <c r="J31" s="769"/>
      <c r="L31" s="768"/>
    </row>
    <row r="32" spans="1:12">
      <c r="A32" s="64">
        <f t="shared" ref="A32:A45" si="1">A31+1</f>
        <v>101</v>
      </c>
      <c r="B32" s="773">
        <v>190</v>
      </c>
      <c r="C32" s="766" t="s">
        <v>930</v>
      </c>
      <c r="D32" s="767">
        <v>2228654</v>
      </c>
      <c r="E32" s="775">
        <f>D32*$G$166</f>
        <v>7147.0603238190251</v>
      </c>
      <c r="F32" s="772"/>
      <c r="G32" s="775"/>
      <c r="H32" s="775">
        <f>D32-E32</f>
        <v>2221506.9396761809</v>
      </c>
      <c r="I32" s="776" t="s">
        <v>931</v>
      </c>
      <c r="J32" s="769"/>
      <c r="L32" s="768"/>
    </row>
    <row r="33" spans="1:12">
      <c r="A33" s="64">
        <f t="shared" si="1"/>
        <v>102</v>
      </c>
      <c r="B33" s="773">
        <v>190</v>
      </c>
      <c r="C33" s="766" t="s">
        <v>932</v>
      </c>
      <c r="D33" s="767">
        <v>801941</v>
      </c>
      <c r="E33" s="775">
        <f>D33*$G$174</f>
        <v>731.88270197745419</v>
      </c>
      <c r="F33" s="772"/>
      <c r="G33" s="775">
        <f>D33-E33</f>
        <v>801209.11729802249</v>
      </c>
      <c r="H33" s="775"/>
      <c r="I33" s="776" t="s">
        <v>929</v>
      </c>
      <c r="J33" s="769"/>
      <c r="L33" s="768"/>
    </row>
    <row r="34" spans="1:12">
      <c r="A34" s="64">
        <f t="shared" si="1"/>
        <v>103</v>
      </c>
      <c r="B34" s="773">
        <v>190</v>
      </c>
      <c r="C34" s="766" t="s">
        <v>933</v>
      </c>
      <c r="D34" s="767">
        <v>1143688</v>
      </c>
      <c r="E34" s="775">
        <f>D34*$G$166</f>
        <v>3667.6878185792561</v>
      </c>
      <c r="F34" s="775"/>
      <c r="G34" s="775"/>
      <c r="H34" s="775">
        <f>D34-E34</f>
        <v>1140020.3121814209</v>
      </c>
      <c r="I34" s="776" t="s">
        <v>931</v>
      </c>
      <c r="J34" s="769"/>
      <c r="L34" s="768"/>
    </row>
    <row r="35" spans="1:12">
      <c r="A35" s="64">
        <f t="shared" si="1"/>
        <v>104</v>
      </c>
      <c r="B35" s="773">
        <v>190</v>
      </c>
      <c r="C35" s="766" t="s">
        <v>934</v>
      </c>
      <c r="D35" s="767">
        <v>28251649</v>
      </c>
      <c r="E35" s="775">
        <f>D35*$G$166</f>
        <v>90600.084019485061</v>
      </c>
      <c r="F35" s="772"/>
      <c r="G35" s="775"/>
      <c r="H35" s="775">
        <f>D35-E35</f>
        <v>28161048.915980514</v>
      </c>
      <c r="I35" s="776" t="s">
        <v>931</v>
      </c>
      <c r="J35" s="769"/>
      <c r="L35" s="768"/>
    </row>
    <row r="36" spans="1:12" ht="12.75" customHeight="1">
      <c r="A36" s="64">
        <f t="shared" si="1"/>
        <v>105</v>
      </c>
      <c r="B36" s="773">
        <v>190</v>
      </c>
      <c r="C36" s="766" t="s">
        <v>935</v>
      </c>
      <c r="D36" s="767">
        <v>13408092</v>
      </c>
      <c r="E36" s="775">
        <f>D36*$G$166</f>
        <v>42998.348936764203</v>
      </c>
      <c r="F36" s="772"/>
      <c r="G36" s="775"/>
      <c r="H36" s="775">
        <f>D36-E36</f>
        <v>13365093.651063235</v>
      </c>
      <c r="I36" s="776" t="s">
        <v>931</v>
      </c>
      <c r="J36" s="769"/>
      <c r="L36" s="768"/>
    </row>
    <row r="37" spans="1:12">
      <c r="A37" s="64">
        <f t="shared" si="1"/>
        <v>106</v>
      </c>
      <c r="B37" s="773">
        <v>190</v>
      </c>
      <c r="C37" s="766" t="s">
        <v>936</v>
      </c>
      <c r="D37" s="767">
        <v>1141054</v>
      </c>
      <c r="E37" s="775">
        <f>D37*$G$174</f>
        <v>1041.3704806490528</v>
      </c>
      <c r="F37" s="772"/>
      <c r="G37" s="775">
        <f>D37-E37</f>
        <v>1140012.6295193511</v>
      </c>
      <c r="H37" s="775"/>
      <c r="I37" s="776" t="s">
        <v>929</v>
      </c>
      <c r="J37" s="769"/>
      <c r="L37" s="768"/>
    </row>
    <row r="38" spans="1:12">
      <c r="A38" s="64">
        <f t="shared" si="1"/>
        <v>107</v>
      </c>
      <c r="B38" s="773">
        <v>190</v>
      </c>
      <c r="C38" s="766" t="s">
        <v>937</v>
      </c>
      <c r="D38" s="767">
        <v>746882284</v>
      </c>
      <c r="E38" s="775">
        <f>D38*$G$166</f>
        <v>2395173.3820232898</v>
      </c>
      <c r="F38" s="772"/>
      <c r="G38" s="775"/>
      <c r="H38" s="775">
        <f>D38-E38</f>
        <v>744487110.61797667</v>
      </c>
      <c r="I38" s="776" t="s">
        <v>929</v>
      </c>
      <c r="J38" s="769"/>
      <c r="L38" s="768"/>
    </row>
    <row r="39" spans="1:12">
      <c r="A39" s="64">
        <f t="shared" si="1"/>
        <v>108</v>
      </c>
      <c r="B39" s="773">
        <v>190</v>
      </c>
      <c r="C39" s="766" t="s">
        <v>938</v>
      </c>
      <c r="D39" s="767">
        <v>339698463</v>
      </c>
      <c r="E39" s="775">
        <f>+D39</f>
        <v>339698463</v>
      </c>
      <c r="F39" s="772"/>
      <c r="G39" s="775"/>
      <c r="H39" s="775"/>
      <c r="I39" s="776" t="s">
        <v>939</v>
      </c>
      <c r="J39" s="769"/>
      <c r="L39" s="768"/>
    </row>
    <row r="40" spans="1:12">
      <c r="A40" s="64">
        <f t="shared" si="1"/>
        <v>109</v>
      </c>
      <c r="B40" s="773">
        <v>190</v>
      </c>
      <c r="C40" s="766" t="s">
        <v>940</v>
      </c>
      <c r="D40" s="767">
        <v>-11619374</v>
      </c>
      <c r="E40" s="775">
        <f>+D40</f>
        <v>-11619374</v>
      </c>
      <c r="F40" s="772"/>
      <c r="G40" s="775"/>
      <c r="H40" s="775"/>
      <c r="I40" s="776" t="s">
        <v>941</v>
      </c>
      <c r="J40" s="769"/>
      <c r="L40" s="768"/>
    </row>
    <row r="41" spans="1:12">
      <c r="A41" s="64">
        <f t="shared" si="1"/>
        <v>110</v>
      </c>
      <c r="B41" s="773">
        <v>190</v>
      </c>
      <c r="C41" s="766" t="s">
        <v>942</v>
      </c>
      <c r="D41" s="767">
        <v>40171080</v>
      </c>
      <c r="E41" s="775">
        <f>D41*$G$166</f>
        <v>128824.45280108979</v>
      </c>
      <c r="F41" s="325"/>
      <c r="G41" s="775"/>
      <c r="H41" s="775">
        <f>D41-E41</f>
        <v>40042255.547198907</v>
      </c>
      <c r="I41" s="776" t="s">
        <v>931</v>
      </c>
      <c r="J41" s="536"/>
      <c r="L41" s="768"/>
    </row>
    <row r="42" spans="1:12">
      <c r="A42" s="64">
        <f t="shared" si="1"/>
        <v>111</v>
      </c>
      <c r="B42" s="773">
        <v>190</v>
      </c>
      <c r="C42" s="766" t="s">
        <v>943</v>
      </c>
      <c r="D42" s="767">
        <v>6547986</v>
      </c>
      <c r="E42" s="775">
        <f>+D42</f>
        <v>6547986</v>
      </c>
      <c r="F42" s="772"/>
      <c r="G42" s="775"/>
      <c r="H42" s="775"/>
      <c r="I42" s="778" t="s">
        <v>944</v>
      </c>
      <c r="J42" s="769"/>
      <c r="L42" s="768"/>
    </row>
    <row r="43" spans="1:12">
      <c r="A43" s="64">
        <f t="shared" si="1"/>
        <v>112</v>
      </c>
      <c r="B43" s="773">
        <v>190</v>
      </c>
      <c r="C43" s="766" t="s">
        <v>945</v>
      </c>
      <c r="D43" s="767">
        <v>36181620</v>
      </c>
      <c r="E43" s="775">
        <f>+D43</f>
        <v>36181620</v>
      </c>
      <c r="F43" s="772"/>
      <c r="G43" s="775"/>
      <c r="H43" s="772"/>
      <c r="I43" s="776" t="s">
        <v>946</v>
      </c>
      <c r="J43" s="769"/>
      <c r="L43" s="768"/>
    </row>
    <row r="44" spans="1:12">
      <c r="A44" s="64">
        <f t="shared" si="1"/>
        <v>113</v>
      </c>
      <c r="B44" s="773">
        <v>190</v>
      </c>
      <c r="C44" s="766" t="s">
        <v>947</v>
      </c>
      <c r="D44" s="767">
        <v>868848855</v>
      </c>
      <c r="E44" s="775">
        <f>+D44</f>
        <v>868848855</v>
      </c>
      <c r="F44" s="772"/>
      <c r="G44" s="775"/>
      <c r="H44" s="772"/>
      <c r="I44" s="776" t="s">
        <v>948</v>
      </c>
      <c r="J44" s="769"/>
      <c r="L44" s="768"/>
    </row>
    <row r="45" spans="1:12">
      <c r="A45" s="64">
        <f t="shared" si="1"/>
        <v>114</v>
      </c>
      <c r="B45" s="773">
        <v>190</v>
      </c>
      <c r="C45" s="766" t="s">
        <v>949</v>
      </c>
      <c r="D45" s="767">
        <v>192399428</v>
      </c>
      <c r="E45" s="1088"/>
      <c r="F45" s="772"/>
      <c r="G45" s="775">
        <f>D45-E45</f>
        <v>192399428</v>
      </c>
      <c r="H45" s="772"/>
      <c r="I45" s="776" t="s">
        <v>950</v>
      </c>
      <c r="J45" s="769"/>
      <c r="L45" s="768"/>
    </row>
    <row r="46" spans="1:12">
      <c r="A46" s="64"/>
      <c r="B46" s="418"/>
      <c r="C46" s="419"/>
      <c r="D46" s="420"/>
      <c r="E46" s="137"/>
      <c r="F46" s="137"/>
      <c r="G46" s="137"/>
      <c r="H46" s="137"/>
      <c r="I46" s="141"/>
      <c r="J46" s="141"/>
      <c r="K46" s="345"/>
      <c r="L46" s="345"/>
    </row>
    <row r="47" spans="1:12">
      <c r="A47" s="64"/>
      <c r="B47" s="410" t="s">
        <v>951</v>
      </c>
      <c r="C47" s="413"/>
      <c r="D47" s="416"/>
      <c r="E47" s="133"/>
      <c r="F47" s="133"/>
      <c r="G47" s="133"/>
      <c r="H47" s="133"/>
      <c r="I47" s="133"/>
      <c r="J47" s="141"/>
      <c r="K47" s="345"/>
      <c r="L47" s="345"/>
    </row>
    <row r="48" spans="1:12">
      <c r="A48" s="64"/>
      <c r="B48" s="410"/>
      <c r="C48" s="52" t="s">
        <v>307</v>
      </c>
      <c r="D48" s="52" t="s">
        <v>308</v>
      </c>
      <c r="E48" s="52" t="s">
        <v>309</v>
      </c>
      <c r="F48" s="52" t="s">
        <v>310</v>
      </c>
      <c r="G48" s="52" t="s">
        <v>311</v>
      </c>
      <c r="H48" s="52" t="s">
        <v>312</v>
      </c>
      <c r="I48" s="52" t="s">
        <v>313</v>
      </c>
      <c r="J48" s="141"/>
      <c r="K48" s="345"/>
      <c r="L48" s="345"/>
    </row>
    <row r="49" spans="1:12">
      <c r="A49" s="64"/>
      <c r="B49" s="414"/>
      <c r="C49" s="414"/>
      <c r="D49" s="414" t="s">
        <v>915</v>
      </c>
      <c r="E49" s="414" t="s">
        <v>916</v>
      </c>
      <c r="F49" s="414"/>
      <c r="G49" s="414"/>
      <c r="H49" s="414"/>
      <c r="I49" s="692" t="s">
        <v>918</v>
      </c>
      <c r="J49" s="141"/>
      <c r="K49" s="345"/>
      <c r="L49" s="345"/>
    </row>
    <row r="50" spans="1:12">
      <c r="A50" s="64"/>
      <c r="B50" s="417" t="s">
        <v>919</v>
      </c>
      <c r="C50" s="417" t="s">
        <v>920</v>
      </c>
      <c r="D50" s="417" t="s">
        <v>921</v>
      </c>
      <c r="E50" s="417" t="s">
        <v>922</v>
      </c>
      <c r="F50" s="417" t="s">
        <v>923</v>
      </c>
      <c r="G50" s="417" t="s">
        <v>924</v>
      </c>
      <c r="H50" s="417" t="s">
        <v>952</v>
      </c>
      <c r="I50" s="417" t="s">
        <v>926</v>
      </c>
      <c r="J50" s="137"/>
      <c r="K50" s="345"/>
      <c r="L50" s="345"/>
    </row>
    <row r="51" spans="1:12">
      <c r="A51" s="64"/>
      <c r="B51" s="411" t="s">
        <v>927</v>
      </c>
      <c r="C51" s="411"/>
      <c r="D51" s="411"/>
      <c r="E51" s="133"/>
      <c r="F51" s="133"/>
      <c r="G51" s="133"/>
      <c r="H51" s="133"/>
      <c r="I51" s="133"/>
      <c r="J51" s="141"/>
      <c r="K51" s="345"/>
      <c r="L51" s="345"/>
    </row>
    <row r="52" spans="1:12">
      <c r="A52" s="771">
        <v>115</v>
      </c>
      <c r="B52" s="773" t="s">
        <v>661</v>
      </c>
      <c r="C52" s="766"/>
      <c r="D52" s="767"/>
      <c r="E52" s="772"/>
      <c r="F52" s="772"/>
      <c r="G52" s="772"/>
      <c r="H52" s="772"/>
      <c r="I52" s="769"/>
      <c r="J52" s="769"/>
      <c r="K52" s="345"/>
      <c r="L52" s="345"/>
    </row>
    <row r="53" spans="1:12">
      <c r="A53" s="379"/>
      <c r="B53" s="421"/>
      <c r="C53" s="411"/>
      <c r="D53" s="422"/>
      <c r="E53" s="135"/>
      <c r="F53" s="135"/>
      <c r="G53" s="135"/>
      <c r="H53" s="135"/>
      <c r="I53" s="207" t="s">
        <v>763</v>
      </c>
      <c r="J53" s="133"/>
      <c r="K53" s="345"/>
      <c r="L53" s="345"/>
    </row>
    <row r="54" spans="1:12">
      <c r="A54" s="64">
        <v>250</v>
      </c>
      <c r="B54" s="411"/>
      <c r="C54" s="411" t="s">
        <v>953</v>
      </c>
      <c r="D54" s="431">
        <f>SUM(D31:D45)+SUM(D52:D52)</f>
        <v>2266757712</v>
      </c>
      <c r="E54" s="431">
        <f>SUM(E31:E45)+SUM(E52:E52)</f>
        <v>1242328347.8290627</v>
      </c>
      <c r="F54" s="423">
        <f>SUM(F31:F45)+SUM(F52:F52)</f>
        <v>0</v>
      </c>
      <c r="G54" s="423">
        <f>SUM(G31:G45)+SUM(G52:G52)</f>
        <v>195012328.18686038</v>
      </c>
      <c r="H54" s="423">
        <f>SUM(H31:H45)+SUM(H52:H52)</f>
        <v>829417035.98407686</v>
      </c>
      <c r="I54" s="291" t="str">
        <f>"Sum of Above Lines beginning on Line "&amp;A31&amp;""</f>
        <v>Sum of Above Lines beginning on Line 100</v>
      </c>
      <c r="J54" s="141"/>
      <c r="K54" s="345"/>
      <c r="L54" s="345"/>
    </row>
    <row r="55" spans="1:12">
      <c r="A55" s="379"/>
      <c r="B55" s="411"/>
      <c r="C55" s="411"/>
      <c r="D55" s="424"/>
      <c r="E55" s="135"/>
      <c r="F55" s="135"/>
      <c r="G55" s="135"/>
      <c r="H55" s="135"/>
      <c r="I55" s="133"/>
      <c r="J55" s="133"/>
      <c r="L55" s="768"/>
    </row>
    <row r="56" spans="1:12">
      <c r="A56" s="379"/>
      <c r="B56" s="411" t="s">
        <v>954</v>
      </c>
      <c r="C56" s="411"/>
      <c r="D56" s="424"/>
      <c r="E56" s="135"/>
      <c r="F56" s="135"/>
      <c r="G56" s="135"/>
      <c r="H56" s="135"/>
      <c r="I56" s="692" t="s">
        <v>918</v>
      </c>
      <c r="J56" s="133"/>
      <c r="L56" s="768"/>
    </row>
    <row r="57" spans="1:12">
      <c r="A57" s="379"/>
      <c r="C57" s="52" t="s">
        <v>307</v>
      </c>
      <c r="D57" s="52" t="s">
        <v>308</v>
      </c>
      <c r="E57" s="52" t="s">
        <v>309</v>
      </c>
      <c r="F57" s="52" t="s">
        <v>310</v>
      </c>
      <c r="G57" s="52" t="s">
        <v>311</v>
      </c>
      <c r="H57" s="52" t="s">
        <v>312</v>
      </c>
      <c r="I57" s="52" t="s">
        <v>313</v>
      </c>
      <c r="J57" s="133"/>
      <c r="L57" s="768"/>
    </row>
    <row r="58" spans="1:12">
      <c r="A58" s="771">
        <v>300</v>
      </c>
      <c r="B58" s="773">
        <v>190</v>
      </c>
      <c r="C58" s="766" t="s">
        <v>955</v>
      </c>
      <c r="D58" s="767">
        <v>140873</v>
      </c>
      <c r="E58" s="775">
        <f>D58</f>
        <v>140873</v>
      </c>
      <c r="F58" s="775"/>
      <c r="G58" s="775"/>
      <c r="H58" s="775"/>
      <c r="I58" s="776" t="s">
        <v>956</v>
      </c>
      <c r="J58" s="776"/>
      <c r="L58" s="768"/>
    </row>
    <row r="59" spans="1:12" s="768" customFormat="1">
      <c r="A59" s="771">
        <f>A58+1</f>
        <v>301</v>
      </c>
      <c r="B59" s="773">
        <v>190</v>
      </c>
      <c r="C59" s="766" t="s">
        <v>957</v>
      </c>
      <c r="D59" s="767">
        <v>2269027</v>
      </c>
      <c r="E59" s="775">
        <f>D59</f>
        <v>2269027</v>
      </c>
      <c r="F59" s="775"/>
      <c r="G59" s="775"/>
      <c r="H59" s="775"/>
      <c r="I59" s="776" t="s">
        <v>958</v>
      </c>
      <c r="J59" s="776"/>
      <c r="K59" s="10"/>
    </row>
    <row r="60" spans="1:12" s="768" customFormat="1">
      <c r="A60" s="771">
        <f t="shared" ref="A60" si="2">A59+1</f>
        <v>302</v>
      </c>
      <c r="B60" s="773">
        <v>190</v>
      </c>
      <c r="C60" s="766" t="s">
        <v>959</v>
      </c>
      <c r="D60" s="767">
        <v>1157506</v>
      </c>
      <c r="E60" s="775">
        <f>D60</f>
        <v>1157506</v>
      </c>
      <c r="F60" s="775"/>
      <c r="G60" s="775"/>
      <c r="H60" s="775"/>
      <c r="I60" s="776" t="s">
        <v>958</v>
      </c>
      <c r="J60" s="776"/>
      <c r="K60" s="10"/>
    </row>
    <row r="61" spans="1:12" s="768" customFormat="1">
      <c r="A61" s="771">
        <v>303</v>
      </c>
      <c r="B61" s="773" t="s">
        <v>661</v>
      </c>
      <c r="C61" s="766"/>
      <c r="D61" s="767"/>
      <c r="E61" s="775"/>
      <c r="F61" s="775"/>
      <c r="G61" s="775"/>
      <c r="H61" s="775"/>
      <c r="I61" s="776"/>
      <c r="J61" s="776"/>
      <c r="K61" s="10"/>
    </row>
    <row r="62" spans="1:12">
      <c r="A62" s="379"/>
      <c r="B62" s="421"/>
      <c r="C62" s="419"/>
      <c r="D62" s="420"/>
      <c r="E62" s="137"/>
      <c r="F62" s="137"/>
      <c r="G62" s="137"/>
      <c r="H62" s="137"/>
      <c r="I62" s="141"/>
      <c r="J62" s="141"/>
      <c r="L62" s="768"/>
    </row>
    <row r="63" spans="1:12">
      <c r="A63" s="379"/>
      <c r="B63" s="421"/>
      <c r="C63" s="52" t="s">
        <v>307</v>
      </c>
      <c r="D63" s="52" t="s">
        <v>308</v>
      </c>
      <c r="E63" s="52" t="s">
        <v>309</v>
      </c>
      <c r="F63" s="52" t="s">
        <v>310</v>
      </c>
      <c r="G63" s="52" t="s">
        <v>311</v>
      </c>
      <c r="H63" s="52" t="s">
        <v>312</v>
      </c>
      <c r="I63" s="207" t="s">
        <v>763</v>
      </c>
      <c r="J63" s="133"/>
      <c r="L63" s="768"/>
    </row>
    <row r="64" spans="1:12">
      <c r="A64" s="364">
        <v>350</v>
      </c>
      <c r="B64" s="411"/>
      <c r="C64" s="411" t="s">
        <v>960</v>
      </c>
      <c r="D64" s="431">
        <f>SUM(D58:D61)</f>
        <v>3567406</v>
      </c>
      <c r="E64" s="431">
        <f>SUM(E58:E61)</f>
        <v>3567406</v>
      </c>
      <c r="F64" s="423">
        <f>SUM(F58:F61)</f>
        <v>0</v>
      </c>
      <c r="G64" s="423">
        <f>SUM(G58:G61)</f>
        <v>0</v>
      </c>
      <c r="H64" s="423">
        <f>SUM(H58:H61)</f>
        <v>0</v>
      </c>
      <c r="I64" s="291" t="str">
        <f>"Sum of Above Lines beginning on Line "&amp;A58&amp;""</f>
        <v>Sum of Above Lines beginning on Line 300</v>
      </c>
      <c r="J64" s="141"/>
      <c r="L64" s="768"/>
    </row>
    <row r="65" spans="1:10">
      <c r="A65" s="364"/>
      <c r="B65" s="411"/>
      <c r="C65" s="411"/>
      <c r="D65" s="423"/>
      <c r="E65" s="423"/>
      <c r="F65" s="423"/>
      <c r="G65" s="423"/>
      <c r="H65" s="423"/>
      <c r="I65" s="291"/>
      <c r="J65" s="141"/>
    </row>
    <row r="66" spans="1:10">
      <c r="A66" s="364">
        <f t="shared" ref="A66" si="3">A64+1</f>
        <v>351</v>
      </c>
      <c r="B66" s="411"/>
      <c r="C66" s="411" t="s">
        <v>961</v>
      </c>
      <c r="D66" s="423">
        <f>+D64+D54</f>
        <v>2270325118</v>
      </c>
      <c r="E66" s="423">
        <f>+E64+E54</f>
        <v>1245895753.8290627</v>
      </c>
      <c r="F66" s="423">
        <f>+F64+F54</f>
        <v>0</v>
      </c>
      <c r="G66" s="423">
        <f>+G64+G54</f>
        <v>195012328.18686038</v>
      </c>
      <c r="H66" s="423">
        <f>+H64+H54</f>
        <v>829417035.98407686</v>
      </c>
      <c r="I66" s="1023" t="str">
        <f>"Line "&amp;A54&amp;" + Line "&amp;A64&amp;""</f>
        <v>Line 250 + Line 350</v>
      </c>
      <c r="J66" s="141"/>
    </row>
    <row r="67" spans="1:10">
      <c r="A67" s="364">
        <f>+A66+1</f>
        <v>352</v>
      </c>
      <c r="B67" s="411"/>
      <c r="C67" s="411" t="s">
        <v>962</v>
      </c>
      <c r="D67" s="423"/>
      <c r="E67" s="423"/>
      <c r="F67" s="423"/>
      <c r="G67" s="425">
        <f>'27-Allocators'!$G$27</f>
        <v>0.18756510121837444</v>
      </c>
      <c r="H67" s="425">
        <f>'27-Allocators'!$G$14</f>
        <v>5.9033379723389116E-2</v>
      </c>
      <c r="I67" s="539" t="str">
        <f>"27-Allocators Lines "&amp;'27-Allocators'!A27&amp;" and "&amp;'27-Allocators'!A14&amp;" respectively."</f>
        <v>27-Allocators Lines 22 and 9 respectively.</v>
      </c>
      <c r="J67" s="141"/>
    </row>
    <row r="68" spans="1:10">
      <c r="A68" s="364">
        <f>+A67+1</f>
        <v>353</v>
      </c>
      <c r="B68" s="411"/>
      <c r="C68" s="411" t="s">
        <v>963</v>
      </c>
      <c r="D68" s="423">
        <f>SUM(F68:H68)</f>
        <v>85540797.909495234</v>
      </c>
      <c r="E68" s="423"/>
      <c r="F68" s="426">
        <f>+F66</f>
        <v>0</v>
      </c>
      <c r="G68" s="426">
        <f>+G66*G67</f>
        <v>36577507.075199321</v>
      </c>
      <c r="H68" s="426">
        <f>+H66*H67</f>
        <v>48963290.834295906</v>
      </c>
      <c r="I68" s="1023" t="str">
        <f>"Line "&amp;A66&amp;" * Line "&amp;A67&amp;" for Cols 5 and 6.  Col. 4 100% ISO."</f>
        <v>Line 351 * Line 352 for Cols 5 and 6.  Col. 4 100% ISO.</v>
      </c>
      <c r="J68" s="141"/>
    </row>
    <row r="69" spans="1:10">
      <c r="A69" s="364"/>
      <c r="B69" s="411"/>
      <c r="C69" s="1024" t="s">
        <v>964</v>
      </c>
      <c r="D69" s="423"/>
      <c r="E69" s="423"/>
      <c r="F69" s="423"/>
      <c r="G69" s="423"/>
      <c r="H69" s="423"/>
      <c r="I69" s="351"/>
      <c r="J69" s="133"/>
    </row>
    <row r="70" spans="1:10">
      <c r="A70" s="364"/>
      <c r="B70" s="411"/>
      <c r="C70" s="411"/>
      <c r="D70" s="423"/>
      <c r="E70" s="423"/>
      <c r="F70" s="423"/>
      <c r="G70" s="423"/>
      <c r="H70" s="423"/>
      <c r="I70" s="351"/>
      <c r="J70" s="133"/>
    </row>
    <row r="71" spans="1:10">
      <c r="A71" s="364">
        <f>+A68+1</f>
        <v>354</v>
      </c>
      <c r="B71" s="411"/>
      <c r="C71" s="411" t="s">
        <v>965</v>
      </c>
      <c r="D71" s="774">
        <v>2270325118</v>
      </c>
      <c r="E71" s="1025" t="str">
        <f>"Must match amount on Line "&amp;A66&amp;", Col. 2"</f>
        <v>Must match amount on Line 351, Col. 2</v>
      </c>
      <c r="G71" s="423"/>
      <c r="H71" s="423"/>
      <c r="I71" s="351" t="s">
        <v>966</v>
      </c>
      <c r="J71" s="133"/>
    </row>
    <row r="72" spans="1:10">
      <c r="A72" s="379"/>
      <c r="B72" s="411"/>
      <c r="C72" s="411"/>
      <c r="D72" s="429"/>
      <c r="E72" s="429"/>
      <c r="F72" s="429"/>
      <c r="G72" s="429"/>
      <c r="H72" s="429"/>
      <c r="I72" s="352"/>
      <c r="J72" s="133"/>
    </row>
    <row r="73" spans="1:10">
      <c r="A73" s="298"/>
      <c r="B73" s="410" t="s">
        <v>967</v>
      </c>
      <c r="C73" s="430"/>
      <c r="D73" s="429"/>
      <c r="E73" s="133"/>
      <c r="F73" s="133"/>
      <c r="G73" s="133"/>
      <c r="H73" s="133"/>
      <c r="I73" s="133"/>
      <c r="J73" s="133"/>
    </row>
    <row r="74" spans="1:10">
      <c r="A74" s="298"/>
      <c r="C74" s="52" t="s">
        <v>307</v>
      </c>
      <c r="D74" s="52" t="s">
        <v>308</v>
      </c>
      <c r="E74" s="52" t="s">
        <v>309</v>
      </c>
      <c r="F74" s="52" t="s">
        <v>310</v>
      </c>
      <c r="G74" s="52" t="s">
        <v>311</v>
      </c>
      <c r="H74" s="52" t="s">
        <v>312</v>
      </c>
      <c r="I74" s="52" t="s">
        <v>313</v>
      </c>
      <c r="J74" s="133"/>
    </row>
    <row r="75" spans="1:10">
      <c r="A75" s="298"/>
      <c r="B75" s="414"/>
      <c r="C75" s="414"/>
      <c r="D75" s="414" t="s">
        <v>915</v>
      </c>
      <c r="E75" s="414" t="s">
        <v>916</v>
      </c>
      <c r="F75" s="414"/>
      <c r="G75" s="414"/>
      <c r="H75" s="414" t="s">
        <v>917</v>
      </c>
      <c r="I75" s="692" t="s">
        <v>918</v>
      </c>
      <c r="J75" s="133"/>
    </row>
    <row r="76" spans="1:10">
      <c r="A76" s="298"/>
      <c r="B76" s="417" t="s">
        <v>968</v>
      </c>
      <c r="C76" s="417" t="s">
        <v>920</v>
      </c>
      <c r="D76" s="417" t="s">
        <v>921</v>
      </c>
      <c r="E76" s="417" t="s">
        <v>922</v>
      </c>
      <c r="F76" s="417" t="s">
        <v>923</v>
      </c>
      <c r="G76" s="417" t="s">
        <v>924</v>
      </c>
      <c r="H76" s="417" t="s">
        <v>925</v>
      </c>
      <c r="I76" s="417" t="s">
        <v>926</v>
      </c>
      <c r="J76" s="133"/>
    </row>
    <row r="77" spans="1:10">
      <c r="A77" s="771">
        <v>400</v>
      </c>
      <c r="B77" s="777">
        <v>282</v>
      </c>
      <c r="C77" s="778" t="s">
        <v>969</v>
      </c>
      <c r="D77" s="779">
        <v>-1162146512</v>
      </c>
      <c r="E77" s="775"/>
      <c r="F77" s="775">
        <f>D77</f>
        <v>-1162146512</v>
      </c>
      <c r="G77" s="775"/>
      <c r="H77" s="775"/>
      <c r="I77" s="776" t="s">
        <v>970</v>
      </c>
      <c r="J77" s="776"/>
    </row>
    <row r="78" spans="1:10">
      <c r="A78" s="771">
        <f>A77+1</f>
        <v>401</v>
      </c>
      <c r="B78" s="777">
        <v>282</v>
      </c>
      <c r="C78" s="780" t="s">
        <v>943</v>
      </c>
      <c r="D78" s="779">
        <v>-6189165827</v>
      </c>
      <c r="E78" s="775">
        <f>D78</f>
        <v>-6189165827</v>
      </c>
      <c r="F78" s="775"/>
      <c r="G78" s="775"/>
      <c r="H78" s="775"/>
      <c r="I78" s="776" t="s">
        <v>971</v>
      </c>
      <c r="J78" s="776"/>
    </row>
    <row r="79" spans="1:10">
      <c r="A79" s="771">
        <f t="shared" ref="A79:A82" si="4">A78+1</f>
        <v>402</v>
      </c>
      <c r="B79" s="777">
        <v>282</v>
      </c>
      <c r="C79" s="778" t="s">
        <v>972</v>
      </c>
      <c r="D79" s="779">
        <v>-57179648</v>
      </c>
      <c r="E79" s="775">
        <f>D79</f>
        <v>-57179648</v>
      </c>
      <c r="F79" s="775"/>
      <c r="G79" s="775"/>
      <c r="H79" s="775"/>
      <c r="I79" s="776" t="s">
        <v>973</v>
      </c>
      <c r="J79" s="776"/>
    </row>
    <row r="80" spans="1:10">
      <c r="A80" s="771">
        <f t="shared" si="4"/>
        <v>403</v>
      </c>
      <c r="B80" s="777">
        <v>282</v>
      </c>
      <c r="C80" s="778" t="s">
        <v>974</v>
      </c>
      <c r="D80" s="779">
        <v>185395</v>
      </c>
      <c r="E80" s="775">
        <f>D80</f>
        <v>185395</v>
      </c>
      <c r="F80" s="775"/>
      <c r="G80" s="775"/>
      <c r="H80" s="775"/>
      <c r="I80" s="776" t="s">
        <v>975</v>
      </c>
      <c r="J80" s="776"/>
    </row>
    <row r="81" spans="1:11">
      <c r="A81" s="771">
        <f t="shared" si="4"/>
        <v>404</v>
      </c>
      <c r="B81" s="777">
        <v>282</v>
      </c>
      <c r="C81" s="780" t="s">
        <v>976</v>
      </c>
      <c r="D81" s="779">
        <v>-921831</v>
      </c>
      <c r="E81" s="775">
        <f>D81</f>
        <v>-921831</v>
      </c>
      <c r="F81" s="775"/>
      <c r="G81" s="775"/>
      <c r="H81" s="775"/>
      <c r="I81" s="776" t="s">
        <v>956</v>
      </c>
      <c r="J81" s="776"/>
    </row>
    <row r="82" spans="1:11">
      <c r="A82" s="771">
        <f t="shared" si="4"/>
        <v>405</v>
      </c>
      <c r="B82" s="777">
        <v>282</v>
      </c>
      <c r="C82" s="780" t="s">
        <v>977</v>
      </c>
      <c r="D82" s="779">
        <v>-6052598</v>
      </c>
      <c r="E82" s="775">
        <f>D82</f>
        <v>-6052598</v>
      </c>
      <c r="F82" s="775"/>
      <c r="G82" s="775"/>
      <c r="H82" s="775"/>
      <c r="I82" s="776" t="s">
        <v>958</v>
      </c>
      <c r="J82" s="776"/>
    </row>
    <row r="83" spans="1:11" s="768" customFormat="1">
      <c r="A83" s="771">
        <f>A82+1</f>
        <v>406</v>
      </c>
      <c r="B83" s="773" t="s">
        <v>661</v>
      </c>
      <c r="C83" s="770"/>
      <c r="D83" s="774"/>
      <c r="E83" s="772"/>
      <c r="F83" s="772"/>
      <c r="G83" s="772"/>
      <c r="H83" s="772"/>
      <c r="I83" s="769"/>
      <c r="J83" s="769"/>
      <c r="K83" s="10"/>
    </row>
    <row r="84" spans="1:11">
      <c r="A84" s="379"/>
      <c r="B84" s="354"/>
      <c r="C84" s="300"/>
      <c r="D84" s="431"/>
      <c r="E84" s="137"/>
      <c r="F84" s="137"/>
      <c r="G84" s="137"/>
      <c r="H84" s="137"/>
      <c r="I84" s="141"/>
      <c r="J84" s="141"/>
    </row>
    <row r="85" spans="1:11">
      <c r="A85" s="379"/>
      <c r="B85" s="354"/>
      <c r="C85" s="52" t="s">
        <v>307</v>
      </c>
      <c r="D85" s="52" t="s">
        <v>308</v>
      </c>
      <c r="E85" s="52" t="s">
        <v>309</v>
      </c>
      <c r="F85" s="52" t="s">
        <v>310</v>
      </c>
      <c r="G85" s="52" t="s">
        <v>311</v>
      </c>
      <c r="H85" s="52" t="s">
        <v>312</v>
      </c>
      <c r="I85" s="207" t="s">
        <v>763</v>
      </c>
      <c r="J85" s="141"/>
    </row>
    <row r="86" spans="1:11">
      <c r="A86" s="64">
        <v>450</v>
      </c>
      <c r="B86" s="299"/>
      <c r="C86" s="298" t="s">
        <v>978</v>
      </c>
      <c r="D86" s="423">
        <f>SUM(D77:D83)</f>
        <v>-7415281021</v>
      </c>
      <c r="E86" s="423">
        <f>SUM(E77:E83)</f>
        <v>-6253134509</v>
      </c>
      <c r="F86" s="423">
        <f>SUM(F77:F83)</f>
        <v>-1162146512</v>
      </c>
      <c r="G86" s="423">
        <f>SUM(G77:G83)</f>
        <v>0</v>
      </c>
      <c r="H86" s="423">
        <f>SUM(H77:H83)</f>
        <v>0</v>
      </c>
      <c r="I86" s="291" t="str">
        <f>"Sum of Above Lines beginning on Line "&amp;A77&amp;""</f>
        <v>Sum of Above Lines beginning on Line 400</v>
      </c>
      <c r="J86" s="133"/>
    </row>
    <row r="87" spans="1:11">
      <c r="A87" s="364">
        <f>+A86+1</f>
        <v>451</v>
      </c>
      <c r="B87" s="411"/>
      <c r="C87" s="411" t="s">
        <v>962</v>
      </c>
      <c r="D87" s="423"/>
      <c r="E87" s="423"/>
      <c r="F87" s="423"/>
      <c r="G87" s="425">
        <f>'27-Allocators'!$G$27</f>
        <v>0.18756510121837444</v>
      </c>
      <c r="H87" s="425">
        <f>'27-Allocators'!$G$14</f>
        <v>5.9033379723389116E-2</v>
      </c>
      <c r="I87" s="539" t="str">
        <f>"27-Allocators Lines "&amp;'27-Allocators'!A27&amp;" and "&amp;'27-Allocators'!A14&amp;" respectively."</f>
        <v>27-Allocators Lines 22 and 9 respectively.</v>
      </c>
      <c r="J87" s="133"/>
    </row>
    <row r="88" spans="1:11">
      <c r="A88" s="364">
        <f>+A87+1</f>
        <v>452</v>
      </c>
      <c r="B88" s="411"/>
      <c r="C88" s="411" t="s">
        <v>979</v>
      </c>
      <c r="D88" s="423">
        <f>SUM(F88:H88)</f>
        <v>-1162146512</v>
      </c>
      <c r="E88" s="423"/>
      <c r="F88" s="426">
        <f>+F86</f>
        <v>-1162146512</v>
      </c>
      <c r="G88" s="426">
        <f>+G86*G87</f>
        <v>0</v>
      </c>
      <c r="H88" s="426">
        <f>+H86*H87</f>
        <v>0</v>
      </c>
      <c r="I88" s="1023" t="str">
        <f>"Line "&amp;A86&amp;" * Line "&amp;A87&amp;" for Cols 5 and 6.  Col. 4 100% ISO."</f>
        <v>Line 450 * Line 451 for Cols 5 and 6.  Col. 4 100% ISO.</v>
      </c>
      <c r="J88" s="133"/>
    </row>
    <row r="89" spans="1:11">
      <c r="A89" s="364"/>
      <c r="B89" s="411"/>
      <c r="C89" s="427" t="s">
        <v>964</v>
      </c>
      <c r="D89" s="423"/>
      <c r="E89" s="423"/>
      <c r="F89" s="423"/>
      <c r="G89" s="423"/>
      <c r="H89" s="423"/>
      <c r="I89" s="351"/>
      <c r="J89" s="133"/>
    </row>
    <row r="90" spans="1:11">
      <c r="A90" s="64"/>
      <c r="B90" s="299"/>
      <c r="C90" s="298"/>
      <c r="D90" s="423"/>
      <c r="E90" s="423"/>
      <c r="F90" s="423"/>
      <c r="G90" s="423"/>
      <c r="H90" s="423"/>
      <c r="I90" s="147"/>
      <c r="J90" s="133"/>
    </row>
    <row r="91" spans="1:11">
      <c r="A91" s="64">
        <f>+A88+1</f>
        <v>453</v>
      </c>
      <c r="B91" s="299"/>
      <c r="C91" s="411" t="s">
        <v>980</v>
      </c>
      <c r="D91" s="774">
        <v>-7415281021</v>
      </c>
      <c r="E91" s="1025" t="str">
        <f>"Must match amount on Line "&amp;A86&amp;", Col. 2"</f>
        <v>Must match amount on Line 450, Col. 2</v>
      </c>
      <c r="F91" s="423"/>
      <c r="G91" s="423"/>
      <c r="H91" s="423"/>
      <c r="I91" s="147" t="s">
        <v>981</v>
      </c>
      <c r="J91" s="133"/>
    </row>
    <row r="92" spans="1:11">
      <c r="A92" s="379"/>
      <c r="B92" s="299"/>
      <c r="C92" s="298"/>
      <c r="D92" s="423"/>
      <c r="E92" s="423"/>
      <c r="F92" s="423"/>
      <c r="G92" s="423"/>
      <c r="H92" s="423"/>
      <c r="I92" s="147"/>
      <c r="J92" s="133"/>
    </row>
    <row r="93" spans="1:11">
      <c r="A93" s="379"/>
      <c r="B93" s="299"/>
      <c r="C93" s="298"/>
      <c r="D93" s="423"/>
      <c r="E93" s="423"/>
      <c r="F93" s="423"/>
      <c r="G93" s="423"/>
      <c r="H93" s="423"/>
      <c r="I93" s="352"/>
      <c r="J93" s="133"/>
    </row>
    <row r="94" spans="1:11">
      <c r="A94" s="298"/>
      <c r="B94" s="410" t="s">
        <v>982</v>
      </c>
      <c r="C94" s="432"/>
      <c r="D94" s="423"/>
      <c r="E94" s="135"/>
      <c r="F94" s="135"/>
      <c r="G94" s="135"/>
      <c r="H94" s="135"/>
      <c r="I94" s="133"/>
      <c r="J94" s="133"/>
    </row>
    <row r="95" spans="1:11">
      <c r="A95" s="298"/>
      <c r="B95" s="410"/>
      <c r="C95" s="52" t="s">
        <v>307</v>
      </c>
      <c r="D95" s="52" t="s">
        <v>308</v>
      </c>
      <c r="E95" s="52" t="s">
        <v>309</v>
      </c>
      <c r="F95" s="52" t="s">
        <v>310</v>
      </c>
      <c r="G95" s="52" t="s">
        <v>311</v>
      </c>
      <c r="H95" s="52" t="s">
        <v>312</v>
      </c>
      <c r="I95" s="52" t="s">
        <v>313</v>
      </c>
      <c r="J95" s="133"/>
    </row>
    <row r="96" spans="1:11">
      <c r="A96" s="298"/>
      <c r="B96" s="414"/>
      <c r="C96" s="414"/>
      <c r="D96" s="433" t="s">
        <v>915</v>
      </c>
      <c r="E96" s="433" t="s">
        <v>916</v>
      </c>
      <c r="F96" s="433"/>
      <c r="G96" s="433"/>
      <c r="H96" s="433" t="s">
        <v>917</v>
      </c>
      <c r="I96" s="692" t="s">
        <v>918</v>
      </c>
      <c r="J96" s="133"/>
    </row>
    <row r="97" spans="1:10">
      <c r="A97" s="298"/>
      <c r="B97" s="417" t="s">
        <v>983</v>
      </c>
      <c r="C97" s="417" t="s">
        <v>920</v>
      </c>
      <c r="D97" s="434" t="s">
        <v>921</v>
      </c>
      <c r="E97" s="434" t="s">
        <v>922</v>
      </c>
      <c r="F97" s="434" t="s">
        <v>923</v>
      </c>
      <c r="G97" s="434" t="s">
        <v>924</v>
      </c>
      <c r="H97" s="434" t="s">
        <v>925</v>
      </c>
      <c r="I97" s="417" t="s">
        <v>926</v>
      </c>
      <c r="J97" s="133"/>
    </row>
    <row r="98" spans="1:10">
      <c r="A98" s="379"/>
      <c r="B98" s="411" t="s">
        <v>927</v>
      </c>
      <c r="C98" s="133"/>
      <c r="D98" s="135"/>
      <c r="E98" s="135"/>
      <c r="F98" s="135"/>
      <c r="G98" s="135"/>
      <c r="H98" s="135"/>
      <c r="I98" s="133"/>
      <c r="J98" s="133"/>
    </row>
    <row r="99" spans="1:10">
      <c r="A99" s="771">
        <v>500</v>
      </c>
      <c r="B99" s="777">
        <v>283</v>
      </c>
      <c r="C99" s="780" t="s">
        <v>984</v>
      </c>
      <c r="D99" s="537">
        <v>-53585792</v>
      </c>
      <c r="E99" s="775">
        <f>+D99</f>
        <v>-53585792</v>
      </c>
      <c r="F99" s="775"/>
      <c r="G99" s="775"/>
      <c r="H99" s="775"/>
      <c r="I99" s="776" t="s">
        <v>985</v>
      </c>
      <c r="J99" s="769"/>
    </row>
    <row r="100" spans="1:10">
      <c r="A100" s="771">
        <f t="shared" ref="A100:A105" si="5">A99+1</f>
        <v>501</v>
      </c>
      <c r="B100" s="777">
        <v>283</v>
      </c>
      <c r="C100" s="780" t="s">
        <v>984</v>
      </c>
      <c r="D100" s="537">
        <v>-8433048</v>
      </c>
      <c r="E100" s="775"/>
      <c r="F100" s="775">
        <f>+D100</f>
        <v>-8433048</v>
      </c>
      <c r="G100" s="775"/>
      <c r="H100" s="775"/>
      <c r="I100" s="776" t="s">
        <v>986</v>
      </c>
      <c r="J100" s="769"/>
    </row>
    <row r="101" spans="1:10">
      <c r="A101" s="771">
        <f t="shared" si="5"/>
        <v>502</v>
      </c>
      <c r="B101" s="777">
        <v>283</v>
      </c>
      <c r="C101" s="780" t="s">
        <v>987</v>
      </c>
      <c r="D101" s="537">
        <v>-36020316</v>
      </c>
      <c r="E101" s="775">
        <f>D101*$G$174</f>
        <v>-32873.548303630472</v>
      </c>
      <c r="F101" s="775"/>
      <c r="G101" s="775">
        <f>D101-E101</f>
        <v>-35987442.451696366</v>
      </c>
      <c r="H101" s="775"/>
      <c r="I101" s="776" t="s">
        <v>929</v>
      </c>
      <c r="J101" s="769"/>
    </row>
    <row r="102" spans="1:10">
      <c r="A102" s="771">
        <f t="shared" si="5"/>
        <v>503</v>
      </c>
      <c r="B102" s="777">
        <v>283</v>
      </c>
      <c r="C102" s="780" t="s">
        <v>988</v>
      </c>
      <c r="D102" s="537">
        <v>-537174</v>
      </c>
      <c r="E102" s="986">
        <f>D102*$G$166</f>
        <v>-1722.6608447911435</v>
      </c>
      <c r="F102" s="775"/>
      <c r="G102" s="775"/>
      <c r="H102" s="775">
        <f>D102-E102</f>
        <v>-535451.3391552089</v>
      </c>
      <c r="I102" s="776" t="s">
        <v>931</v>
      </c>
      <c r="J102" s="769"/>
    </row>
    <row r="103" spans="1:10">
      <c r="A103" s="771">
        <f t="shared" si="5"/>
        <v>504</v>
      </c>
      <c r="B103" s="777">
        <v>283</v>
      </c>
      <c r="C103" s="780" t="s">
        <v>940</v>
      </c>
      <c r="D103" s="537">
        <v>-366748626</v>
      </c>
      <c r="E103" s="775">
        <f>D103</f>
        <v>-366748626</v>
      </c>
      <c r="F103" s="775"/>
      <c r="G103" s="775"/>
      <c r="H103" s="775"/>
      <c r="I103" s="776" t="s">
        <v>941</v>
      </c>
      <c r="J103" s="769"/>
    </row>
    <row r="104" spans="1:10">
      <c r="A104" s="771">
        <f t="shared" si="5"/>
        <v>505</v>
      </c>
      <c r="B104" s="777">
        <v>283</v>
      </c>
      <c r="C104" s="780" t="s">
        <v>938</v>
      </c>
      <c r="D104" s="537">
        <v>-323139148</v>
      </c>
      <c r="E104" s="775">
        <f>D104</f>
        <v>-323139148</v>
      </c>
      <c r="F104" s="775"/>
      <c r="G104" s="775"/>
      <c r="H104" s="775"/>
      <c r="I104" s="776" t="s">
        <v>939</v>
      </c>
      <c r="J104" s="769"/>
    </row>
    <row r="105" spans="1:10">
      <c r="A105" s="771">
        <f t="shared" si="5"/>
        <v>506</v>
      </c>
      <c r="B105" s="777">
        <v>283</v>
      </c>
      <c r="C105" s="780" t="s">
        <v>947</v>
      </c>
      <c r="D105" s="537">
        <v>13510737</v>
      </c>
      <c r="E105" s="802">
        <f>D105</f>
        <v>13510737</v>
      </c>
      <c r="F105" s="775"/>
      <c r="G105" s="775"/>
      <c r="H105" s="775"/>
      <c r="I105" s="776" t="s">
        <v>989</v>
      </c>
      <c r="J105" s="769"/>
    </row>
    <row r="106" spans="1:10">
      <c r="A106" s="64"/>
      <c r="B106" s="357"/>
      <c r="C106" s="358"/>
      <c r="D106" s="359"/>
      <c r="E106" s="137"/>
      <c r="F106" s="137"/>
      <c r="G106" s="137"/>
      <c r="H106" s="137"/>
      <c r="I106" s="141"/>
      <c r="J106" s="141"/>
    </row>
    <row r="107" spans="1:10">
      <c r="A107" s="64"/>
      <c r="B107" s="410" t="s">
        <v>990</v>
      </c>
      <c r="C107" s="432"/>
      <c r="D107" s="423"/>
      <c r="E107" s="135"/>
      <c r="F107" s="135"/>
      <c r="G107" s="135"/>
      <c r="H107" s="135"/>
      <c r="I107" s="133"/>
      <c r="J107" s="141"/>
    </row>
    <row r="108" spans="1:10">
      <c r="A108" s="64"/>
      <c r="B108" s="410"/>
      <c r="C108" s="52" t="s">
        <v>307</v>
      </c>
      <c r="D108" s="52" t="s">
        <v>308</v>
      </c>
      <c r="E108" s="52" t="s">
        <v>309</v>
      </c>
      <c r="F108" s="52" t="s">
        <v>310</v>
      </c>
      <c r="G108" s="52" t="s">
        <v>311</v>
      </c>
      <c r="H108" s="52" t="s">
        <v>312</v>
      </c>
      <c r="I108" s="52" t="s">
        <v>313</v>
      </c>
      <c r="J108" s="141"/>
    </row>
    <row r="109" spans="1:10">
      <c r="A109" s="64"/>
      <c r="B109" s="414"/>
      <c r="C109" s="414"/>
      <c r="D109" s="433" t="s">
        <v>915</v>
      </c>
      <c r="E109" s="433" t="s">
        <v>916</v>
      </c>
      <c r="F109" s="433"/>
      <c r="G109" s="433"/>
      <c r="H109" s="433" t="s">
        <v>917</v>
      </c>
      <c r="I109" s="692" t="s">
        <v>918</v>
      </c>
      <c r="J109" s="141"/>
    </row>
    <row r="110" spans="1:10">
      <c r="A110" s="64"/>
      <c r="B110" s="417" t="s">
        <v>983</v>
      </c>
      <c r="C110" s="417" t="s">
        <v>920</v>
      </c>
      <c r="D110" s="434" t="s">
        <v>921</v>
      </c>
      <c r="E110" s="434" t="s">
        <v>922</v>
      </c>
      <c r="F110" s="434" t="s">
        <v>923</v>
      </c>
      <c r="G110" s="434" t="s">
        <v>924</v>
      </c>
      <c r="H110" s="434" t="s">
        <v>925</v>
      </c>
      <c r="I110" s="417" t="s">
        <v>926</v>
      </c>
      <c r="J110" s="141"/>
    </row>
    <row r="111" spans="1:10">
      <c r="A111" s="64"/>
      <c r="B111" s="411" t="s">
        <v>991</v>
      </c>
      <c r="C111" s="414"/>
      <c r="D111" s="433"/>
      <c r="E111" s="433"/>
      <c r="F111" s="433"/>
      <c r="G111" s="433"/>
      <c r="H111" s="433"/>
      <c r="I111" s="414"/>
      <c r="J111" s="141"/>
    </row>
    <row r="112" spans="1:10">
      <c r="A112" s="771">
        <v>507</v>
      </c>
      <c r="B112" s="773" t="s">
        <v>661</v>
      </c>
      <c r="C112" s="355"/>
      <c r="D112" s="356"/>
      <c r="E112" s="803"/>
      <c r="F112" s="772"/>
      <c r="G112" s="772"/>
      <c r="H112" s="772"/>
      <c r="I112" s="769"/>
      <c r="J112" s="769"/>
    </row>
    <row r="113" spans="1:11">
      <c r="A113" s="64"/>
      <c r="B113" s="360"/>
      <c r="C113" s="361"/>
      <c r="D113" s="301"/>
      <c r="E113" s="137"/>
      <c r="F113" s="137"/>
      <c r="G113" s="137"/>
      <c r="H113" s="137"/>
      <c r="I113" s="141"/>
      <c r="J113" s="141"/>
    </row>
    <row r="114" spans="1:11">
      <c r="A114" s="64">
        <v>650</v>
      </c>
      <c r="B114" s="361"/>
      <c r="C114" s="361" t="s">
        <v>992</v>
      </c>
      <c r="D114" s="301">
        <f>SUM(D99:D105)+SUM(D112:D112)</f>
        <v>-774953367</v>
      </c>
      <c r="E114" s="301">
        <f>SUM(E99:E105)+SUM(E112:E112)</f>
        <v>-729997425.20914841</v>
      </c>
      <c r="F114" s="301">
        <f>SUM(F99:F105)+SUM(F112:F112)</f>
        <v>-8433048</v>
      </c>
      <c r="G114" s="301">
        <f>SUM(G99:G105)+SUM(G112:G112)</f>
        <v>-35987442.451696366</v>
      </c>
      <c r="H114" s="301">
        <f>SUM(H99:H105)+SUM(H112:H112)</f>
        <v>-535451.3391552089</v>
      </c>
      <c r="I114" s="291" t="str">
        <f>"Sum of Above Lines beginning on Line "&amp;A99&amp;""</f>
        <v>Sum of Above Lines beginning on Line 500</v>
      </c>
      <c r="J114" s="133"/>
    </row>
    <row r="115" spans="1:11">
      <c r="A115" s="64"/>
      <c r="B115" s="361"/>
      <c r="C115" s="361"/>
      <c r="D115" s="301"/>
      <c r="E115" s="301"/>
      <c r="F115" s="301"/>
      <c r="G115" s="301"/>
      <c r="H115" s="301"/>
      <c r="I115" s="352"/>
      <c r="J115" s="133"/>
    </row>
    <row r="116" spans="1:11">
      <c r="A116" s="379"/>
      <c r="B116" s="419" t="s">
        <v>993</v>
      </c>
      <c r="C116" s="361"/>
      <c r="D116" s="301"/>
      <c r="E116" s="135"/>
      <c r="F116" s="135"/>
      <c r="G116" s="135"/>
      <c r="H116" s="135"/>
      <c r="I116" s="692" t="s">
        <v>918</v>
      </c>
      <c r="J116" s="133"/>
    </row>
    <row r="117" spans="1:11">
      <c r="A117" s="379"/>
      <c r="C117" s="52" t="s">
        <v>307</v>
      </c>
      <c r="D117" s="52" t="s">
        <v>308</v>
      </c>
      <c r="E117" s="52" t="s">
        <v>309</v>
      </c>
      <c r="F117" s="52" t="s">
        <v>310</v>
      </c>
      <c r="G117" s="52" t="s">
        <v>311</v>
      </c>
      <c r="H117" s="52" t="s">
        <v>312</v>
      </c>
      <c r="I117" s="52" t="s">
        <v>313</v>
      </c>
      <c r="J117" s="133"/>
    </row>
    <row r="118" spans="1:11" s="768" customFormat="1">
      <c r="A118" s="771">
        <v>700</v>
      </c>
      <c r="B118" s="777">
        <v>283</v>
      </c>
      <c r="C118" s="780" t="s">
        <v>955</v>
      </c>
      <c r="D118" s="538">
        <v>-73003</v>
      </c>
      <c r="E118" s="775">
        <f>D118</f>
        <v>-73003</v>
      </c>
      <c r="F118" s="775"/>
      <c r="G118" s="775"/>
      <c r="H118" s="775"/>
      <c r="I118" s="776" t="s">
        <v>956</v>
      </c>
      <c r="J118" s="776"/>
      <c r="K118" s="10"/>
    </row>
    <row r="119" spans="1:11" s="768" customFormat="1">
      <c r="A119" s="804">
        <f>A118+1</f>
        <v>701</v>
      </c>
      <c r="B119" s="777">
        <v>283</v>
      </c>
      <c r="C119" s="780" t="s">
        <v>957</v>
      </c>
      <c r="D119" s="538">
        <v>-494805</v>
      </c>
      <c r="E119" s="775">
        <f>D119</f>
        <v>-494805</v>
      </c>
      <c r="F119" s="775"/>
      <c r="G119" s="775"/>
      <c r="H119" s="775"/>
      <c r="I119" s="776" t="s">
        <v>958</v>
      </c>
      <c r="J119" s="776"/>
      <c r="K119" s="10"/>
    </row>
    <row r="120" spans="1:11">
      <c r="A120" s="804">
        <f>A119+1</f>
        <v>702</v>
      </c>
      <c r="B120" s="805" t="s">
        <v>661</v>
      </c>
      <c r="C120" s="780"/>
      <c r="D120" s="538"/>
      <c r="E120" s="802"/>
      <c r="F120" s="802"/>
      <c r="G120" s="802"/>
      <c r="H120" s="802"/>
      <c r="I120" s="806"/>
      <c r="J120" s="806"/>
    </row>
    <row r="121" spans="1:11">
      <c r="A121" s="64"/>
      <c r="B121" s="357"/>
      <c r="C121" s="358"/>
      <c r="D121" s="359"/>
      <c r="E121" s="137"/>
      <c r="F121" s="137"/>
      <c r="G121" s="137"/>
      <c r="H121" s="137"/>
      <c r="I121" s="141"/>
      <c r="J121" s="141"/>
    </row>
    <row r="122" spans="1:11">
      <c r="A122" s="64"/>
      <c r="B122" s="361"/>
      <c r="C122" s="52" t="s">
        <v>307</v>
      </c>
      <c r="D122" s="52" t="s">
        <v>308</v>
      </c>
      <c r="E122" s="52" t="s">
        <v>309</v>
      </c>
      <c r="F122" s="52" t="s">
        <v>310</v>
      </c>
      <c r="G122" s="52" t="s">
        <v>311</v>
      </c>
      <c r="H122" s="52" t="s">
        <v>312</v>
      </c>
      <c r="I122" s="207" t="s">
        <v>763</v>
      </c>
      <c r="J122" s="133"/>
    </row>
    <row r="123" spans="1:11">
      <c r="A123" s="64">
        <v>800</v>
      </c>
      <c r="B123" s="133"/>
      <c r="C123" s="300" t="s">
        <v>994</v>
      </c>
      <c r="D123" s="301">
        <f>SUM(D118:D120)</f>
        <v>-567808</v>
      </c>
      <c r="E123" s="301">
        <f>SUM(E118:E120)</f>
        <v>-567808</v>
      </c>
      <c r="F123" s="301">
        <f>SUM(F118:F120)</f>
        <v>0</v>
      </c>
      <c r="G123" s="301">
        <f>SUM(G118:G120)</f>
        <v>0</v>
      </c>
      <c r="H123" s="301">
        <f>SUM(H118:H120)</f>
        <v>0</v>
      </c>
      <c r="I123" s="291" t="str">
        <f>"Sum of Above Lines beginning on Line "&amp;A118&amp;""</f>
        <v>Sum of Above Lines beginning on Line 700</v>
      </c>
      <c r="J123" s="141"/>
    </row>
    <row r="124" spans="1:11">
      <c r="A124" s="64"/>
      <c r="B124" s="133"/>
      <c r="C124" s="300"/>
      <c r="D124" s="301"/>
      <c r="E124" s="301"/>
      <c r="F124" s="301"/>
      <c r="G124" s="301"/>
      <c r="H124" s="301"/>
      <c r="I124" s="291"/>
      <c r="J124" s="141"/>
    </row>
    <row r="125" spans="1:11">
      <c r="A125" s="64">
        <f>A123+1</f>
        <v>801</v>
      </c>
      <c r="B125" s="133"/>
      <c r="C125" s="300" t="s">
        <v>995</v>
      </c>
      <c r="D125" s="301">
        <f>D114+D123</f>
        <v>-775521175</v>
      </c>
      <c r="E125" s="1087">
        <f>E114+E123</f>
        <v>-730565233.20914841</v>
      </c>
      <c r="F125" s="301">
        <f>F114+F123</f>
        <v>-8433048</v>
      </c>
      <c r="G125" s="301">
        <f>G114+G123</f>
        <v>-35987442.451696366</v>
      </c>
      <c r="H125" s="301">
        <f>H114+H123</f>
        <v>-535451.3391552089</v>
      </c>
      <c r="I125" s="1023" t="str">
        <f>"Line "&amp;A114&amp;" + Line "&amp;A123&amp;""</f>
        <v>Line 650 + Line 800</v>
      </c>
      <c r="J125" s="141"/>
    </row>
    <row r="126" spans="1:11">
      <c r="A126" s="364">
        <f>+A125+1</f>
        <v>802</v>
      </c>
      <c r="B126" s="411"/>
      <c r="C126" s="411" t="s">
        <v>962</v>
      </c>
      <c r="D126" s="743"/>
      <c r="E126" s="743"/>
      <c r="F126" s="423"/>
      <c r="G126" s="425">
        <f>'27-Allocators'!$G$27</f>
        <v>0.18756510121837444</v>
      </c>
      <c r="H126" s="425">
        <f>'27-Allocators'!$G$14</f>
        <v>5.9033379723389116E-2</v>
      </c>
      <c r="I126" s="539" t="str">
        <f>"27-Allocators Lines "&amp;'27-Allocators'!A27&amp;" and "&amp;'27-Allocators'!A14&amp;" respectively."</f>
        <v>27-Allocators Lines 22 and 9 respectively.</v>
      </c>
      <c r="J126" s="141"/>
    </row>
    <row r="127" spans="1:11">
      <c r="A127" s="364">
        <f>+A126+1</f>
        <v>803</v>
      </c>
      <c r="B127" s="411"/>
      <c r="C127" s="411" t="s">
        <v>996</v>
      </c>
      <c r="D127" s="431">
        <f>SUM(F127:H127)</f>
        <v>-15214645.7882706</v>
      </c>
      <c r="E127" s="423"/>
      <c r="F127" s="426">
        <f>+F125</f>
        <v>-8433048</v>
      </c>
      <c r="G127" s="426">
        <f>+G125*G126</f>
        <v>-6749988.2860428542</v>
      </c>
      <c r="H127" s="790">
        <f>+H125*H126</f>
        <v>-31609.50222774666</v>
      </c>
      <c r="I127" s="1023" t="str">
        <f>"Line "&amp;A125&amp;" * Line "&amp;A126&amp;" for Cols 5 and 6.  Col. 4 100% ISO."</f>
        <v>Line 801 * Line 802 for Cols 5 and 6.  Col. 4 100% ISO.</v>
      </c>
      <c r="J127" s="141"/>
    </row>
    <row r="128" spans="1:11">
      <c r="A128" s="64"/>
      <c r="B128" s="133"/>
      <c r="C128" s="1024" t="s">
        <v>964</v>
      </c>
      <c r="D128" s="301"/>
      <c r="E128" s="301"/>
      <c r="F128" s="301"/>
      <c r="G128" s="301"/>
      <c r="H128" s="301"/>
      <c r="I128" s="351"/>
      <c r="J128" s="135"/>
    </row>
    <row r="129" spans="1:11">
      <c r="A129" s="64"/>
      <c r="B129" s="133"/>
      <c r="C129" s="300"/>
      <c r="D129" s="301"/>
      <c r="E129" s="301"/>
      <c r="F129" s="301"/>
      <c r="G129" s="301"/>
      <c r="H129" s="301"/>
      <c r="I129" s="351"/>
      <c r="J129" s="133"/>
    </row>
    <row r="130" spans="1:11">
      <c r="A130" s="64">
        <f>A127+1</f>
        <v>804</v>
      </c>
      <c r="C130" s="411" t="s">
        <v>997</v>
      </c>
      <c r="D130" s="774">
        <v>-775521175</v>
      </c>
      <c r="E130" s="1025" t="str">
        <f>"Must match amount on Line "&amp;A125&amp;", Col. 2"</f>
        <v>Must match amount on Line 801, Col. 2</v>
      </c>
      <c r="F130" s="423"/>
      <c r="G130" s="423"/>
      <c r="H130" s="423"/>
      <c r="I130" s="147" t="s">
        <v>998</v>
      </c>
    </row>
    <row r="131" spans="1:11" s="768" customFormat="1">
      <c r="A131" s="64"/>
      <c r="B131" s="346"/>
      <c r="C131" s="411"/>
      <c r="D131" s="428"/>
      <c r="E131" s="428"/>
      <c r="F131" s="423"/>
      <c r="G131" s="423"/>
      <c r="H131" s="423"/>
      <c r="I131" s="147"/>
      <c r="J131" s="346"/>
      <c r="K131" s="10"/>
    </row>
    <row r="132" spans="1:11" s="768" customFormat="1">
      <c r="A132" s="64"/>
      <c r="B132" s="1" t="s">
        <v>999</v>
      </c>
      <c r="C132" s="411"/>
      <c r="D132" s="428"/>
      <c r="E132" s="428"/>
      <c r="F132" s="423"/>
      <c r="G132" s="423"/>
      <c r="H132" s="423"/>
      <c r="I132" s="302"/>
      <c r="J132" s="366"/>
      <c r="K132" s="10"/>
    </row>
    <row r="133" spans="1:11" s="768" customFormat="1">
      <c r="A133" s="64"/>
      <c r="B133" s="366"/>
      <c r="C133" s="411"/>
      <c r="D133" s="428"/>
      <c r="E133" s="428"/>
      <c r="F133" s="423"/>
      <c r="G133" s="423"/>
      <c r="H133" s="423"/>
      <c r="I133" s="302"/>
      <c r="J133" s="366"/>
      <c r="K133" s="10"/>
    </row>
    <row r="134" spans="1:11" s="768" customFormat="1">
      <c r="A134" s="64"/>
      <c r="B134" s="366"/>
      <c r="C134" s="200" t="s">
        <v>307</v>
      </c>
      <c r="D134" s="200" t="s">
        <v>308</v>
      </c>
      <c r="E134" s="200" t="s">
        <v>309</v>
      </c>
      <c r="F134" s="200" t="s">
        <v>310</v>
      </c>
      <c r="G134" s="200" t="s">
        <v>311</v>
      </c>
      <c r="H134" s="200" t="s">
        <v>312</v>
      </c>
      <c r="I134" s="200" t="s">
        <v>313</v>
      </c>
      <c r="J134" s="200" t="s">
        <v>314</v>
      </c>
      <c r="K134" s="10"/>
    </row>
    <row r="135" spans="1:11" s="768" customFormat="1">
      <c r="A135" s="64"/>
      <c r="B135" s="366"/>
      <c r="C135" s="411"/>
      <c r="D135" s="905" t="s">
        <v>1000</v>
      </c>
      <c r="E135" s="905" t="s">
        <v>317</v>
      </c>
      <c r="F135" s="423"/>
      <c r="G135" s="423"/>
      <c r="H135" s="905" t="s">
        <v>1001</v>
      </c>
      <c r="I135" s="906" t="s">
        <v>1002</v>
      </c>
      <c r="J135" s="905" t="s">
        <v>318</v>
      </c>
      <c r="K135" s="10"/>
    </row>
    <row r="136" spans="1:11" s="768" customFormat="1">
      <c r="A136" s="64"/>
      <c r="B136" s="366"/>
      <c r="C136" s="411"/>
      <c r="D136" s="428"/>
      <c r="E136" s="428"/>
      <c r="F136" s="423"/>
      <c r="G136" s="423"/>
      <c r="H136" s="423"/>
      <c r="I136" s="302"/>
      <c r="J136" s="366"/>
      <c r="K136" s="10"/>
    </row>
    <row r="137" spans="1:11" s="768" customFormat="1">
      <c r="A137" s="64"/>
      <c r="B137" s="366"/>
      <c r="C137" s="448"/>
      <c r="D137" s="905" t="s">
        <v>1003</v>
      </c>
      <c r="E137" s="905" t="s">
        <v>1004</v>
      </c>
      <c r="F137" s="905"/>
      <c r="G137" s="905" t="s">
        <v>1005</v>
      </c>
      <c r="H137" s="905" t="s">
        <v>1006</v>
      </c>
      <c r="I137" s="379" t="s">
        <v>1007</v>
      </c>
      <c r="J137" s="379" t="s">
        <v>1008</v>
      </c>
      <c r="K137" s="10"/>
    </row>
    <row r="138" spans="1:11" s="768" customFormat="1">
      <c r="A138" s="64"/>
      <c r="B138" s="366"/>
      <c r="C138" s="448" t="s">
        <v>1009</v>
      </c>
      <c r="D138" s="907" t="s">
        <v>1010</v>
      </c>
      <c r="E138" s="907" t="s">
        <v>1011</v>
      </c>
      <c r="F138" s="907" t="s">
        <v>1012</v>
      </c>
      <c r="G138" s="907" t="s">
        <v>1013</v>
      </c>
      <c r="H138" s="907" t="s">
        <v>1014</v>
      </c>
      <c r="I138" s="2" t="s">
        <v>1015</v>
      </c>
      <c r="J138" s="2" t="s">
        <v>1016</v>
      </c>
      <c r="K138" s="10"/>
    </row>
    <row r="139" spans="1:11" s="768" customFormat="1">
      <c r="A139" s="64">
        <f>A130+1</f>
        <v>805</v>
      </c>
      <c r="B139" s="366"/>
      <c r="C139" s="908" t="s">
        <v>1017</v>
      </c>
      <c r="D139" s="912"/>
      <c r="E139" s="842">
        <f>D19</f>
        <v>-1649088770</v>
      </c>
      <c r="F139" s="423"/>
      <c r="G139" s="909">
        <f>SUM(F140:F151)</f>
        <v>365</v>
      </c>
      <c r="H139" s="910">
        <f xml:space="preserve"> 1</f>
        <v>1</v>
      </c>
      <c r="I139" s="139"/>
      <c r="J139" s="305">
        <f>+E139</f>
        <v>-1649088770</v>
      </c>
      <c r="K139" s="10"/>
    </row>
    <row r="140" spans="1:11" s="768" customFormat="1">
      <c r="A140" s="64">
        <f>A139+1</f>
        <v>806</v>
      </c>
      <c r="B140" s="366"/>
      <c r="C140" s="908" t="s">
        <v>352</v>
      </c>
      <c r="D140" s="913">
        <f>($D$14-$D$19)/12</f>
        <v>-629159.73989794648</v>
      </c>
      <c r="E140" s="842">
        <f>E139+D140</f>
        <v>-1649717929.739898</v>
      </c>
      <c r="F140" s="911">
        <v>31</v>
      </c>
      <c r="G140" s="1118">
        <f>+G139-F140</f>
        <v>334</v>
      </c>
      <c r="H140" s="910">
        <f>G140/G139</f>
        <v>0.91506849315068495</v>
      </c>
      <c r="I140" s="1086">
        <f>D140*H140</f>
        <v>-575724.25513949071</v>
      </c>
      <c r="J140" s="135">
        <f>J139+I140</f>
        <v>-1649664494.2551396</v>
      </c>
      <c r="K140" s="10"/>
    </row>
    <row r="141" spans="1:11" s="768" customFormat="1">
      <c r="A141" s="64">
        <f t="shared" ref="A141:A152" si="6">A140+1</f>
        <v>807</v>
      </c>
      <c r="B141" s="366"/>
      <c r="C141" s="908" t="s">
        <v>353</v>
      </c>
      <c r="D141" s="913">
        <f t="shared" ref="D141:D151" si="7">($D$14-$D$19)/12</f>
        <v>-629159.73989794648</v>
      </c>
      <c r="E141" s="842">
        <f t="shared" ref="E141:E151" si="8">E140+D141</f>
        <v>-1650347089.4797959</v>
      </c>
      <c r="F141" s="911">
        <v>28</v>
      </c>
      <c r="G141" s="1118">
        <f t="shared" ref="G141:G151" si="9">+G140-F141</f>
        <v>306</v>
      </c>
      <c r="H141" s="910">
        <f>G141/G139</f>
        <v>0.83835616438356164</v>
      </c>
      <c r="I141" s="139">
        <f t="shared" ref="I141:I151" si="10">D141*H141</f>
        <v>-527459.94632540166</v>
      </c>
      <c r="J141" s="135">
        <f t="shared" ref="J141:J151" si="11">J140+I141</f>
        <v>-1650191954.2014649</v>
      </c>
      <c r="K141" s="10"/>
    </row>
    <row r="142" spans="1:11" s="768" customFormat="1">
      <c r="A142" s="64">
        <f t="shared" si="6"/>
        <v>808</v>
      </c>
      <c r="B142" s="366"/>
      <c r="C142" s="908" t="s">
        <v>354</v>
      </c>
      <c r="D142" s="913">
        <f t="shared" si="7"/>
        <v>-629159.73989794648</v>
      </c>
      <c r="E142" s="842">
        <f t="shared" si="8"/>
        <v>-1650976249.2196939</v>
      </c>
      <c r="F142" s="911">
        <v>31</v>
      </c>
      <c r="G142" s="1118">
        <f t="shared" si="9"/>
        <v>275</v>
      </c>
      <c r="H142" s="910">
        <f>G142/G139</f>
        <v>0.75342465753424659</v>
      </c>
      <c r="I142" s="139">
        <f t="shared" si="10"/>
        <v>-474024.461566946</v>
      </c>
      <c r="J142" s="135">
        <f t="shared" si="11"/>
        <v>-1650665978.6630318</v>
      </c>
      <c r="K142" s="10"/>
    </row>
    <row r="143" spans="1:11" s="768" customFormat="1">
      <c r="A143" s="64">
        <f t="shared" si="6"/>
        <v>809</v>
      </c>
      <c r="B143" s="366"/>
      <c r="C143" s="908" t="s">
        <v>355</v>
      </c>
      <c r="D143" s="913">
        <f t="shared" si="7"/>
        <v>-629159.73989794648</v>
      </c>
      <c r="E143" s="842">
        <f t="shared" si="8"/>
        <v>-1651605408.9595919</v>
      </c>
      <c r="F143" s="911">
        <v>30</v>
      </c>
      <c r="G143" s="1118">
        <f t="shared" si="9"/>
        <v>245</v>
      </c>
      <c r="H143" s="910">
        <f>G143/G139</f>
        <v>0.67123287671232879</v>
      </c>
      <c r="I143" s="139">
        <f t="shared" si="10"/>
        <v>-422312.70212327916</v>
      </c>
      <c r="J143" s="135">
        <f t="shared" si="11"/>
        <v>-1651088291.365155</v>
      </c>
      <c r="K143" s="10"/>
    </row>
    <row r="144" spans="1:11" s="768" customFormat="1">
      <c r="A144" s="64">
        <f t="shared" si="6"/>
        <v>810</v>
      </c>
      <c r="B144" s="366"/>
      <c r="C144" s="908" t="s">
        <v>356</v>
      </c>
      <c r="D144" s="913">
        <f t="shared" si="7"/>
        <v>-629159.73989794648</v>
      </c>
      <c r="E144" s="842">
        <f t="shared" si="8"/>
        <v>-1652234568.6994898</v>
      </c>
      <c r="F144" s="911">
        <v>31</v>
      </c>
      <c r="G144" s="1118">
        <f t="shared" si="9"/>
        <v>214</v>
      </c>
      <c r="H144" s="910">
        <f>G144/G139</f>
        <v>0.58630136986301373</v>
      </c>
      <c r="I144" s="139">
        <f t="shared" si="10"/>
        <v>-368877.21736482345</v>
      </c>
      <c r="J144" s="135">
        <f t="shared" si="11"/>
        <v>-1651457168.5825198</v>
      </c>
      <c r="K144" s="10"/>
    </row>
    <row r="145" spans="1:11" s="768" customFormat="1">
      <c r="A145" s="64">
        <f t="shared" si="6"/>
        <v>811</v>
      </c>
      <c r="B145" s="366"/>
      <c r="C145" s="908" t="s">
        <v>540</v>
      </c>
      <c r="D145" s="913">
        <f t="shared" si="7"/>
        <v>-629159.73989794648</v>
      </c>
      <c r="E145" s="842">
        <f t="shared" si="8"/>
        <v>-1652863728.4393878</v>
      </c>
      <c r="F145" s="911">
        <v>30</v>
      </c>
      <c r="G145" s="1118">
        <f t="shared" si="9"/>
        <v>184</v>
      </c>
      <c r="H145" s="910">
        <f>G145/G139</f>
        <v>0.50410958904109593</v>
      </c>
      <c r="I145" s="139">
        <f t="shared" si="10"/>
        <v>-317165.4579211566</v>
      </c>
      <c r="J145" s="135">
        <f t="shared" si="11"/>
        <v>-1651774334.040441</v>
      </c>
      <c r="K145" s="10"/>
    </row>
    <row r="146" spans="1:11" s="768" customFormat="1">
      <c r="A146" s="64">
        <f t="shared" si="6"/>
        <v>812</v>
      </c>
      <c r="B146" s="366"/>
      <c r="C146" s="908" t="s">
        <v>358</v>
      </c>
      <c r="D146" s="913">
        <f t="shared" si="7"/>
        <v>-629159.73989794648</v>
      </c>
      <c r="E146" s="842">
        <f t="shared" si="8"/>
        <v>-1653492888.1792858</v>
      </c>
      <c r="F146" s="911">
        <v>31</v>
      </c>
      <c r="G146" s="1118">
        <f t="shared" si="9"/>
        <v>153</v>
      </c>
      <c r="H146" s="910">
        <f>G146/G139</f>
        <v>0.41917808219178082</v>
      </c>
      <c r="I146" s="139">
        <f t="shared" si="10"/>
        <v>-263729.97316270083</v>
      </c>
      <c r="J146" s="135">
        <f t="shared" si="11"/>
        <v>-1652038064.0136037</v>
      </c>
      <c r="K146" s="10"/>
    </row>
    <row r="147" spans="1:11" s="768" customFormat="1">
      <c r="A147" s="64">
        <f t="shared" si="6"/>
        <v>813</v>
      </c>
      <c r="B147" s="366"/>
      <c r="C147" s="908" t="s">
        <v>359</v>
      </c>
      <c r="D147" s="913">
        <f t="shared" si="7"/>
        <v>-629159.73989794648</v>
      </c>
      <c r="E147" s="842">
        <f t="shared" si="8"/>
        <v>-1654122047.9191837</v>
      </c>
      <c r="F147" s="911">
        <v>31</v>
      </c>
      <c r="G147" s="1118">
        <f t="shared" si="9"/>
        <v>122</v>
      </c>
      <c r="H147" s="910">
        <f>G147/G139</f>
        <v>0.33424657534246577</v>
      </c>
      <c r="I147" s="139">
        <f t="shared" si="10"/>
        <v>-210294.48840424514</v>
      </c>
      <c r="J147" s="135">
        <f t="shared" si="11"/>
        <v>-1652248358.502008</v>
      </c>
      <c r="K147" s="10"/>
    </row>
    <row r="148" spans="1:11" s="768" customFormat="1">
      <c r="A148" s="64">
        <f t="shared" si="6"/>
        <v>814</v>
      </c>
      <c r="B148" s="366"/>
      <c r="C148" s="908" t="s">
        <v>360</v>
      </c>
      <c r="D148" s="913">
        <f t="shared" si="7"/>
        <v>-629159.73989794648</v>
      </c>
      <c r="E148" s="842">
        <f t="shared" si="8"/>
        <v>-1654751207.6590817</v>
      </c>
      <c r="F148" s="911">
        <v>30</v>
      </c>
      <c r="G148" s="1118">
        <f t="shared" si="9"/>
        <v>92</v>
      </c>
      <c r="H148" s="910">
        <f>G148/G139</f>
        <v>0.25205479452054796</v>
      </c>
      <c r="I148" s="1086">
        <f>D148*H148</f>
        <v>-158582.7289605783</v>
      </c>
      <c r="J148" s="135">
        <f t="shared" si="11"/>
        <v>-1652406941.2309685</v>
      </c>
      <c r="K148" s="10"/>
    </row>
    <row r="149" spans="1:11" s="768" customFormat="1">
      <c r="A149" s="64">
        <f t="shared" si="6"/>
        <v>815</v>
      </c>
      <c r="B149" s="366"/>
      <c r="C149" s="908" t="s">
        <v>361</v>
      </c>
      <c r="D149" s="913">
        <f t="shared" si="7"/>
        <v>-629159.73989794648</v>
      </c>
      <c r="E149" s="842">
        <f t="shared" si="8"/>
        <v>-1655380367.3989797</v>
      </c>
      <c r="F149" s="911">
        <v>31</v>
      </c>
      <c r="G149" s="1118">
        <f t="shared" si="9"/>
        <v>61</v>
      </c>
      <c r="H149" s="910">
        <f>G149/G139</f>
        <v>0.16712328767123288</v>
      </c>
      <c r="I149" s="139">
        <f t="shared" si="10"/>
        <v>-105147.24420212257</v>
      </c>
      <c r="J149" s="135">
        <f t="shared" si="11"/>
        <v>-1652512088.4751706</v>
      </c>
      <c r="K149" s="10"/>
    </row>
    <row r="150" spans="1:11" s="768" customFormat="1">
      <c r="A150" s="64">
        <f t="shared" si="6"/>
        <v>816</v>
      </c>
      <c r="B150" s="366"/>
      <c r="C150" s="908" t="s">
        <v>362</v>
      </c>
      <c r="D150" s="913">
        <f t="shared" si="7"/>
        <v>-629159.73989794648</v>
      </c>
      <c r="E150" s="842">
        <f t="shared" si="8"/>
        <v>-1656009527.1388776</v>
      </c>
      <c r="F150" s="911">
        <v>30</v>
      </c>
      <c r="G150" s="1118">
        <f t="shared" si="9"/>
        <v>31</v>
      </c>
      <c r="H150" s="910">
        <f>G150/G139</f>
        <v>8.4931506849315067E-2</v>
      </c>
      <c r="I150" s="139">
        <f t="shared" si="10"/>
        <v>-53435.484758455728</v>
      </c>
      <c r="J150" s="135">
        <f t="shared" si="11"/>
        <v>-1652565523.959929</v>
      </c>
      <c r="K150" s="10"/>
    </row>
    <row r="151" spans="1:11" s="768" customFormat="1">
      <c r="A151" s="64">
        <f t="shared" si="6"/>
        <v>817</v>
      </c>
      <c r="B151" s="366"/>
      <c r="C151" s="908" t="s">
        <v>350</v>
      </c>
      <c r="D151" s="913">
        <f t="shared" si="7"/>
        <v>-629159.73989794648</v>
      </c>
      <c r="E151" s="880">
        <f t="shared" si="8"/>
        <v>-1656638686.8787756</v>
      </c>
      <c r="F151" s="911">
        <v>31</v>
      </c>
      <c r="G151" s="1118">
        <f t="shared" si="9"/>
        <v>0</v>
      </c>
      <c r="H151" s="910">
        <f>G151/G139</f>
        <v>0</v>
      </c>
      <c r="I151" s="139">
        <f t="shared" si="10"/>
        <v>0</v>
      </c>
      <c r="J151" s="135">
        <f t="shared" si="11"/>
        <v>-1652565523.959929</v>
      </c>
      <c r="K151" s="10"/>
    </row>
    <row r="152" spans="1:11" s="768" customFormat="1">
      <c r="A152" s="64">
        <f t="shared" si="6"/>
        <v>818</v>
      </c>
      <c r="B152" s="366"/>
      <c r="C152" s="908" t="s">
        <v>1018</v>
      </c>
      <c r="D152" s="913"/>
      <c r="E152" s="842">
        <f>D14</f>
        <v>-1656638686.8787754</v>
      </c>
      <c r="F152" s="423"/>
      <c r="G152" s="423"/>
      <c r="H152" s="423"/>
      <c r="I152" s="302"/>
      <c r="J152" s="876"/>
      <c r="K152" s="10"/>
    </row>
    <row r="153" spans="1:11" s="768" customFormat="1">
      <c r="A153" s="64"/>
      <c r="B153" s="366"/>
      <c r="C153" s="411"/>
      <c r="D153" s="428"/>
      <c r="E153" s="428"/>
      <c r="F153" s="423"/>
      <c r="G153" s="423"/>
      <c r="H153" s="423"/>
      <c r="I153" s="318"/>
      <c r="J153" s="903"/>
      <c r="K153" s="10"/>
    </row>
    <row r="154" spans="1:11">
      <c r="A154" s="768"/>
      <c r="B154" s="768"/>
      <c r="C154" s="141" t="s">
        <v>1019</v>
      </c>
      <c r="D154" s="141"/>
      <c r="E154" s="141"/>
      <c r="F154" s="141"/>
      <c r="G154" s="141"/>
      <c r="J154" s="768"/>
    </row>
    <row r="155" spans="1:11">
      <c r="A155" s="768"/>
      <c r="B155" s="768"/>
      <c r="C155" s="141" t="s">
        <v>1020</v>
      </c>
      <c r="D155" s="141"/>
      <c r="E155" s="141"/>
      <c r="F155" s="141"/>
      <c r="G155" s="141"/>
      <c r="J155" s="768"/>
    </row>
    <row r="156" spans="1:11">
      <c r="A156" s="768"/>
      <c r="B156" s="768"/>
      <c r="C156" s="141"/>
      <c r="D156" s="141"/>
      <c r="E156" s="141"/>
      <c r="F156" s="141"/>
      <c r="G156" s="141"/>
      <c r="J156" s="768"/>
    </row>
    <row r="157" spans="1:11">
      <c r="A157" s="768"/>
      <c r="B157" s="768"/>
      <c r="C157" s="141" t="s">
        <v>1021</v>
      </c>
      <c r="D157" s="141"/>
      <c r="E157" s="141"/>
      <c r="F157" s="141"/>
      <c r="G157" s="141"/>
      <c r="J157" s="768"/>
    </row>
    <row r="158" spans="1:11">
      <c r="A158" s="768"/>
      <c r="B158" s="768"/>
      <c r="C158" s="141" t="s">
        <v>1022</v>
      </c>
      <c r="D158" s="141"/>
      <c r="E158" s="141"/>
      <c r="F158" s="141"/>
      <c r="G158" s="141"/>
      <c r="J158" s="768"/>
    </row>
    <row r="159" spans="1:11">
      <c r="A159" s="768"/>
      <c r="B159" s="768"/>
      <c r="C159" s="141" t="s">
        <v>1023</v>
      </c>
      <c r="D159" s="141"/>
      <c r="E159" s="141"/>
      <c r="F159" s="141"/>
      <c r="G159" s="141"/>
      <c r="J159" s="768"/>
    </row>
    <row r="160" spans="1:11" s="298" customFormat="1">
      <c r="C160" s="300"/>
      <c r="D160" s="300"/>
      <c r="E160" s="64" t="s">
        <v>96</v>
      </c>
      <c r="F160" s="300"/>
      <c r="G160" s="680" t="s">
        <v>1024</v>
      </c>
      <c r="H160" s="133"/>
      <c r="I160" s="133"/>
      <c r="K160" s="300"/>
    </row>
    <row r="161" spans="2:11" s="298" customFormat="1">
      <c r="C161" s="300"/>
      <c r="D161" s="300"/>
      <c r="E161" s="74" t="s">
        <v>99</v>
      </c>
      <c r="F161" s="300"/>
      <c r="G161" s="74" t="s">
        <v>100</v>
      </c>
      <c r="H161" s="133"/>
      <c r="I161" s="133"/>
      <c r="K161" s="300"/>
    </row>
    <row r="162" spans="2:11" s="298" customFormat="1">
      <c r="C162" s="693" t="s">
        <v>1025</v>
      </c>
      <c r="D162" s="300"/>
      <c r="E162" s="300" t="s">
        <v>1026</v>
      </c>
      <c r="F162" s="300"/>
      <c r="G162" s="788">
        <v>751177566</v>
      </c>
      <c r="H162" s="133"/>
      <c r="I162" s="965"/>
      <c r="K162" s="300"/>
    </row>
    <row r="163" spans="2:11" s="298" customFormat="1">
      <c r="C163" s="297" t="s">
        <v>1027</v>
      </c>
      <c r="D163" s="300"/>
      <c r="E163" s="300" t="s">
        <v>1028</v>
      </c>
      <c r="F163" s="300"/>
      <c r="G163" s="325">
        <v>502887</v>
      </c>
      <c r="H163" s="133"/>
      <c r="I163" s="965"/>
      <c r="K163" s="300"/>
    </row>
    <row r="164" spans="2:11" s="298" customFormat="1">
      <c r="C164" s="297" t="s">
        <v>1029</v>
      </c>
      <c r="D164" s="300"/>
      <c r="E164" s="300" t="s">
        <v>1030</v>
      </c>
      <c r="F164" s="300"/>
      <c r="G164" s="68">
        <v>1913811</v>
      </c>
      <c r="H164" s="133"/>
      <c r="I164" s="965"/>
      <c r="K164" s="300"/>
    </row>
    <row r="165" spans="2:11" s="298" customFormat="1">
      <c r="C165" s="693" t="s">
        <v>1031</v>
      </c>
      <c r="D165" s="300"/>
      <c r="E165" s="300" t="s">
        <v>1032</v>
      </c>
      <c r="F165" s="300"/>
      <c r="G165" s="311">
        <f>SUM(G162:G164)</f>
        <v>753594264</v>
      </c>
      <c r="H165" s="141"/>
      <c r="I165" s="133"/>
      <c r="K165" s="300"/>
    </row>
    <row r="166" spans="2:11" s="298" customFormat="1">
      <c r="C166" s="297" t="s">
        <v>1033</v>
      </c>
      <c r="D166" s="300"/>
      <c r="E166" s="399" t="s">
        <v>1034</v>
      </c>
      <c r="F166" s="300"/>
      <c r="G166" s="232">
        <f>(G163+G164)/G165</f>
        <v>3.2068954282804892E-3</v>
      </c>
      <c r="H166" s="141"/>
      <c r="I166" s="133"/>
      <c r="K166" s="300"/>
    </row>
    <row r="167" spans="2:11" s="298" customFormat="1">
      <c r="C167" s="675" t="s">
        <v>1035</v>
      </c>
      <c r="D167" s="141"/>
      <c r="E167" s="141"/>
      <c r="F167" s="141"/>
      <c r="G167" s="141"/>
      <c r="H167" s="133"/>
      <c r="I167" s="133"/>
      <c r="K167" s="300"/>
    </row>
    <row r="168" spans="2:11" s="298" customFormat="1">
      <c r="C168" s="300"/>
      <c r="D168" s="300"/>
      <c r="E168" s="64" t="s">
        <v>96</v>
      </c>
      <c r="F168" s="300"/>
      <c r="G168" s="680" t="s">
        <v>1024</v>
      </c>
      <c r="H168" s="133"/>
      <c r="I168" s="133"/>
      <c r="K168" s="300"/>
    </row>
    <row r="169" spans="2:11" s="298" customFormat="1">
      <c r="C169" s="300"/>
      <c r="D169" s="300"/>
      <c r="E169" s="74" t="s">
        <v>99</v>
      </c>
      <c r="F169" s="300"/>
      <c r="G169" s="74" t="s">
        <v>100</v>
      </c>
      <c r="H169" s="133"/>
      <c r="I169" s="133"/>
      <c r="K169" s="300"/>
    </row>
    <row r="170" spans="2:11" s="298" customFormat="1">
      <c r="C170" s="297" t="s">
        <v>1036</v>
      </c>
      <c r="D170" s="300"/>
      <c r="E170" s="300" t="s">
        <v>1037</v>
      </c>
      <c r="F170" s="300"/>
      <c r="G170" s="788">
        <v>48205871081</v>
      </c>
      <c r="H170" s="133"/>
      <c r="I170" s="965"/>
      <c r="K170" s="300"/>
    </row>
    <row r="171" spans="2:11" s="298" customFormat="1">
      <c r="C171" s="297" t="s">
        <v>1038</v>
      </c>
      <c r="D171" s="300"/>
      <c r="E171" s="300" t="s">
        <v>1039</v>
      </c>
      <c r="F171" s="300"/>
      <c r="G171" s="325">
        <v>6330758</v>
      </c>
      <c r="H171" s="133"/>
      <c r="I171" s="133"/>
      <c r="K171" s="300"/>
    </row>
    <row r="172" spans="2:11" s="298" customFormat="1">
      <c r="C172" s="297" t="s">
        <v>1040</v>
      </c>
      <c r="D172" s="300"/>
      <c r="E172" s="300" t="s">
        <v>1041</v>
      </c>
      <c r="F172" s="300"/>
      <c r="G172" s="325">
        <v>37703992</v>
      </c>
      <c r="H172" s="133"/>
      <c r="I172" s="965"/>
      <c r="K172" s="300"/>
    </row>
    <row r="173" spans="2:11" s="298" customFormat="1">
      <c r="C173" s="297" t="s">
        <v>1042</v>
      </c>
      <c r="D173" s="300"/>
      <c r="E173" s="300" t="s">
        <v>1043</v>
      </c>
      <c r="F173" s="300"/>
      <c r="G173" s="311">
        <f>SUM(G170:G172)</f>
        <v>48249905831</v>
      </c>
      <c r="H173" s="141"/>
      <c r="I173" s="141"/>
      <c r="J173" s="300"/>
      <c r="K173" s="300"/>
    </row>
    <row r="174" spans="2:11" s="298" customFormat="1">
      <c r="C174" s="297" t="s">
        <v>1044</v>
      </c>
      <c r="D174" s="300"/>
      <c r="E174" s="399" t="s">
        <v>1045</v>
      </c>
      <c r="F174" s="300"/>
      <c r="G174" s="232">
        <f>(G171+G172)/G173</f>
        <v>9.1263908688725751E-4</v>
      </c>
      <c r="H174" s="141"/>
      <c r="I174" s="141"/>
      <c r="J174" s="300"/>
      <c r="K174" s="300"/>
    </row>
    <row r="175" spans="2:11" s="298" customFormat="1">
      <c r="C175" s="141" t="s">
        <v>1046</v>
      </c>
      <c r="D175" s="141"/>
      <c r="E175" s="141"/>
      <c r="F175" s="141"/>
      <c r="G175" s="141"/>
      <c r="H175" s="141"/>
      <c r="I175" s="141"/>
      <c r="J175" s="300"/>
      <c r="K175" s="300"/>
    </row>
    <row r="176" spans="2:11" s="298" customFormat="1">
      <c r="B176" s="133"/>
      <c r="C176" s="133"/>
      <c r="D176" s="133"/>
      <c r="E176" s="133"/>
      <c r="F176" s="133"/>
      <c r="G176" s="133"/>
      <c r="H176" s="133"/>
      <c r="I176" s="133"/>
      <c r="J176" s="133"/>
      <c r="K176" s="300"/>
    </row>
    <row r="177" spans="2:11" s="298" customFormat="1">
      <c r="B177" s="133"/>
      <c r="C177" s="663" t="s">
        <v>226</v>
      </c>
      <c r="D177" s="133"/>
      <c r="E177" s="133"/>
      <c r="F177" s="133"/>
      <c r="G177" s="133"/>
      <c r="H177" s="133"/>
      <c r="I177" s="133"/>
      <c r="J177" s="133"/>
      <c r="K177" s="300"/>
    </row>
    <row r="178" spans="2:11" s="298" customFormat="1">
      <c r="B178" s="133"/>
      <c r="C178" s="300" t="s">
        <v>1047</v>
      </c>
      <c r="D178" s="133"/>
      <c r="E178" s="133"/>
      <c r="F178" s="133"/>
      <c r="G178" s="133"/>
      <c r="H178" s="133"/>
      <c r="I178" s="133"/>
      <c r="J178" s="133"/>
      <c r="K178" s="300"/>
    </row>
    <row r="179" spans="2:11" s="298" customFormat="1">
      <c r="B179" s="133"/>
      <c r="C179" s="300" t="s">
        <v>1048</v>
      </c>
      <c r="D179" s="133"/>
      <c r="E179" s="133"/>
      <c r="F179" s="133"/>
      <c r="G179" s="133"/>
      <c r="H179" s="133"/>
      <c r="I179" s="133"/>
      <c r="J179" s="133"/>
      <c r="K179" s="300"/>
    </row>
    <row r="180" spans="2:11" s="298" customFormat="1">
      <c r="B180" s="133"/>
      <c r="C180" s="300" t="s">
        <v>1049</v>
      </c>
      <c r="D180" s="133"/>
      <c r="E180" s="133"/>
      <c r="F180" s="133"/>
      <c r="G180" s="133"/>
      <c r="H180" s="133"/>
      <c r="I180" s="133"/>
      <c r="J180" s="133"/>
      <c r="K180" s="300"/>
    </row>
    <row r="181" spans="2:11" s="298" customFormat="1">
      <c r="B181" s="133"/>
      <c r="C181" s="300" t="s">
        <v>1050</v>
      </c>
      <c r="D181" s="133"/>
      <c r="E181" s="133"/>
      <c r="F181" s="133"/>
      <c r="G181" s="133"/>
      <c r="H181" s="133"/>
      <c r="I181" s="133"/>
      <c r="J181" s="133"/>
      <c r="K181" s="300"/>
    </row>
    <row r="182" spans="2:11">
      <c r="C182" s="302" t="s">
        <v>1051</v>
      </c>
    </row>
    <row r="183" spans="2:11">
      <c r="C183" s="999" t="s">
        <v>1052</v>
      </c>
    </row>
    <row r="184" spans="2:11">
      <c r="C184" s="668" t="s">
        <v>1053</v>
      </c>
    </row>
    <row r="185" spans="2:11">
      <c r="C185" s="297" t="s">
        <v>1054</v>
      </c>
    </row>
    <row r="186" spans="2:11">
      <c r="C186" s="302"/>
    </row>
  </sheetData>
  <protectedRanges>
    <protectedRange password="F1C4" sqref="D20:E23 E15:E19 D14:D15 D17:D18 I52 B7:C12 F20 I112 D25:F30 D24 B14:C30 B13" name="AAReport1_23_1_1_2"/>
    <protectedRange password="F1C4" sqref="D19" name="AAReport1_23_1_1_1_1_1"/>
    <protectedRange password="F1C4" sqref="F32:F33 J32:J35 F45" name="AAReport1_23_1_1_2_1"/>
    <protectedRange password="F1C4" sqref="E24" name="AAReport1_23_1_1_2_3"/>
  </protectedRanges>
  <phoneticPr fontId="22" type="noConversion"/>
  <conditionalFormatting sqref="B106 B120:B121 D120:D121 D99:D106">
    <cfRule type="expression" dxfId="17" priority="16" stopIfTrue="1">
      <formula>Formulas</formula>
    </cfRule>
  </conditionalFormatting>
  <conditionalFormatting sqref="D112">
    <cfRule type="expression" dxfId="16" priority="17" stopIfTrue="1">
      <formula>Formulas</formula>
    </cfRule>
  </conditionalFormatting>
  <conditionalFormatting sqref="C112 C106 C120:C121">
    <cfRule type="expression" dxfId="15" priority="15" stopIfTrue="1">
      <formula>#REF!&lt;&gt;""</formula>
    </cfRule>
  </conditionalFormatting>
  <conditionalFormatting sqref="C99:C105">
    <cfRule type="expression" dxfId="14" priority="5" stopIfTrue="1">
      <formula>#REF!&lt;&gt;""</formula>
    </cfRule>
  </conditionalFormatting>
  <conditionalFormatting sqref="D118">
    <cfRule type="expression" dxfId="13" priority="4" stopIfTrue="1">
      <formula>Formulas</formula>
    </cfRule>
  </conditionalFormatting>
  <conditionalFormatting sqref="C118">
    <cfRule type="expression" dxfId="12" priority="3" stopIfTrue="1">
      <formula>#REF!&lt;&gt;""</formula>
    </cfRule>
  </conditionalFormatting>
  <conditionalFormatting sqref="D119">
    <cfRule type="expression" dxfId="11" priority="2" stopIfTrue="1">
      <formula>Formulas</formula>
    </cfRule>
  </conditionalFormatting>
  <conditionalFormatting sqref="C119">
    <cfRule type="expression" dxfId="10" priority="1" stopIfTrue="1">
      <formula>#REF!&lt;&gt;""</formula>
    </cfRule>
  </conditionalFormatting>
  <pageMargins left="0.75" right="0.75" top="1" bottom="1" header="0.5" footer="0.5"/>
  <pageSetup scale="60" orientation="landscape" cellComments="asDisplayed" r:id="rId1"/>
  <headerFooter alignWithMargins="0">
    <oddHeader>&amp;CSchedule 9
ADIT
&amp;RTO2020 Draft Annual Update 
Attachment1</oddHeader>
    <oddFooter>&amp;R&amp;A</oddFooter>
  </headerFooter>
  <rowBreaks count="5" manualBreakCount="5">
    <brk id="24" max="16383" man="1"/>
    <brk id="55" max="16383" man="1"/>
    <brk id="91" max="9" man="1"/>
    <brk id="121" max="16383" man="1"/>
    <brk id="15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52"/>
  <sheetViews>
    <sheetView zoomScaleNormal="100" workbookViewId="0"/>
  </sheetViews>
  <sheetFormatPr defaultRowHeight="12.75"/>
  <cols>
    <col min="1" max="1" width="4.7109375" style="10"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85546875" bestFit="1" customWidth="1"/>
    <col min="9" max="9" width="17.140625" customWidth="1"/>
    <col min="10" max="10" width="15.42578125" customWidth="1"/>
    <col min="11" max="11" width="17.28515625" customWidth="1"/>
    <col min="12" max="12" width="14.7109375" style="10" bestFit="1" customWidth="1"/>
    <col min="13" max="13" width="13.140625" bestFit="1" customWidth="1"/>
  </cols>
  <sheetData>
    <row r="1" spans="1:12">
      <c r="A1" s="25" t="s">
        <v>1055</v>
      </c>
      <c r="B1" s="768"/>
      <c r="C1" s="768"/>
      <c r="D1" s="768"/>
      <c r="E1" s="768"/>
      <c r="F1" s="768"/>
      <c r="G1" s="768"/>
      <c r="H1" s="768"/>
      <c r="I1" s="768"/>
      <c r="J1" s="768"/>
      <c r="K1" s="1"/>
    </row>
    <row r="2" spans="1:12">
      <c r="A2" s="25"/>
      <c r="B2" s="768"/>
      <c r="C2" s="768"/>
      <c r="D2" s="768"/>
      <c r="E2" s="768"/>
      <c r="F2" s="768"/>
      <c r="G2" s="768"/>
      <c r="H2" s="768"/>
      <c r="I2" s="768"/>
      <c r="J2" s="768"/>
      <c r="K2" s="1"/>
    </row>
    <row r="3" spans="1:12">
      <c r="A3" s="25"/>
      <c r="B3" s="298" t="s">
        <v>1056</v>
      </c>
      <c r="C3" s="768"/>
      <c r="D3" s="768"/>
      <c r="E3" s="768"/>
      <c r="F3" s="768"/>
      <c r="G3" s="768"/>
      <c r="H3" s="768"/>
      <c r="I3" s="768"/>
      <c r="J3" s="768"/>
      <c r="K3" s="1"/>
    </row>
    <row r="4" spans="1:12">
      <c r="B4" s="298" t="s">
        <v>1057</v>
      </c>
      <c r="C4" s="768"/>
      <c r="D4" s="768"/>
      <c r="E4" s="768"/>
      <c r="F4" s="768"/>
      <c r="G4" s="768"/>
      <c r="H4" s="768"/>
      <c r="I4" s="768"/>
      <c r="J4" s="768"/>
      <c r="K4" s="1"/>
      <c r="L4" s="300"/>
    </row>
    <row r="5" spans="1:12">
      <c r="B5" s="298"/>
      <c r="C5" s="768"/>
      <c r="D5" s="768"/>
      <c r="E5" s="768"/>
      <c r="F5" s="768"/>
      <c r="G5" s="768"/>
      <c r="H5" s="768"/>
      <c r="I5" s="768"/>
      <c r="J5" s="768"/>
      <c r="K5" s="1"/>
    </row>
    <row r="6" spans="1:12">
      <c r="A6" s="300"/>
      <c r="B6" s="1" t="s">
        <v>1058</v>
      </c>
      <c r="C6" s="768"/>
      <c r="D6" s="768"/>
      <c r="E6" s="768"/>
      <c r="F6" s="768"/>
      <c r="G6" s="768"/>
      <c r="H6" s="768"/>
      <c r="I6" s="768"/>
      <c r="J6" s="768"/>
      <c r="K6" s="1"/>
    </row>
    <row r="7" spans="1:12">
      <c r="A7" s="300"/>
      <c r="B7" s="1"/>
      <c r="C7" s="768"/>
      <c r="D7" s="52" t="s">
        <v>307</v>
      </c>
      <c r="E7" s="52" t="s">
        <v>308</v>
      </c>
      <c r="F7" s="52" t="s">
        <v>309</v>
      </c>
      <c r="G7" s="52" t="s">
        <v>310</v>
      </c>
      <c r="H7" s="52" t="s">
        <v>311</v>
      </c>
      <c r="I7" s="52" t="s">
        <v>312</v>
      </c>
      <c r="J7" s="200"/>
      <c r="K7" s="1"/>
      <c r="L7" s="200"/>
    </row>
    <row r="8" spans="1:12">
      <c r="B8" s="768"/>
      <c r="C8" s="768"/>
      <c r="D8" s="1020" t="s">
        <v>1059</v>
      </c>
      <c r="E8" s="768"/>
      <c r="F8" s="768"/>
      <c r="G8" s="768"/>
      <c r="H8" s="768"/>
      <c r="I8" s="768"/>
      <c r="J8" s="10"/>
      <c r="K8" s="10"/>
    </row>
    <row r="9" spans="1:12">
      <c r="B9" s="768"/>
      <c r="C9" s="768"/>
      <c r="D9" s="666" t="s">
        <v>1060</v>
      </c>
      <c r="E9" s="768"/>
      <c r="F9" s="768"/>
      <c r="G9" s="768"/>
      <c r="H9" s="768"/>
      <c r="I9" s="768"/>
      <c r="J9" s="10"/>
      <c r="K9" s="10"/>
    </row>
    <row r="10" spans="1:12">
      <c r="B10" s="379"/>
      <c r="C10" s="768"/>
      <c r="D10" s="768"/>
      <c r="E10" s="768"/>
      <c r="F10" s="768"/>
      <c r="G10" s="768"/>
      <c r="H10" s="768"/>
      <c r="I10" s="768"/>
      <c r="J10" s="10"/>
      <c r="K10" s="10"/>
    </row>
    <row r="11" spans="1:12">
      <c r="B11" s="379"/>
      <c r="C11" s="768"/>
      <c r="D11" s="379" t="s">
        <v>331</v>
      </c>
      <c r="E11" s="768"/>
      <c r="F11" s="379" t="s">
        <v>1061</v>
      </c>
      <c r="G11" s="201" t="s">
        <v>1062</v>
      </c>
      <c r="H11" s="201" t="s">
        <v>1063</v>
      </c>
      <c r="I11" s="379"/>
      <c r="J11" s="64"/>
      <c r="K11" s="298"/>
    </row>
    <row r="12" spans="1:12">
      <c r="A12" s="663" t="s">
        <v>243</v>
      </c>
      <c r="B12" s="435" t="s">
        <v>342</v>
      </c>
      <c r="C12" s="435" t="s">
        <v>343</v>
      </c>
      <c r="D12" s="2" t="s">
        <v>1064</v>
      </c>
      <c r="E12" s="2" t="s">
        <v>1065</v>
      </c>
      <c r="F12" s="2" t="s">
        <v>1066</v>
      </c>
      <c r="G12" s="202" t="s">
        <v>1067</v>
      </c>
      <c r="H12" s="202" t="s">
        <v>1068</v>
      </c>
      <c r="I12" s="2" t="s">
        <v>1069</v>
      </c>
      <c r="J12" s="74"/>
      <c r="K12" s="298"/>
    </row>
    <row r="13" spans="1:12">
      <c r="A13" s="64">
        <v>1</v>
      </c>
      <c r="B13" s="436" t="s">
        <v>350</v>
      </c>
      <c r="C13" s="437">
        <v>2017</v>
      </c>
      <c r="D13" s="5">
        <f t="shared" ref="D13:D25" si="0">SUM(E13:I13)+SUM(D33:H33)</f>
        <v>150431067.17000002</v>
      </c>
      <c r="E13" s="340">
        <v>150976.49</v>
      </c>
      <c r="F13" s="787">
        <v>0</v>
      </c>
      <c r="G13" s="787">
        <v>4884727.96</v>
      </c>
      <c r="H13" s="787">
        <v>98805811.510000005</v>
      </c>
      <c r="I13" s="787">
        <v>0</v>
      </c>
      <c r="J13" s="438"/>
      <c r="K13" s="768"/>
    </row>
    <row r="14" spans="1:12">
      <c r="A14" s="64">
        <f>A13+1</f>
        <v>2</v>
      </c>
      <c r="B14" s="436" t="s">
        <v>352</v>
      </c>
      <c r="C14" s="437">
        <v>2018</v>
      </c>
      <c r="D14" s="5">
        <f t="shared" si="0"/>
        <v>213986863.31</v>
      </c>
      <c r="E14" s="340">
        <v>151684.13</v>
      </c>
      <c r="F14" s="787">
        <v>0</v>
      </c>
      <c r="G14" s="787">
        <v>4899846.24</v>
      </c>
      <c r="H14" s="787">
        <v>99567835.739999995</v>
      </c>
      <c r="I14" s="787">
        <v>0</v>
      </c>
      <c r="J14" s="438"/>
      <c r="K14" s="768"/>
    </row>
    <row r="15" spans="1:12">
      <c r="A15" s="64">
        <f t="shared" ref="A15:A26" si="1">A14+1</f>
        <v>3</v>
      </c>
      <c r="B15" s="439" t="s">
        <v>353</v>
      </c>
      <c r="C15" s="437">
        <v>2018</v>
      </c>
      <c r="D15" s="5">
        <f t="shared" si="0"/>
        <v>224632906.98000002</v>
      </c>
      <c r="E15" s="340">
        <v>153628.21</v>
      </c>
      <c r="F15" s="787">
        <v>0</v>
      </c>
      <c r="G15" s="787">
        <v>4921435.24</v>
      </c>
      <c r="H15" s="787">
        <v>102282631.87</v>
      </c>
      <c r="I15" s="787">
        <v>0</v>
      </c>
      <c r="J15" s="438"/>
      <c r="K15" s="768"/>
    </row>
    <row r="16" spans="1:12">
      <c r="A16" s="64">
        <f t="shared" si="1"/>
        <v>4</v>
      </c>
      <c r="B16" s="439" t="s">
        <v>354</v>
      </c>
      <c r="C16" s="437">
        <v>2018</v>
      </c>
      <c r="D16" s="5">
        <f t="shared" si="0"/>
        <v>247405345.81</v>
      </c>
      <c r="E16" s="340">
        <v>154986.82999999999</v>
      </c>
      <c r="F16" s="787">
        <v>0</v>
      </c>
      <c r="G16" s="787">
        <v>4936884.2</v>
      </c>
      <c r="H16" s="787">
        <v>107378630.7</v>
      </c>
      <c r="I16" s="787">
        <v>0</v>
      </c>
      <c r="J16" s="438"/>
      <c r="K16" s="768"/>
    </row>
    <row r="17" spans="1:11">
      <c r="A17" s="64">
        <f t="shared" si="1"/>
        <v>5</v>
      </c>
      <c r="B17" s="436" t="s">
        <v>355</v>
      </c>
      <c r="C17" s="437">
        <v>2018</v>
      </c>
      <c r="D17" s="5">
        <f t="shared" si="0"/>
        <v>266782487.64000002</v>
      </c>
      <c r="E17" s="340">
        <v>155432.94</v>
      </c>
      <c r="F17" s="787">
        <v>0</v>
      </c>
      <c r="G17" s="787">
        <v>4968064.29</v>
      </c>
      <c r="H17" s="787">
        <v>118470455.36</v>
      </c>
      <c r="I17" s="787">
        <v>0</v>
      </c>
      <c r="J17" s="438"/>
      <c r="K17" s="768"/>
    </row>
    <row r="18" spans="1:11">
      <c r="A18" s="64">
        <f t="shared" si="1"/>
        <v>6</v>
      </c>
      <c r="B18" s="439" t="s">
        <v>356</v>
      </c>
      <c r="C18" s="437">
        <v>2018</v>
      </c>
      <c r="D18" s="5">
        <f t="shared" si="0"/>
        <v>280386098.78999996</v>
      </c>
      <c r="E18" s="340">
        <v>155432.94</v>
      </c>
      <c r="F18" s="787">
        <v>0</v>
      </c>
      <c r="G18" s="787">
        <v>5026302.5199999996</v>
      </c>
      <c r="H18" s="787">
        <v>124193405.3</v>
      </c>
      <c r="I18" s="787">
        <v>0</v>
      </c>
      <c r="J18" s="438"/>
      <c r="K18" s="768"/>
    </row>
    <row r="19" spans="1:11">
      <c r="A19" s="64">
        <f t="shared" si="1"/>
        <v>7</v>
      </c>
      <c r="B19" s="439" t="s">
        <v>357</v>
      </c>
      <c r="C19" s="437">
        <v>2018</v>
      </c>
      <c r="D19" s="5">
        <f t="shared" si="0"/>
        <v>289434998.25999999</v>
      </c>
      <c r="E19" s="340">
        <v>155511.34</v>
      </c>
      <c r="F19" s="787">
        <v>0</v>
      </c>
      <c r="G19" s="787">
        <v>5028631.22</v>
      </c>
      <c r="H19" s="787">
        <v>129989496.73999999</v>
      </c>
      <c r="I19" s="787">
        <v>0</v>
      </c>
      <c r="J19" s="438"/>
      <c r="K19" s="768"/>
    </row>
    <row r="20" spans="1:11">
      <c r="A20" s="64">
        <f t="shared" si="1"/>
        <v>8</v>
      </c>
      <c r="B20" s="436" t="s">
        <v>358</v>
      </c>
      <c r="C20" s="437">
        <v>2018</v>
      </c>
      <c r="D20" s="5">
        <f t="shared" si="0"/>
        <v>301451677.64999998</v>
      </c>
      <c r="E20" s="340">
        <v>155511.34</v>
      </c>
      <c r="F20" s="787">
        <v>0</v>
      </c>
      <c r="G20" s="787">
        <v>5045581.84</v>
      </c>
      <c r="H20" s="787">
        <v>137885130.84999999</v>
      </c>
      <c r="I20" s="787">
        <v>0</v>
      </c>
      <c r="J20" s="438"/>
      <c r="K20" s="768"/>
    </row>
    <row r="21" spans="1:11">
      <c r="A21" s="64">
        <f t="shared" si="1"/>
        <v>9</v>
      </c>
      <c r="B21" s="439" t="s">
        <v>359</v>
      </c>
      <c r="C21" s="437">
        <v>2018</v>
      </c>
      <c r="D21" s="5">
        <f t="shared" si="0"/>
        <v>321849200.56999999</v>
      </c>
      <c r="E21" s="340">
        <v>155511.34</v>
      </c>
      <c r="F21" s="787">
        <v>0</v>
      </c>
      <c r="G21" s="787">
        <v>5082398.51</v>
      </c>
      <c r="H21" s="787">
        <v>149188735.08000001</v>
      </c>
      <c r="I21" s="787">
        <v>0</v>
      </c>
      <c r="J21" s="438"/>
      <c r="K21" s="768"/>
    </row>
    <row r="22" spans="1:11">
      <c r="A22" s="64">
        <f t="shared" si="1"/>
        <v>10</v>
      </c>
      <c r="B22" s="439" t="s">
        <v>360</v>
      </c>
      <c r="C22" s="437">
        <v>2018</v>
      </c>
      <c r="D22" s="5">
        <f t="shared" si="0"/>
        <v>339139257.51999998</v>
      </c>
      <c r="E22" s="340">
        <v>155511.34</v>
      </c>
      <c r="F22" s="787">
        <v>0</v>
      </c>
      <c r="G22" s="787">
        <v>5110294.54</v>
      </c>
      <c r="H22" s="787">
        <v>166117121.72</v>
      </c>
      <c r="I22" s="787">
        <v>0</v>
      </c>
      <c r="J22" s="438"/>
      <c r="K22" s="768"/>
    </row>
    <row r="23" spans="1:11">
      <c r="A23" s="64">
        <f t="shared" si="1"/>
        <v>11</v>
      </c>
      <c r="B23" s="436" t="s">
        <v>1070</v>
      </c>
      <c r="C23" s="437">
        <v>2018</v>
      </c>
      <c r="D23" s="5">
        <f t="shared" si="0"/>
        <v>380115164.66000003</v>
      </c>
      <c r="E23" s="340">
        <v>155511.34</v>
      </c>
      <c r="F23" s="787">
        <v>0</v>
      </c>
      <c r="G23" s="787">
        <v>5136619.24</v>
      </c>
      <c r="H23" s="787">
        <v>194064737.02000001</v>
      </c>
      <c r="I23" s="787">
        <v>0</v>
      </c>
      <c r="J23" s="438"/>
      <c r="K23" s="768"/>
    </row>
    <row r="24" spans="1:11">
      <c r="A24" s="64">
        <f t="shared" si="1"/>
        <v>12</v>
      </c>
      <c r="B24" s="436" t="s">
        <v>362</v>
      </c>
      <c r="C24" s="437">
        <v>2018</v>
      </c>
      <c r="D24" s="5">
        <f t="shared" si="0"/>
        <v>406169532.48000002</v>
      </c>
      <c r="E24" s="340">
        <v>155511.34</v>
      </c>
      <c r="F24" s="787">
        <v>0</v>
      </c>
      <c r="G24" s="787">
        <v>5173051.3499999996</v>
      </c>
      <c r="H24" s="787">
        <v>212063571.47999999</v>
      </c>
      <c r="I24" s="787">
        <v>0</v>
      </c>
      <c r="J24" s="438"/>
      <c r="K24" s="768"/>
    </row>
    <row r="25" spans="1:11">
      <c r="A25" s="64">
        <f t="shared" si="1"/>
        <v>13</v>
      </c>
      <c r="B25" s="436" t="s">
        <v>350</v>
      </c>
      <c r="C25" s="437">
        <v>2018</v>
      </c>
      <c r="D25" s="55">
        <f t="shared" si="0"/>
        <v>442100547.47999996</v>
      </c>
      <c r="E25" s="237">
        <v>156282.26999999999</v>
      </c>
      <c r="F25" s="68">
        <v>0</v>
      </c>
      <c r="G25" s="68">
        <v>5220451.6500000004</v>
      </c>
      <c r="H25" s="68">
        <v>228226372.41</v>
      </c>
      <c r="I25" s="68">
        <v>0</v>
      </c>
      <c r="J25" s="438"/>
      <c r="K25" s="768"/>
    </row>
    <row r="26" spans="1:11">
      <c r="A26" s="64">
        <f t="shared" si="1"/>
        <v>14</v>
      </c>
      <c r="B26" s="1021"/>
      <c r="C26" s="440" t="s">
        <v>1071</v>
      </c>
      <c r="D26" s="338">
        <f t="shared" ref="D26:I26" si="2">SUM(D13:D25)/13</f>
        <v>297221934.48615384</v>
      </c>
      <c r="E26" s="338">
        <f t="shared" si="2"/>
        <v>154730.14230769232</v>
      </c>
      <c r="F26" s="338">
        <f t="shared" si="2"/>
        <v>0</v>
      </c>
      <c r="G26" s="338">
        <f t="shared" si="2"/>
        <v>5033406.8307692315</v>
      </c>
      <c r="H26" s="338">
        <f t="shared" si="2"/>
        <v>143710302.75230771</v>
      </c>
      <c r="I26" s="338">
        <f t="shared" si="2"/>
        <v>0</v>
      </c>
      <c r="J26" s="438"/>
      <c r="K26" s="438"/>
    </row>
    <row r="27" spans="1:11">
      <c r="A27" s="64"/>
      <c r="B27" s="436"/>
      <c r="C27" s="440"/>
      <c r="D27" s="338"/>
      <c r="E27" s="338"/>
      <c r="F27" s="338"/>
      <c r="G27" s="338"/>
      <c r="H27" s="338"/>
      <c r="I27" s="438"/>
      <c r="J27" s="302"/>
      <c r="K27" s="438"/>
    </row>
    <row r="28" spans="1:11">
      <c r="A28" s="64"/>
      <c r="B28" s="436"/>
      <c r="C28" s="440"/>
      <c r="D28" s="52" t="s">
        <v>313</v>
      </c>
      <c r="E28" s="52" t="s">
        <v>314</v>
      </c>
      <c r="F28" s="52" t="s">
        <v>315</v>
      </c>
      <c r="G28" s="52" t="s">
        <v>534</v>
      </c>
      <c r="H28" s="52" t="s">
        <v>535</v>
      </c>
      <c r="I28" s="52" t="s">
        <v>536</v>
      </c>
      <c r="J28" s="302"/>
      <c r="K28" s="438"/>
    </row>
    <row r="29" spans="1:11">
      <c r="A29" s="64"/>
      <c r="B29" s="436"/>
      <c r="C29" s="440"/>
      <c r="D29" s="768"/>
      <c r="E29" s="201" t="s">
        <v>1072</v>
      </c>
      <c r="F29" s="201"/>
      <c r="G29" s="201"/>
      <c r="H29" s="338"/>
      <c r="I29" s="438"/>
      <c r="J29" s="302"/>
      <c r="K29" s="438"/>
    </row>
    <row r="30" spans="1:11">
      <c r="B30" s="379"/>
      <c r="C30" s="768"/>
      <c r="D30" s="379" t="s">
        <v>1073</v>
      </c>
      <c r="E30" s="379" t="s">
        <v>1074</v>
      </c>
      <c r="F30" s="201"/>
      <c r="G30" s="201"/>
      <c r="H30" s="338"/>
      <c r="I30" s="438"/>
      <c r="J30" s="302"/>
      <c r="K30" s="438"/>
    </row>
    <row r="31" spans="1:11">
      <c r="B31" s="379"/>
      <c r="C31" s="768"/>
      <c r="D31" s="379" t="s">
        <v>820</v>
      </c>
      <c r="E31" s="379" t="s">
        <v>820</v>
      </c>
      <c r="F31" s="340"/>
      <c r="G31" s="962"/>
      <c r="H31" s="961" t="s">
        <v>1075</v>
      </c>
      <c r="I31" s="962"/>
      <c r="J31" s="438"/>
      <c r="K31" s="438"/>
    </row>
    <row r="32" spans="1:11">
      <c r="A32" s="663" t="s">
        <v>243</v>
      </c>
      <c r="B32" s="435" t="s">
        <v>342</v>
      </c>
      <c r="C32" s="435" t="s">
        <v>343</v>
      </c>
      <c r="D32" s="2" t="s">
        <v>1076</v>
      </c>
      <c r="E32" s="2" t="s">
        <v>1076</v>
      </c>
      <c r="F32" s="203" t="s">
        <v>1077</v>
      </c>
      <c r="G32" s="203" t="s">
        <v>1078</v>
      </c>
      <c r="H32" s="203" t="s">
        <v>1079</v>
      </c>
      <c r="I32" s="203"/>
      <c r="J32" s="438"/>
      <c r="K32" s="438"/>
    </row>
    <row r="33" spans="1:11">
      <c r="A33" s="64">
        <f>+A26+1</f>
        <v>15</v>
      </c>
      <c r="B33" s="436" t="s">
        <v>350</v>
      </c>
      <c r="C33" s="437">
        <v>2017</v>
      </c>
      <c r="D33" s="787">
        <v>0</v>
      </c>
      <c r="E33" s="787">
        <v>0</v>
      </c>
      <c r="F33" s="787">
        <v>46589551.210000001</v>
      </c>
      <c r="G33" s="787">
        <v>0</v>
      </c>
      <c r="H33" s="787">
        <v>0</v>
      </c>
      <c r="I33" s="441"/>
      <c r="J33" s="438"/>
      <c r="K33" s="438"/>
    </row>
    <row r="34" spans="1:11">
      <c r="A34" s="64">
        <f>A33+1</f>
        <v>16</v>
      </c>
      <c r="B34" s="436" t="s">
        <v>352</v>
      </c>
      <c r="C34" s="437">
        <v>2018</v>
      </c>
      <c r="D34" s="787">
        <v>0</v>
      </c>
      <c r="E34" s="787">
        <v>0</v>
      </c>
      <c r="F34" s="787">
        <v>52872087.630000003</v>
      </c>
      <c r="G34" s="787">
        <v>19158215.559999999</v>
      </c>
      <c r="H34" s="787">
        <v>37337194.009999998</v>
      </c>
      <c r="I34" s="441"/>
      <c r="J34" s="438"/>
      <c r="K34" s="438"/>
    </row>
    <row r="35" spans="1:11">
      <c r="A35" s="64">
        <f t="shared" ref="A35:A46" si="3">A34+1</f>
        <v>17</v>
      </c>
      <c r="B35" s="439" t="s">
        <v>353</v>
      </c>
      <c r="C35" s="437">
        <v>2018</v>
      </c>
      <c r="D35" s="787">
        <v>0</v>
      </c>
      <c r="E35" s="787">
        <v>0</v>
      </c>
      <c r="F35" s="787">
        <v>60403300.759999998</v>
      </c>
      <c r="G35" s="787">
        <v>19209869.41</v>
      </c>
      <c r="H35" s="787">
        <v>37662041.490000002</v>
      </c>
      <c r="I35" s="441"/>
      <c r="J35" s="438"/>
      <c r="K35" s="438"/>
    </row>
    <row r="36" spans="1:11">
      <c r="A36" s="64">
        <f t="shared" si="3"/>
        <v>18</v>
      </c>
      <c r="B36" s="439" t="s">
        <v>354</v>
      </c>
      <c r="C36" s="437">
        <v>2018</v>
      </c>
      <c r="D36" s="787">
        <v>0</v>
      </c>
      <c r="E36" s="787">
        <v>0</v>
      </c>
      <c r="F36" s="787">
        <v>67699423.629999995</v>
      </c>
      <c r="G36" s="787">
        <v>19263257.300000001</v>
      </c>
      <c r="H36" s="787">
        <v>47972163.149999999</v>
      </c>
      <c r="I36" s="441"/>
      <c r="J36" s="438"/>
      <c r="K36" s="438"/>
    </row>
    <row r="37" spans="1:11">
      <c r="A37" s="64">
        <f t="shared" si="3"/>
        <v>19</v>
      </c>
      <c r="B37" s="436" t="s">
        <v>355</v>
      </c>
      <c r="C37" s="437">
        <v>2018</v>
      </c>
      <c r="D37" s="787">
        <v>0</v>
      </c>
      <c r="E37" s="787">
        <v>0</v>
      </c>
      <c r="F37" s="787">
        <v>74865327.590000004</v>
      </c>
      <c r="G37" s="787">
        <v>19494339.25</v>
      </c>
      <c r="H37" s="787">
        <v>48828868.210000001</v>
      </c>
      <c r="I37" s="441"/>
      <c r="J37" s="438"/>
      <c r="K37" s="438"/>
    </row>
    <row r="38" spans="1:11">
      <c r="A38" s="64">
        <f t="shared" si="3"/>
        <v>20</v>
      </c>
      <c r="B38" s="439" t="s">
        <v>356</v>
      </c>
      <c r="C38" s="437">
        <v>2018</v>
      </c>
      <c r="D38" s="787">
        <v>0</v>
      </c>
      <c r="E38" s="787">
        <v>0</v>
      </c>
      <c r="F38" s="787">
        <v>81351559.420000002</v>
      </c>
      <c r="G38" s="787">
        <v>19590062.07</v>
      </c>
      <c r="H38" s="787">
        <v>50069336.539999999</v>
      </c>
      <c r="I38" s="441"/>
      <c r="J38" s="438"/>
      <c r="K38" s="438"/>
    </row>
    <row r="39" spans="1:11">
      <c r="A39" s="64">
        <f t="shared" si="3"/>
        <v>21</v>
      </c>
      <c r="B39" s="439" t="s">
        <v>357</v>
      </c>
      <c r="C39" s="437">
        <v>2018</v>
      </c>
      <c r="D39" s="787">
        <v>0</v>
      </c>
      <c r="E39" s="787">
        <v>0</v>
      </c>
      <c r="F39" s="787">
        <v>84101356.430000007</v>
      </c>
      <c r="G39" s="787">
        <v>19640937.789999999</v>
      </c>
      <c r="H39" s="787">
        <v>50519064.740000002</v>
      </c>
      <c r="I39" s="441"/>
      <c r="J39" s="438"/>
      <c r="K39" s="438"/>
    </row>
    <row r="40" spans="1:11">
      <c r="A40" s="64">
        <f t="shared" si="3"/>
        <v>22</v>
      </c>
      <c r="B40" s="436" t="s">
        <v>358</v>
      </c>
      <c r="C40" s="437">
        <v>2018</v>
      </c>
      <c r="D40" s="787">
        <v>0</v>
      </c>
      <c r="E40" s="787">
        <v>0</v>
      </c>
      <c r="F40" s="787">
        <v>87696225.060000002</v>
      </c>
      <c r="G40" s="787">
        <v>19733199.34</v>
      </c>
      <c r="H40" s="787">
        <v>50936029.219999999</v>
      </c>
      <c r="I40" s="441"/>
      <c r="J40" s="438"/>
      <c r="K40" s="438"/>
    </row>
    <row r="41" spans="1:11">
      <c r="A41" s="64">
        <f t="shared" si="3"/>
        <v>23</v>
      </c>
      <c r="B41" s="439" t="s">
        <v>359</v>
      </c>
      <c r="C41" s="437">
        <v>2018</v>
      </c>
      <c r="D41" s="787">
        <v>0</v>
      </c>
      <c r="E41" s="787">
        <v>0</v>
      </c>
      <c r="F41" s="787">
        <v>96053874.579999998</v>
      </c>
      <c r="G41" s="787">
        <v>19787597.940000001</v>
      </c>
      <c r="H41" s="787">
        <v>51581083.119999997</v>
      </c>
      <c r="I41" s="441"/>
      <c r="J41" s="438"/>
      <c r="K41" s="438"/>
    </row>
    <row r="42" spans="1:11">
      <c r="A42" s="64">
        <f t="shared" si="3"/>
        <v>24</v>
      </c>
      <c r="B42" s="439" t="s">
        <v>360</v>
      </c>
      <c r="C42" s="437">
        <v>2018</v>
      </c>
      <c r="D42" s="787">
        <v>0</v>
      </c>
      <c r="E42" s="787">
        <v>0</v>
      </c>
      <c r="F42" s="787">
        <v>95968190.170000002</v>
      </c>
      <c r="G42" s="787">
        <v>19827432.829999998</v>
      </c>
      <c r="H42" s="787">
        <v>51960706.920000002</v>
      </c>
      <c r="I42" s="441"/>
      <c r="J42" s="438"/>
      <c r="K42" s="438"/>
    </row>
    <row r="43" spans="1:11">
      <c r="A43" s="64">
        <f t="shared" si="3"/>
        <v>25</v>
      </c>
      <c r="B43" s="436" t="s">
        <v>1070</v>
      </c>
      <c r="C43" s="437">
        <v>2018</v>
      </c>
      <c r="D43" s="787">
        <v>0</v>
      </c>
      <c r="E43" s="787">
        <v>0</v>
      </c>
      <c r="F43" s="787">
        <v>108480753.53</v>
      </c>
      <c r="G43" s="787">
        <v>19881322.82</v>
      </c>
      <c r="H43" s="787">
        <v>52396220.710000001</v>
      </c>
      <c r="I43" s="441"/>
      <c r="J43" s="438"/>
      <c r="K43" s="438"/>
    </row>
    <row r="44" spans="1:11">
      <c r="A44" s="64">
        <f t="shared" si="3"/>
        <v>26</v>
      </c>
      <c r="B44" s="436" t="s">
        <v>362</v>
      </c>
      <c r="C44" s="437">
        <v>2018</v>
      </c>
      <c r="D44" s="787">
        <v>0</v>
      </c>
      <c r="E44" s="787">
        <v>0</v>
      </c>
      <c r="F44" s="882">
        <v>113377826.34</v>
      </c>
      <c r="G44" s="882">
        <v>19925079.899999999</v>
      </c>
      <c r="H44" s="340">
        <v>55474492.07</v>
      </c>
      <c r="I44" s="441"/>
      <c r="J44" s="438"/>
      <c r="K44" s="438"/>
    </row>
    <row r="45" spans="1:11">
      <c r="A45" s="64">
        <f t="shared" si="3"/>
        <v>27</v>
      </c>
      <c r="B45" s="436" t="s">
        <v>350</v>
      </c>
      <c r="C45" s="437">
        <v>2018</v>
      </c>
      <c r="D45" s="68">
        <v>0</v>
      </c>
      <c r="E45" s="68">
        <v>0</v>
      </c>
      <c r="F45" s="963">
        <v>123208373.91</v>
      </c>
      <c r="G45" s="963">
        <v>20101220.48</v>
      </c>
      <c r="H45" s="237">
        <v>65187846.759999998</v>
      </c>
      <c r="I45" s="441"/>
      <c r="J45" s="438"/>
      <c r="K45" s="438"/>
    </row>
    <row r="46" spans="1:11">
      <c r="A46" s="64">
        <f t="shared" si="3"/>
        <v>28</v>
      </c>
      <c r="B46" s="1021"/>
      <c r="C46" s="440" t="s">
        <v>1071</v>
      </c>
      <c r="D46" s="338">
        <f>SUM(D33:D45)/13</f>
        <v>0</v>
      </c>
      <c r="E46" s="338">
        <f>SUM(E33:E45)/13</f>
        <v>0</v>
      </c>
      <c r="F46" s="338">
        <f>SUM(F33:F45)/13</f>
        <v>84051373.096923083</v>
      </c>
      <c r="G46" s="338">
        <f>SUM(G33:G45)/13</f>
        <v>18124041.129999999</v>
      </c>
      <c r="H46" s="338">
        <f>SUM(H33:H45)/13</f>
        <v>46148080.533846155</v>
      </c>
      <c r="I46" s="442" t="s">
        <v>351</v>
      </c>
      <c r="J46" s="438"/>
      <c r="K46" s="438"/>
    </row>
    <row r="48" spans="1:11">
      <c r="B48" s="443" t="s">
        <v>1080</v>
      </c>
      <c r="C48" s="768"/>
      <c r="D48" s="768"/>
      <c r="E48" s="768"/>
      <c r="F48" s="768"/>
      <c r="G48" s="768"/>
      <c r="H48" s="768"/>
      <c r="I48" s="768"/>
      <c r="J48" s="768"/>
      <c r="K48" s="768"/>
    </row>
    <row r="49" spans="1:13">
      <c r="B49" s="443"/>
      <c r="C49" s="768"/>
      <c r="D49" s="469" t="s">
        <v>307</v>
      </c>
      <c r="E49" s="469" t="s">
        <v>308</v>
      </c>
      <c r="F49" s="469" t="s">
        <v>309</v>
      </c>
      <c r="G49" s="469" t="s">
        <v>310</v>
      </c>
      <c r="H49" s="469" t="s">
        <v>311</v>
      </c>
      <c r="I49" s="469" t="s">
        <v>312</v>
      </c>
      <c r="J49" s="469" t="s">
        <v>313</v>
      </c>
      <c r="K49" s="469" t="s">
        <v>314</v>
      </c>
      <c r="M49" s="768"/>
    </row>
    <row r="50" spans="1:13" s="470" customFormat="1">
      <c r="A50" s="609"/>
      <c r="D50" s="299" t="s">
        <v>317</v>
      </c>
      <c r="E50" s="299" t="s">
        <v>317</v>
      </c>
      <c r="F50" s="299" t="s">
        <v>317</v>
      </c>
      <c r="G50" s="299" t="s">
        <v>317</v>
      </c>
      <c r="H50" s="299" t="s">
        <v>317</v>
      </c>
      <c r="I50" s="299" t="s">
        <v>317</v>
      </c>
      <c r="J50" s="299" t="s">
        <v>317</v>
      </c>
      <c r="K50" s="299" t="s">
        <v>317</v>
      </c>
      <c r="L50" s="609"/>
    </row>
    <row r="51" spans="1:13">
      <c r="B51" s="768"/>
      <c r="C51" s="768"/>
      <c r="D51" s="768"/>
      <c r="E51" s="768"/>
      <c r="F51" s="768"/>
      <c r="G51" s="379" t="s">
        <v>1081</v>
      </c>
      <c r="H51" s="768"/>
      <c r="I51" s="768"/>
      <c r="J51" s="768"/>
      <c r="K51" s="471"/>
      <c r="M51" s="768"/>
    </row>
    <row r="52" spans="1:13">
      <c r="A52" s="471"/>
      <c r="B52" s="471"/>
      <c r="C52" s="471"/>
      <c r="D52" s="471" t="s">
        <v>1082</v>
      </c>
      <c r="E52" s="471" t="s">
        <v>1083</v>
      </c>
      <c r="F52" s="471" t="s">
        <v>1084</v>
      </c>
      <c r="G52" s="471" t="s">
        <v>388</v>
      </c>
      <c r="H52" s="471" t="s">
        <v>1085</v>
      </c>
      <c r="I52" s="472" t="s">
        <v>1086</v>
      </c>
      <c r="J52" s="471" t="s">
        <v>1082</v>
      </c>
      <c r="K52" s="471" t="s">
        <v>1087</v>
      </c>
      <c r="M52" s="768"/>
    </row>
    <row r="53" spans="1:13">
      <c r="A53" s="663" t="s">
        <v>243</v>
      </c>
      <c r="B53" s="435" t="s">
        <v>342</v>
      </c>
      <c r="C53" s="435" t="s">
        <v>343</v>
      </c>
      <c r="D53" s="469" t="s">
        <v>1088</v>
      </c>
      <c r="E53" s="469" t="s">
        <v>1089</v>
      </c>
      <c r="F53" s="469" t="s">
        <v>1090</v>
      </c>
      <c r="G53" s="469" t="s">
        <v>1091</v>
      </c>
      <c r="H53" s="469" t="s">
        <v>1092</v>
      </c>
      <c r="I53" s="469" t="s">
        <v>1093</v>
      </c>
      <c r="J53" s="469" t="s">
        <v>1094</v>
      </c>
      <c r="K53" s="2" t="s">
        <v>1095</v>
      </c>
      <c r="M53" s="768"/>
    </row>
    <row r="54" spans="1:13">
      <c r="A54" s="64">
        <f>A46+1</f>
        <v>29</v>
      </c>
      <c r="B54" s="436" t="s">
        <v>350</v>
      </c>
      <c r="C54" s="437">
        <v>2018</v>
      </c>
      <c r="D54" s="478" t="s">
        <v>351</v>
      </c>
      <c r="E54" s="478" t="s">
        <v>351</v>
      </c>
      <c r="F54" s="478" t="s">
        <v>351</v>
      </c>
      <c r="G54" s="478" t="s">
        <v>351</v>
      </c>
      <c r="H54" s="478" t="s">
        <v>351</v>
      </c>
      <c r="I54" s="478" t="s">
        <v>351</v>
      </c>
      <c r="J54" s="5">
        <f>D25</f>
        <v>442100547.47999996</v>
      </c>
      <c r="K54" s="478" t="s">
        <v>351</v>
      </c>
      <c r="M54" s="768"/>
    </row>
    <row r="55" spans="1:13">
      <c r="A55" s="64">
        <f>A54+1</f>
        <v>30</v>
      </c>
      <c r="B55" s="436" t="s">
        <v>352</v>
      </c>
      <c r="C55" s="437">
        <v>2019</v>
      </c>
      <c r="D55" s="5">
        <f t="shared" ref="D55:K64" si="4">D89+D122+D155+D188+D221+D254+D287+D320+D353+D386</f>
        <v>28644052.489</v>
      </c>
      <c r="E55" s="5">
        <f t="shared" si="4"/>
        <v>2148303.9366750005</v>
      </c>
      <c r="F55" s="5">
        <f t="shared" si="4"/>
        <v>30792356.425675001</v>
      </c>
      <c r="G55" s="5">
        <f t="shared" si="4"/>
        <v>141554.85</v>
      </c>
      <c r="H55" s="5">
        <f t="shared" si="4"/>
        <v>0</v>
      </c>
      <c r="I55" s="5">
        <f t="shared" si="4"/>
        <v>10616.613749999999</v>
      </c>
      <c r="J55" s="5">
        <f t="shared" si="4"/>
        <v>472740732.44192493</v>
      </c>
      <c r="K55" s="5">
        <f t="shared" si="4"/>
        <v>30640184.961925019</v>
      </c>
      <c r="L55" s="606"/>
      <c r="M55" s="5"/>
    </row>
    <row r="56" spans="1:13">
      <c r="A56" s="64">
        <f t="shared" ref="A56:A79" si="5">A55+1</f>
        <v>31</v>
      </c>
      <c r="B56" s="439" t="s">
        <v>353</v>
      </c>
      <c r="C56" s="437">
        <v>2019</v>
      </c>
      <c r="D56" s="5">
        <f t="shared" si="4"/>
        <v>13619249.716400001</v>
      </c>
      <c r="E56" s="5">
        <f t="shared" si="4"/>
        <v>1021443.7287300001</v>
      </c>
      <c r="F56" s="5">
        <f t="shared" si="4"/>
        <v>14640693.445130002</v>
      </c>
      <c r="G56" s="5">
        <f t="shared" si="4"/>
        <v>6841512.1600000001</v>
      </c>
      <c r="H56" s="5">
        <f t="shared" si="4"/>
        <v>6354080.5099999998</v>
      </c>
      <c r="I56" s="5">
        <f t="shared" si="4"/>
        <v>36557.373749999992</v>
      </c>
      <c r="J56" s="5">
        <f t="shared" si="4"/>
        <v>480503356.35330504</v>
      </c>
      <c r="K56" s="5">
        <f t="shared" si="4"/>
        <v>38402808.873305045</v>
      </c>
      <c r="L56" s="606"/>
      <c r="M56" s="5"/>
    </row>
    <row r="57" spans="1:13">
      <c r="A57" s="64">
        <f t="shared" si="5"/>
        <v>32</v>
      </c>
      <c r="B57" s="439" t="s">
        <v>354</v>
      </c>
      <c r="C57" s="437">
        <v>2019</v>
      </c>
      <c r="D57" s="5">
        <f t="shared" si="4"/>
        <v>23213967.283799998</v>
      </c>
      <c r="E57" s="5">
        <f t="shared" si="4"/>
        <v>1741047.5462849999</v>
      </c>
      <c r="F57" s="5">
        <f t="shared" si="4"/>
        <v>24955014.830084998</v>
      </c>
      <c r="G57" s="5">
        <f t="shared" si="4"/>
        <v>498891.65000000008</v>
      </c>
      <c r="H57" s="5">
        <f t="shared" si="4"/>
        <v>0</v>
      </c>
      <c r="I57" s="5">
        <f t="shared" si="4"/>
        <v>37416.873750000006</v>
      </c>
      <c r="J57" s="5">
        <f t="shared" si="4"/>
        <v>504922062.65964007</v>
      </c>
      <c r="K57" s="5">
        <f t="shared" si="4"/>
        <v>62821515.17964004</v>
      </c>
      <c r="L57" s="606"/>
      <c r="M57" s="5"/>
    </row>
    <row r="58" spans="1:13">
      <c r="A58" s="64">
        <f t="shared" si="5"/>
        <v>33</v>
      </c>
      <c r="B58" s="436" t="s">
        <v>355</v>
      </c>
      <c r="C58" s="437">
        <v>2019</v>
      </c>
      <c r="D58" s="5">
        <f t="shared" si="4"/>
        <v>20541516.51704444</v>
      </c>
      <c r="E58" s="5">
        <f t="shared" si="4"/>
        <v>1540613.7387783332</v>
      </c>
      <c r="F58" s="5">
        <f t="shared" si="4"/>
        <v>22082130.255822778</v>
      </c>
      <c r="G58" s="5">
        <f t="shared" si="4"/>
        <v>479464.69</v>
      </c>
      <c r="H58" s="5">
        <f t="shared" si="4"/>
        <v>0</v>
      </c>
      <c r="I58" s="5">
        <f t="shared" si="4"/>
        <v>35959.851750000002</v>
      </c>
      <c r="J58" s="5">
        <f t="shared" si="4"/>
        <v>526488768.37371284</v>
      </c>
      <c r="K58" s="5">
        <f t="shared" si="4"/>
        <v>84388220.893712819</v>
      </c>
      <c r="L58" s="606"/>
      <c r="M58" s="5"/>
    </row>
    <row r="59" spans="1:13">
      <c r="A59" s="64">
        <f t="shared" si="5"/>
        <v>34</v>
      </c>
      <c r="B59" s="439" t="s">
        <v>356</v>
      </c>
      <c r="C59" s="437">
        <v>2019</v>
      </c>
      <c r="D59" s="5">
        <f t="shared" si="4"/>
        <v>22706182.852044441</v>
      </c>
      <c r="E59" s="5">
        <f t="shared" si="4"/>
        <v>1702963.7139033331</v>
      </c>
      <c r="F59" s="5">
        <f t="shared" si="4"/>
        <v>24409146.565947779</v>
      </c>
      <c r="G59" s="5">
        <f t="shared" si="4"/>
        <v>754022.29999999993</v>
      </c>
      <c r="H59" s="5">
        <f t="shared" si="4"/>
        <v>0</v>
      </c>
      <c r="I59" s="5">
        <f t="shared" si="4"/>
        <v>56551.672500000001</v>
      </c>
      <c r="J59" s="5">
        <f t="shared" si="4"/>
        <v>550087340.96716058</v>
      </c>
      <c r="K59" s="5">
        <f t="shared" si="4"/>
        <v>107986793.48716059</v>
      </c>
      <c r="L59" s="606"/>
      <c r="M59" s="5"/>
    </row>
    <row r="60" spans="1:13">
      <c r="A60" s="64">
        <f t="shared" si="5"/>
        <v>35</v>
      </c>
      <c r="B60" s="439" t="s">
        <v>540</v>
      </c>
      <c r="C60" s="437">
        <v>2019</v>
      </c>
      <c r="D60" s="5">
        <f t="shared" si="4"/>
        <v>23187246.586444441</v>
      </c>
      <c r="E60" s="5">
        <f t="shared" si="4"/>
        <v>1739043.4939833332</v>
      </c>
      <c r="F60" s="5">
        <f t="shared" si="4"/>
        <v>24926290.080427773</v>
      </c>
      <c r="G60" s="5">
        <f t="shared" si="4"/>
        <v>1797384.17</v>
      </c>
      <c r="H60" s="5">
        <f t="shared" si="4"/>
        <v>691910.17</v>
      </c>
      <c r="I60" s="5">
        <f t="shared" si="4"/>
        <v>82910.549999999988</v>
      </c>
      <c r="J60" s="5">
        <f t="shared" si="4"/>
        <v>573133336.32758832</v>
      </c>
      <c r="K60" s="5">
        <f t="shared" si="4"/>
        <v>131032788.84758839</v>
      </c>
      <c r="L60" s="606"/>
      <c r="M60" s="5"/>
    </row>
    <row r="61" spans="1:13">
      <c r="A61" s="64">
        <f t="shared" si="5"/>
        <v>36</v>
      </c>
      <c r="B61" s="436" t="s">
        <v>358</v>
      </c>
      <c r="C61" s="437">
        <v>2019</v>
      </c>
      <c r="D61" s="5">
        <f t="shared" si="4"/>
        <v>27026913.10224444</v>
      </c>
      <c r="E61" s="5">
        <f t="shared" si="4"/>
        <v>2027018.482668333</v>
      </c>
      <c r="F61" s="5">
        <f t="shared" si="4"/>
        <v>29053931.584912777</v>
      </c>
      <c r="G61" s="5">
        <f t="shared" si="4"/>
        <v>168232</v>
      </c>
      <c r="H61" s="5">
        <f t="shared" si="4"/>
        <v>0</v>
      </c>
      <c r="I61" s="5">
        <f t="shared" si="4"/>
        <v>12617.4</v>
      </c>
      <c r="J61" s="5">
        <f t="shared" si="4"/>
        <v>602006418.51250112</v>
      </c>
      <c r="K61" s="5">
        <f t="shared" si="4"/>
        <v>159905871.03250113</v>
      </c>
      <c r="L61" s="606"/>
      <c r="M61" s="5"/>
    </row>
    <row r="62" spans="1:13">
      <c r="A62" s="64">
        <f t="shared" si="5"/>
        <v>37</v>
      </c>
      <c r="B62" s="439" t="s">
        <v>359</v>
      </c>
      <c r="C62" s="437">
        <v>2019</v>
      </c>
      <c r="D62" s="5">
        <f t="shared" si="4"/>
        <v>29369434.836244449</v>
      </c>
      <c r="E62" s="5">
        <f t="shared" si="4"/>
        <v>2202707.6127183335</v>
      </c>
      <c r="F62" s="5">
        <f t="shared" si="4"/>
        <v>31572142.448962782</v>
      </c>
      <c r="G62" s="5">
        <f t="shared" si="4"/>
        <v>632199.03</v>
      </c>
      <c r="H62" s="5">
        <f t="shared" si="4"/>
        <v>173868.03</v>
      </c>
      <c r="I62" s="5">
        <f t="shared" si="4"/>
        <v>34374.825000000004</v>
      </c>
      <c r="J62" s="5">
        <f t="shared" si="4"/>
        <v>632911987.10646391</v>
      </c>
      <c r="K62" s="5">
        <f t="shared" si="4"/>
        <v>190811439.62646389</v>
      </c>
      <c r="L62" s="606"/>
      <c r="M62" s="5"/>
    </row>
    <row r="63" spans="1:13">
      <c r="A63" s="64">
        <f t="shared" si="5"/>
        <v>38</v>
      </c>
      <c r="B63" s="439" t="s">
        <v>360</v>
      </c>
      <c r="C63" s="437">
        <v>2019</v>
      </c>
      <c r="D63" s="5">
        <f t="shared" si="4"/>
        <v>31037498.296244446</v>
      </c>
      <c r="E63" s="5">
        <f t="shared" si="4"/>
        <v>2327812.3722183337</v>
      </c>
      <c r="F63" s="5">
        <f t="shared" si="4"/>
        <v>33365310.668462776</v>
      </c>
      <c r="G63" s="5">
        <f t="shared" si="4"/>
        <v>776893.27</v>
      </c>
      <c r="H63" s="5">
        <f t="shared" si="4"/>
        <v>156282.26999999999</v>
      </c>
      <c r="I63" s="5">
        <f t="shared" si="4"/>
        <v>46545.824999999997</v>
      </c>
      <c r="J63" s="5">
        <f t="shared" si="4"/>
        <v>665453858.67992663</v>
      </c>
      <c r="K63" s="5">
        <f t="shared" si="4"/>
        <v>223353311.19992664</v>
      </c>
      <c r="L63" s="606"/>
      <c r="M63" s="5"/>
    </row>
    <row r="64" spans="1:13">
      <c r="A64" s="64">
        <f t="shared" si="5"/>
        <v>39</v>
      </c>
      <c r="B64" s="436" t="s">
        <v>361</v>
      </c>
      <c r="C64" s="437">
        <v>2019</v>
      </c>
      <c r="D64" s="5">
        <f t="shared" si="4"/>
        <v>20905414.296244446</v>
      </c>
      <c r="E64" s="5">
        <f t="shared" si="4"/>
        <v>1567906.0722183334</v>
      </c>
      <c r="F64" s="5">
        <f t="shared" si="4"/>
        <v>22473320.368462779</v>
      </c>
      <c r="G64" s="5">
        <f t="shared" si="4"/>
        <v>598232</v>
      </c>
      <c r="H64" s="5">
        <f t="shared" si="4"/>
        <v>0</v>
      </c>
      <c r="I64" s="5">
        <f t="shared" si="4"/>
        <v>44867.4</v>
      </c>
      <c r="J64" s="5">
        <f t="shared" si="4"/>
        <v>687284079.64838946</v>
      </c>
      <c r="K64" s="5">
        <f t="shared" si="4"/>
        <v>245183532.16838938</v>
      </c>
      <c r="L64" s="606"/>
      <c r="M64" s="5"/>
    </row>
    <row r="65" spans="1:13">
      <c r="A65" s="64">
        <f t="shared" si="5"/>
        <v>40</v>
      </c>
      <c r="B65" s="436" t="s">
        <v>362</v>
      </c>
      <c r="C65" s="437">
        <v>2019</v>
      </c>
      <c r="D65" s="5">
        <f t="shared" ref="D65:K74" si="6">D99+D132+D165+D198+D231+D264+D297+D330+D363+D396</f>
        <v>24856414.392244447</v>
      </c>
      <c r="E65" s="5">
        <f t="shared" si="6"/>
        <v>1864231.0794183335</v>
      </c>
      <c r="F65" s="5">
        <f t="shared" si="6"/>
        <v>26720645.471662782</v>
      </c>
      <c r="G65" s="5">
        <f t="shared" si="6"/>
        <v>696461.78</v>
      </c>
      <c r="H65" s="5">
        <f t="shared" si="6"/>
        <v>212598.78</v>
      </c>
      <c r="I65" s="5">
        <f t="shared" si="6"/>
        <v>36289.725000000006</v>
      </c>
      <c r="J65" s="5">
        <f t="shared" si="6"/>
        <v>713271973.61505222</v>
      </c>
      <c r="K65" s="5">
        <f t="shared" si="6"/>
        <v>271171426.13505214</v>
      </c>
      <c r="L65" s="606"/>
      <c r="M65" s="5"/>
    </row>
    <row r="66" spans="1:13">
      <c r="A66" s="64">
        <f t="shared" si="5"/>
        <v>41</v>
      </c>
      <c r="B66" s="436" t="s">
        <v>350</v>
      </c>
      <c r="C66" s="437">
        <v>2019</v>
      </c>
      <c r="D66" s="5">
        <f t="shared" si="6"/>
        <v>29894492.914644454</v>
      </c>
      <c r="E66" s="5">
        <f t="shared" si="6"/>
        <v>2242086.9685983341</v>
      </c>
      <c r="F66" s="5">
        <f t="shared" si="6"/>
        <v>32136579.88324279</v>
      </c>
      <c r="G66" s="5">
        <f t="shared" si="6"/>
        <v>8311541.5500000007</v>
      </c>
      <c r="H66" s="5">
        <f t="shared" si="6"/>
        <v>5614081.5499999998</v>
      </c>
      <c r="I66" s="5">
        <f t="shared" si="6"/>
        <v>202309.5</v>
      </c>
      <c r="J66" s="5">
        <f t="shared" si="6"/>
        <v>736894702.44829488</v>
      </c>
      <c r="K66" s="5">
        <f t="shared" si="6"/>
        <v>294794154.96829492</v>
      </c>
      <c r="L66" s="606"/>
      <c r="M66" s="5"/>
    </row>
    <row r="67" spans="1:13">
      <c r="A67" s="64">
        <f t="shared" si="5"/>
        <v>42</v>
      </c>
      <c r="B67" s="436" t="s">
        <v>352</v>
      </c>
      <c r="C67" s="437">
        <v>2020</v>
      </c>
      <c r="D67" s="5">
        <f t="shared" si="6"/>
        <v>22858346.237</v>
      </c>
      <c r="E67" s="5">
        <f t="shared" si="6"/>
        <v>1714375.967775</v>
      </c>
      <c r="F67" s="5">
        <f t="shared" si="6"/>
        <v>24572722.204775002</v>
      </c>
      <c r="G67" s="5">
        <f t="shared" si="6"/>
        <v>80529</v>
      </c>
      <c r="H67" s="5">
        <f t="shared" si="6"/>
        <v>0</v>
      </c>
      <c r="I67" s="5">
        <f t="shared" si="6"/>
        <v>6039.6750000000002</v>
      </c>
      <c r="J67" s="5">
        <f t="shared" si="6"/>
        <v>761380855.97806978</v>
      </c>
      <c r="K67" s="5">
        <f t="shared" si="6"/>
        <v>319280308.49806988</v>
      </c>
      <c r="L67" s="606"/>
      <c r="M67" s="5"/>
    </row>
    <row r="68" spans="1:13">
      <c r="A68" s="64">
        <f t="shared" si="5"/>
        <v>43</v>
      </c>
      <c r="B68" s="439" t="s">
        <v>353</v>
      </c>
      <c r="C68" s="437">
        <v>2020</v>
      </c>
      <c r="D68" s="5">
        <f t="shared" si="6"/>
        <v>32794585.140999999</v>
      </c>
      <c r="E68" s="5">
        <f t="shared" si="6"/>
        <v>2459593.8855750002</v>
      </c>
      <c r="F68" s="5">
        <f t="shared" si="6"/>
        <v>35254179.026574999</v>
      </c>
      <c r="G68" s="5">
        <f t="shared" si="6"/>
        <v>80529</v>
      </c>
      <c r="H68" s="5">
        <f t="shared" si="6"/>
        <v>0</v>
      </c>
      <c r="I68" s="5">
        <f t="shared" si="6"/>
        <v>6039.6750000000002</v>
      </c>
      <c r="J68" s="5">
        <f t="shared" si="6"/>
        <v>796548466.32964468</v>
      </c>
      <c r="K68" s="5">
        <f t="shared" si="6"/>
        <v>354447918.84964484</v>
      </c>
      <c r="L68" s="606"/>
      <c r="M68" s="5"/>
    </row>
    <row r="69" spans="1:13">
      <c r="A69" s="64">
        <f t="shared" si="5"/>
        <v>44</v>
      </c>
      <c r="B69" s="439" t="s">
        <v>354</v>
      </c>
      <c r="C69" s="437">
        <v>2020</v>
      </c>
      <c r="D69" s="5">
        <f t="shared" si="6"/>
        <v>32334996.140999999</v>
      </c>
      <c r="E69" s="5">
        <f t="shared" si="6"/>
        <v>2425124.7105749999</v>
      </c>
      <c r="F69" s="5">
        <f t="shared" si="6"/>
        <v>34760120.851575002</v>
      </c>
      <c r="G69" s="5">
        <f t="shared" si="6"/>
        <v>140529</v>
      </c>
      <c r="H69" s="5">
        <f t="shared" si="6"/>
        <v>0</v>
      </c>
      <c r="I69" s="5">
        <f t="shared" si="6"/>
        <v>10539.674999999999</v>
      </c>
      <c r="J69" s="5">
        <f t="shared" si="6"/>
        <v>831157518.50621963</v>
      </c>
      <c r="K69" s="5">
        <f t="shared" si="6"/>
        <v>389056971.02621984</v>
      </c>
      <c r="L69" s="606"/>
      <c r="M69" s="5"/>
    </row>
    <row r="70" spans="1:13">
      <c r="A70" s="64">
        <f t="shared" si="5"/>
        <v>45</v>
      </c>
      <c r="B70" s="436" t="s">
        <v>355</v>
      </c>
      <c r="C70" s="437">
        <v>2020</v>
      </c>
      <c r="D70" s="5">
        <f t="shared" si="6"/>
        <v>28995632.140999999</v>
      </c>
      <c r="E70" s="5">
        <f t="shared" si="6"/>
        <v>2174672.4105750001</v>
      </c>
      <c r="F70" s="5">
        <f t="shared" si="6"/>
        <v>31170304.551574998</v>
      </c>
      <c r="G70" s="5">
        <f t="shared" si="6"/>
        <v>230529</v>
      </c>
      <c r="H70" s="5">
        <f t="shared" si="6"/>
        <v>0</v>
      </c>
      <c r="I70" s="5">
        <f t="shared" si="6"/>
        <v>17289.674999999999</v>
      </c>
      <c r="J70" s="5">
        <f t="shared" si="6"/>
        <v>862080004.38279462</v>
      </c>
      <c r="K70" s="5">
        <f t="shared" si="6"/>
        <v>419979456.90279478</v>
      </c>
      <c r="L70" s="606"/>
      <c r="M70" s="5"/>
    </row>
    <row r="71" spans="1:13">
      <c r="A71" s="64">
        <f t="shared" si="5"/>
        <v>46</v>
      </c>
      <c r="B71" s="439" t="s">
        <v>356</v>
      </c>
      <c r="C71" s="437">
        <v>2020</v>
      </c>
      <c r="D71" s="5">
        <f t="shared" si="6"/>
        <v>32846344.140999999</v>
      </c>
      <c r="E71" s="5">
        <f t="shared" si="6"/>
        <v>2463475.810575</v>
      </c>
      <c r="F71" s="5">
        <f t="shared" si="6"/>
        <v>35309819.951574996</v>
      </c>
      <c r="G71" s="5">
        <f t="shared" si="6"/>
        <v>230529</v>
      </c>
      <c r="H71" s="5">
        <f t="shared" si="6"/>
        <v>0</v>
      </c>
      <c r="I71" s="5">
        <f t="shared" si="6"/>
        <v>17289.674999999999</v>
      </c>
      <c r="J71" s="5">
        <f t="shared" si="6"/>
        <v>897142005.65936959</v>
      </c>
      <c r="K71" s="5">
        <f t="shared" si="6"/>
        <v>455041458.17936981</v>
      </c>
      <c r="L71" s="606"/>
      <c r="M71" s="5"/>
    </row>
    <row r="72" spans="1:13">
      <c r="A72" s="64">
        <f t="shared" si="5"/>
        <v>47</v>
      </c>
      <c r="B72" s="439" t="s">
        <v>540</v>
      </c>
      <c r="C72" s="437">
        <v>2020</v>
      </c>
      <c r="D72" s="5">
        <f t="shared" si="6"/>
        <v>27445173.140999999</v>
      </c>
      <c r="E72" s="5">
        <f t="shared" si="6"/>
        <v>2058387.9855750001</v>
      </c>
      <c r="F72" s="5">
        <f t="shared" si="6"/>
        <v>29503561.126575001</v>
      </c>
      <c r="G72" s="5">
        <f t="shared" si="6"/>
        <v>80529</v>
      </c>
      <c r="H72" s="5">
        <f t="shared" si="6"/>
        <v>0</v>
      </c>
      <c r="I72" s="5">
        <f t="shared" si="6"/>
        <v>6039.6750000000002</v>
      </c>
      <c r="J72" s="5">
        <f t="shared" si="6"/>
        <v>926558998.11094475</v>
      </c>
      <c r="K72" s="5">
        <f t="shared" si="6"/>
        <v>484458450.63094473</v>
      </c>
      <c r="L72" s="606"/>
      <c r="M72" s="5"/>
    </row>
    <row r="73" spans="1:13">
      <c r="A73" s="64">
        <f t="shared" si="5"/>
        <v>48</v>
      </c>
      <c r="B73" s="436" t="s">
        <v>358</v>
      </c>
      <c r="C73" s="437">
        <v>2020</v>
      </c>
      <c r="D73" s="5">
        <f t="shared" si="6"/>
        <v>27167344.140999999</v>
      </c>
      <c r="E73" s="5">
        <f t="shared" si="6"/>
        <v>2037550.810575</v>
      </c>
      <c r="F73" s="5">
        <f t="shared" si="6"/>
        <v>29204894.951575</v>
      </c>
      <c r="G73" s="5">
        <f t="shared" si="6"/>
        <v>80529</v>
      </c>
      <c r="H73" s="5">
        <f t="shared" si="6"/>
        <v>0</v>
      </c>
      <c r="I73" s="5">
        <f t="shared" si="6"/>
        <v>6039.6750000000002</v>
      </c>
      <c r="J73" s="5">
        <f t="shared" si="6"/>
        <v>955677324.38751972</v>
      </c>
      <c r="K73" s="5">
        <f t="shared" si="6"/>
        <v>513576776.9075197</v>
      </c>
      <c r="L73" s="606"/>
      <c r="M73" s="5"/>
    </row>
    <row r="74" spans="1:13">
      <c r="A74" s="64">
        <f t="shared" si="5"/>
        <v>49</v>
      </c>
      <c r="B74" s="439" t="s">
        <v>359</v>
      </c>
      <c r="C74" s="437">
        <v>2020</v>
      </c>
      <c r="D74" s="5">
        <f t="shared" si="6"/>
        <v>28984344.140999999</v>
      </c>
      <c r="E74" s="5">
        <f t="shared" si="6"/>
        <v>2173825.810575</v>
      </c>
      <c r="F74" s="5">
        <f t="shared" si="6"/>
        <v>31158169.951575</v>
      </c>
      <c r="G74" s="5">
        <f t="shared" si="6"/>
        <v>80529</v>
      </c>
      <c r="H74" s="5">
        <f t="shared" si="6"/>
        <v>0</v>
      </c>
      <c r="I74" s="5">
        <f t="shared" si="6"/>
        <v>6039.6750000000002</v>
      </c>
      <c r="J74" s="5">
        <f t="shared" si="6"/>
        <v>986748925.66409469</v>
      </c>
      <c r="K74" s="5">
        <f t="shared" si="6"/>
        <v>544648378.18409467</v>
      </c>
      <c r="L74" s="606"/>
      <c r="M74" s="5"/>
    </row>
    <row r="75" spans="1:13">
      <c r="A75" s="64">
        <f t="shared" si="5"/>
        <v>50</v>
      </c>
      <c r="B75" s="439" t="s">
        <v>360</v>
      </c>
      <c r="C75" s="437">
        <v>2020</v>
      </c>
      <c r="D75" s="5">
        <f t="shared" ref="D75:K75" si="7">D109+D142+D175+D208+D241+D274+D307+D340+D373+D406</f>
        <v>29460344.140999999</v>
      </c>
      <c r="E75" s="5">
        <f t="shared" si="7"/>
        <v>2209525.810575</v>
      </c>
      <c r="F75" s="5">
        <f t="shared" si="7"/>
        <v>31669869.951575</v>
      </c>
      <c r="G75" s="5">
        <f t="shared" si="7"/>
        <v>90529</v>
      </c>
      <c r="H75" s="5">
        <f t="shared" si="7"/>
        <v>0</v>
      </c>
      <c r="I75" s="5">
        <f t="shared" si="7"/>
        <v>6789.6750000000002</v>
      </c>
      <c r="J75" s="5">
        <f t="shared" si="7"/>
        <v>1018321476.9406697</v>
      </c>
      <c r="K75" s="305">
        <f t="shared" si="7"/>
        <v>576220929.46066976</v>
      </c>
      <c r="L75" s="606"/>
      <c r="M75" s="5"/>
    </row>
    <row r="76" spans="1:13">
      <c r="A76" s="64">
        <f t="shared" si="5"/>
        <v>51</v>
      </c>
      <c r="B76" s="439" t="s">
        <v>361</v>
      </c>
      <c r="C76" s="437">
        <v>2020</v>
      </c>
      <c r="D76" s="5">
        <f t="shared" ref="D76" si="8">D110+D143+D176+D209+D242+D275+D308+D341+D374+D407</f>
        <v>31031404.140999999</v>
      </c>
      <c r="E76" s="5">
        <f t="shared" ref="E76:K78" si="9">E110+E143+E176+E209+E242+E275+E308+E341+E374+E407</f>
        <v>2327355.310575</v>
      </c>
      <c r="F76" s="5">
        <f t="shared" si="9"/>
        <v>33358759.451575</v>
      </c>
      <c r="G76" s="5">
        <f t="shared" si="9"/>
        <v>90529</v>
      </c>
      <c r="H76" s="5">
        <f t="shared" si="9"/>
        <v>0</v>
      </c>
      <c r="I76" s="5">
        <f t="shared" si="9"/>
        <v>6789.6750000000002</v>
      </c>
      <c r="J76" s="5">
        <f t="shared" si="9"/>
        <v>1051582917.7172446</v>
      </c>
      <c r="K76" s="305">
        <f t="shared" si="9"/>
        <v>609482370.23724473</v>
      </c>
      <c r="L76" s="606"/>
      <c r="M76" s="5"/>
    </row>
    <row r="77" spans="1:13">
      <c r="A77" s="64">
        <f t="shared" si="5"/>
        <v>52</v>
      </c>
      <c r="B77" s="439" t="s">
        <v>362</v>
      </c>
      <c r="C77" s="437">
        <v>2020</v>
      </c>
      <c r="D77" s="5">
        <f t="shared" ref="D77" si="10">D111+D144+D177+D210+D243+D276+D309+D342+D375+D408</f>
        <v>28653650.140999999</v>
      </c>
      <c r="E77" s="5">
        <f t="shared" si="9"/>
        <v>2149023.7605750002</v>
      </c>
      <c r="F77" s="5">
        <f t="shared" si="9"/>
        <v>30802673.901574999</v>
      </c>
      <c r="G77" s="5">
        <f t="shared" si="9"/>
        <v>190529</v>
      </c>
      <c r="H77" s="5">
        <f t="shared" si="9"/>
        <v>0</v>
      </c>
      <c r="I77" s="5">
        <f t="shared" si="9"/>
        <v>14289.674999999999</v>
      </c>
      <c r="J77" s="5">
        <f t="shared" si="9"/>
        <v>1082180772.9438195</v>
      </c>
      <c r="K77" s="305">
        <f t="shared" si="9"/>
        <v>640080225.46381962</v>
      </c>
      <c r="L77" s="606"/>
      <c r="M77" s="5"/>
    </row>
    <row r="78" spans="1:13">
      <c r="A78" s="64">
        <f t="shared" si="5"/>
        <v>53</v>
      </c>
      <c r="B78" s="439" t="s">
        <v>350</v>
      </c>
      <c r="C78" s="437">
        <v>2020</v>
      </c>
      <c r="D78" s="5">
        <f>D112+D145+D178+D211+D244+D277+D310+D343+D376+D409</f>
        <v>31532939.140999999</v>
      </c>
      <c r="E78" s="5">
        <f t="shared" si="9"/>
        <v>2364970.435575</v>
      </c>
      <c r="F78" s="5">
        <f t="shared" si="9"/>
        <v>33897909.576574996</v>
      </c>
      <c r="G78" s="5">
        <f t="shared" si="9"/>
        <v>43140404.120000005</v>
      </c>
      <c r="H78" s="5">
        <f t="shared" si="9"/>
        <v>16523166.119999997</v>
      </c>
      <c r="I78" s="5">
        <f t="shared" si="9"/>
        <v>1996292.8500000006</v>
      </c>
      <c r="J78" s="5">
        <f t="shared" si="9"/>
        <v>1070941985.5503945</v>
      </c>
      <c r="K78" s="55">
        <f t="shared" si="9"/>
        <v>628841438.07039452</v>
      </c>
      <c r="L78" s="607"/>
      <c r="M78" s="5"/>
    </row>
    <row r="79" spans="1:13">
      <c r="A79" s="64">
        <f t="shared" si="5"/>
        <v>54</v>
      </c>
      <c r="B79" s="768"/>
      <c r="C79" s="473" t="s">
        <v>1096</v>
      </c>
      <c r="D79" s="768"/>
      <c r="E79" s="768"/>
      <c r="F79" s="768"/>
      <c r="G79" s="768"/>
      <c r="H79" s="768"/>
      <c r="I79" s="768"/>
      <c r="J79" s="768"/>
      <c r="K79" s="43">
        <f>AVERAGE(K66:K78)</f>
        <v>479223756.72146785</v>
      </c>
      <c r="L79" s="610"/>
      <c r="M79" s="768"/>
    </row>
    <row r="81" spans="1:11">
      <c r="B81" s="443" t="s">
        <v>1097</v>
      </c>
      <c r="C81" s="768"/>
      <c r="D81" s="768"/>
      <c r="E81" s="768"/>
      <c r="F81" s="768"/>
      <c r="G81" s="768"/>
      <c r="H81" s="768"/>
      <c r="I81" s="768"/>
      <c r="J81" s="768"/>
      <c r="K81" s="768"/>
    </row>
    <row r="82" spans="1:11" s="474" customFormat="1">
      <c r="B82" s="475" t="s">
        <v>1098</v>
      </c>
      <c r="D82" s="1135" t="s">
        <v>1065</v>
      </c>
      <c r="E82" s="1135"/>
    </row>
    <row r="83" spans="1:11" s="469" customFormat="1">
      <c r="D83" s="469" t="s">
        <v>307</v>
      </c>
      <c r="E83" s="469" t="s">
        <v>308</v>
      </c>
      <c r="F83" s="469" t="s">
        <v>309</v>
      </c>
      <c r="G83" s="469" t="s">
        <v>310</v>
      </c>
      <c r="H83" s="469" t="s">
        <v>311</v>
      </c>
      <c r="I83" s="469" t="s">
        <v>312</v>
      </c>
      <c r="J83" s="469" t="s">
        <v>313</v>
      </c>
      <c r="K83" s="469" t="s">
        <v>314</v>
      </c>
    </row>
    <row r="84" spans="1:11" s="474" customFormat="1" ht="25.9" customHeight="1">
      <c r="D84" s="476"/>
      <c r="E84" s="477" t="s">
        <v>1099</v>
      </c>
      <c r="F84" s="478" t="s">
        <v>1100</v>
      </c>
      <c r="G84" s="354"/>
      <c r="H84" s="476"/>
      <c r="I84" s="477" t="s">
        <v>1101</v>
      </c>
      <c r="J84" s="477" t="s">
        <v>1102</v>
      </c>
      <c r="K84" s="477" t="s">
        <v>1103</v>
      </c>
    </row>
    <row r="85" spans="1:11" s="474" customFormat="1">
      <c r="D85" s="476"/>
      <c r="E85" s="479"/>
      <c r="F85" s="479"/>
      <c r="G85" s="379" t="str">
        <f>G51</f>
        <v>Unloaded</v>
      </c>
      <c r="H85" s="476"/>
      <c r="I85" s="479"/>
      <c r="J85" s="479"/>
      <c r="K85" s="379"/>
    </row>
    <row r="86" spans="1:11" s="471" customFormat="1">
      <c r="D86" s="471" t="str">
        <f>D$52</f>
        <v>Forecast</v>
      </c>
      <c r="E86" s="471" t="str">
        <f t="shared" ref="E86:J86" si="11">E$52</f>
        <v>Corporate</v>
      </c>
      <c r="F86" s="471" t="str">
        <f t="shared" si="11"/>
        <v xml:space="preserve">Total </v>
      </c>
      <c r="G86" s="379" t="str">
        <f>G52</f>
        <v>Total</v>
      </c>
      <c r="H86" s="471" t="str">
        <f t="shared" si="11"/>
        <v>Prior Period</v>
      </c>
      <c r="I86" s="471" t="str">
        <f t="shared" si="11"/>
        <v>Over Heads</v>
      </c>
      <c r="J86" s="471" t="str">
        <f t="shared" si="11"/>
        <v>Forecast</v>
      </c>
      <c r="K86" s="379" t="str">
        <f>K$52</f>
        <v>Forecast Period</v>
      </c>
    </row>
    <row r="87" spans="1:11" s="474" customFormat="1">
      <c r="A87" s="663" t="s">
        <v>243</v>
      </c>
      <c r="B87" s="435" t="s">
        <v>342</v>
      </c>
      <c r="C87" s="435" t="s">
        <v>343</v>
      </c>
      <c r="D87" s="469" t="str">
        <f>D$53</f>
        <v>Expenditures</v>
      </c>
      <c r="E87" s="469" t="str">
        <f t="shared" ref="E87:J87" si="12">E$53</f>
        <v>Overheads</v>
      </c>
      <c r="F87" s="469" t="str">
        <f t="shared" si="12"/>
        <v>CWIP Exp</v>
      </c>
      <c r="G87" s="2" t="str">
        <f>G53</f>
        <v>Plant Adds</v>
      </c>
      <c r="H87" s="469" t="str">
        <f t="shared" si="12"/>
        <v>CWIP Closed</v>
      </c>
      <c r="I87" s="469" t="str">
        <f t="shared" si="12"/>
        <v>Closed to PIS</v>
      </c>
      <c r="J87" s="469" t="str">
        <f t="shared" si="12"/>
        <v>Period CWIP</v>
      </c>
      <c r="K87" s="469" t="str">
        <f>K$53</f>
        <v>Incremental CWIP</v>
      </c>
    </row>
    <row r="88" spans="1:11" s="474" customFormat="1">
      <c r="A88" s="64">
        <f>A79+1</f>
        <v>55</v>
      </c>
      <c r="B88" s="436" t="s">
        <v>350</v>
      </c>
      <c r="C88" s="437">
        <v>2018</v>
      </c>
      <c r="D88" s="478" t="s">
        <v>351</v>
      </c>
      <c r="E88" s="478" t="s">
        <v>351</v>
      </c>
      <c r="F88" s="478" t="s">
        <v>351</v>
      </c>
      <c r="G88" s="478" t="s">
        <v>351</v>
      </c>
      <c r="H88" s="478" t="s">
        <v>351</v>
      </c>
      <c r="I88" s="478" t="s">
        <v>351</v>
      </c>
      <c r="J88" s="37">
        <f>E25</f>
        <v>156282.26999999999</v>
      </c>
      <c r="K88" s="478" t="s">
        <v>351</v>
      </c>
    </row>
    <row r="89" spans="1:11" s="474" customFormat="1">
      <c r="A89" s="64">
        <f>A88+1</f>
        <v>56</v>
      </c>
      <c r="B89" s="436" t="s">
        <v>352</v>
      </c>
      <c r="C89" s="437">
        <v>2019</v>
      </c>
      <c r="D89" s="787">
        <v>143919.84999999998</v>
      </c>
      <c r="E89" s="37">
        <f>D89*'16-PlantAdditions'!$E$103</f>
        <v>10793.988749999999</v>
      </c>
      <c r="F89" s="37">
        <f>E89+D89</f>
        <v>154713.83874999997</v>
      </c>
      <c r="G89" s="787">
        <v>139735.85</v>
      </c>
      <c r="H89" s="787">
        <v>0</v>
      </c>
      <c r="I89" s="37">
        <f>(G89-H89)*'16-PlantAdditions'!$E$103</f>
        <v>10480.188749999999</v>
      </c>
      <c r="J89" s="37">
        <f>J88+F89-G89-I89</f>
        <v>160780.06999999995</v>
      </c>
      <c r="K89" s="37">
        <f>J89-$J$88</f>
        <v>4497.7999999999593</v>
      </c>
    </row>
    <row r="90" spans="1:11" s="474" customFormat="1">
      <c r="A90" s="64">
        <f t="shared" ref="A90:A108" si="13">A89+1</f>
        <v>57</v>
      </c>
      <c r="B90" s="439" t="s">
        <v>353</v>
      </c>
      <c r="C90" s="437">
        <v>2019</v>
      </c>
      <c r="D90" s="787">
        <v>468436.65</v>
      </c>
      <c r="E90" s="37">
        <f>D90*'16-PlantAdditions'!$E$103</f>
        <v>35132.748749999999</v>
      </c>
      <c r="F90" s="37">
        <f t="shared" ref="F90:F112" si="14">E90+D90</f>
        <v>503569.39875000005</v>
      </c>
      <c r="G90" s="787">
        <v>446085.64999999997</v>
      </c>
      <c r="H90" s="787">
        <v>0</v>
      </c>
      <c r="I90" s="37">
        <f>(G90-H90)*'16-PlantAdditions'!$E$103</f>
        <v>33456.423749999994</v>
      </c>
      <c r="J90" s="37">
        <f t="shared" ref="J90:J108" si="15">J89+F90-G90-I90</f>
        <v>184807.39500000005</v>
      </c>
      <c r="K90" s="37">
        <f t="shared" ref="K90:K112" si="16">J90-$J$88</f>
        <v>28525.125000000058</v>
      </c>
    </row>
    <row r="91" spans="1:11" s="474" customFormat="1">
      <c r="A91" s="64">
        <f t="shared" si="13"/>
        <v>58</v>
      </c>
      <c r="B91" s="439" t="s">
        <v>354</v>
      </c>
      <c r="C91" s="437">
        <v>2019</v>
      </c>
      <c r="D91" s="787">
        <v>528730.65000000014</v>
      </c>
      <c r="E91" s="37">
        <f>D91*'16-PlantAdditions'!$E$103</f>
        <v>39654.798750000009</v>
      </c>
      <c r="F91" s="37">
        <f t="shared" si="14"/>
        <v>568385.4487500001</v>
      </c>
      <c r="G91" s="787">
        <v>482886.65000000008</v>
      </c>
      <c r="H91" s="787">
        <v>0</v>
      </c>
      <c r="I91" s="37">
        <f>(G91-H91)*'16-PlantAdditions'!$E$103</f>
        <v>36216.498750000006</v>
      </c>
      <c r="J91" s="37">
        <f t="shared" si="15"/>
        <v>234089.69500000004</v>
      </c>
      <c r="K91" s="37">
        <f>J91-$J$88</f>
        <v>77807.425000000047</v>
      </c>
    </row>
    <row r="92" spans="1:11" s="474" customFormat="1">
      <c r="A92" s="64">
        <f t="shared" si="13"/>
        <v>59</v>
      </c>
      <c r="B92" s="436" t="s">
        <v>355</v>
      </c>
      <c r="C92" s="437">
        <v>2019</v>
      </c>
      <c r="D92" s="787">
        <v>-55565.310000000019</v>
      </c>
      <c r="E92" s="37">
        <f>D92*'16-PlantAdditions'!$E$103</f>
        <v>-4167.3982500000011</v>
      </c>
      <c r="F92" s="37">
        <f t="shared" si="14"/>
        <v>-59732.708250000018</v>
      </c>
      <c r="G92" s="787">
        <v>-55565.310000000019</v>
      </c>
      <c r="H92" s="787">
        <v>0</v>
      </c>
      <c r="I92" s="37">
        <f>(G92-H92)*'16-PlantAdditions'!$E$103</f>
        <v>-4167.3982500000011</v>
      </c>
      <c r="J92" s="37">
        <f>J91+F92-G92-I92</f>
        <v>234089.69500000004</v>
      </c>
      <c r="K92" s="37">
        <f>J92-$J$88</f>
        <v>77807.425000000047</v>
      </c>
    </row>
    <row r="93" spans="1:11" s="474" customFormat="1">
      <c r="A93" s="64">
        <f t="shared" si="13"/>
        <v>60</v>
      </c>
      <c r="B93" s="439" t="s">
        <v>356</v>
      </c>
      <c r="C93" s="437">
        <v>2019</v>
      </c>
      <c r="D93" s="787">
        <v>219022.29999999996</v>
      </c>
      <c r="E93" s="37">
        <f>D93*'16-PlantAdditions'!$E$103</f>
        <v>16426.672499999997</v>
      </c>
      <c r="F93" s="37">
        <f t="shared" si="14"/>
        <v>235448.97249999995</v>
      </c>
      <c r="G93" s="787">
        <v>219022.29999999996</v>
      </c>
      <c r="H93" s="787">
        <v>0</v>
      </c>
      <c r="I93" s="37">
        <f>(G93-H93)*'16-PlantAdditions'!$E$103</f>
        <v>16426.672499999997</v>
      </c>
      <c r="J93" s="37">
        <f t="shared" si="15"/>
        <v>234089.69500000004</v>
      </c>
      <c r="K93" s="37">
        <f t="shared" si="16"/>
        <v>77807.425000000047</v>
      </c>
    </row>
    <row r="94" spans="1:11" s="474" customFormat="1">
      <c r="A94" s="64">
        <f t="shared" si="13"/>
        <v>61</v>
      </c>
      <c r="B94" s="439" t="s">
        <v>540</v>
      </c>
      <c r="C94" s="437">
        <v>2019</v>
      </c>
      <c r="D94" s="787">
        <v>39890</v>
      </c>
      <c r="E94" s="37">
        <f>D94*'16-PlantAdditions'!$E$103</f>
        <v>2991.75</v>
      </c>
      <c r="F94" s="37">
        <f t="shared" si="14"/>
        <v>42881.75</v>
      </c>
      <c r="G94" s="787">
        <v>39890</v>
      </c>
      <c r="H94" s="787">
        <v>0</v>
      </c>
      <c r="I94" s="37">
        <f>(G94-H94)*'16-PlantAdditions'!$E$103</f>
        <v>2991.75</v>
      </c>
      <c r="J94" s="37">
        <f t="shared" si="15"/>
        <v>234089.69500000007</v>
      </c>
      <c r="K94" s="37">
        <f t="shared" si="16"/>
        <v>77807.425000000076</v>
      </c>
    </row>
    <row r="95" spans="1:11" s="474" customFormat="1">
      <c r="A95" s="64">
        <f t="shared" si="13"/>
        <v>62</v>
      </c>
      <c r="B95" s="436" t="s">
        <v>358</v>
      </c>
      <c r="C95" s="437">
        <v>2019</v>
      </c>
      <c r="D95" s="787">
        <v>132890</v>
      </c>
      <c r="E95" s="37">
        <f>D95*'16-PlantAdditions'!$E$103</f>
        <v>9966.75</v>
      </c>
      <c r="F95" s="37">
        <f t="shared" si="14"/>
        <v>142856.75</v>
      </c>
      <c r="G95" s="787">
        <v>132890</v>
      </c>
      <c r="H95" s="787">
        <v>0</v>
      </c>
      <c r="I95" s="37">
        <f>(G95-H95)*'16-PlantAdditions'!$E$103</f>
        <v>9966.75</v>
      </c>
      <c r="J95" s="37">
        <f t="shared" si="15"/>
        <v>234089.69500000007</v>
      </c>
      <c r="K95" s="37">
        <f t="shared" si="16"/>
        <v>77807.425000000076</v>
      </c>
    </row>
    <row r="96" spans="1:11" s="474" customFormat="1">
      <c r="A96" s="64">
        <f t="shared" si="13"/>
        <v>63</v>
      </c>
      <c r="B96" s="439" t="s">
        <v>359</v>
      </c>
      <c r="C96" s="437">
        <v>2019</v>
      </c>
      <c r="D96" s="787">
        <v>422890</v>
      </c>
      <c r="E96" s="37">
        <f>D96*'16-PlantAdditions'!$E$103</f>
        <v>31716.75</v>
      </c>
      <c r="F96" s="37">
        <f t="shared" si="14"/>
        <v>454606.75</v>
      </c>
      <c r="G96" s="787">
        <v>422890</v>
      </c>
      <c r="H96" s="787">
        <v>0</v>
      </c>
      <c r="I96" s="37">
        <f>(G96-H96)*'16-PlantAdditions'!$E$103</f>
        <v>31716.75</v>
      </c>
      <c r="J96" s="37">
        <f t="shared" si="15"/>
        <v>234089.69500000007</v>
      </c>
      <c r="K96" s="37">
        <f t="shared" si="16"/>
        <v>77807.425000000076</v>
      </c>
    </row>
    <row r="97" spans="1:11" s="474" customFormat="1">
      <c r="A97" s="64">
        <f t="shared" si="13"/>
        <v>64</v>
      </c>
      <c r="B97" s="439" t="s">
        <v>360</v>
      </c>
      <c r="C97" s="437">
        <v>2019</v>
      </c>
      <c r="D97" s="787">
        <v>522890</v>
      </c>
      <c r="E97" s="37">
        <f>D97*'16-PlantAdditions'!$E$103</f>
        <v>39216.75</v>
      </c>
      <c r="F97" s="37">
        <f t="shared" si="14"/>
        <v>562106.75</v>
      </c>
      <c r="G97" s="787">
        <v>751551.27</v>
      </c>
      <c r="H97" s="787">
        <v>156282.26999999999</v>
      </c>
      <c r="I97" s="37">
        <f>(G97-H97)*'16-PlantAdditions'!$E$103</f>
        <v>44645.174999999996</v>
      </c>
      <c r="J97" s="37">
        <f t="shared" si="15"/>
        <v>0</v>
      </c>
      <c r="K97" s="37">
        <f t="shared" si="16"/>
        <v>-156282.26999999999</v>
      </c>
    </row>
    <row r="98" spans="1:11" s="474" customFormat="1">
      <c r="A98" s="64">
        <f t="shared" si="13"/>
        <v>65</v>
      </c>
      <c r="B98" s="436" t="s">
        <v>361</v>
      </c>
      <c r="C98" s="437">
        <v>2019</v>
      </c>
      <c r="D98" s="787">
        <v>572890</v>
      </c>
      <c r="E98" s="37">
        <f>D98*'16-PlantAdditions'!$E$103</f>
        <v>42966.75</v>
      </c>
      <c r="F98" s="37">
        <f t="shared" si="14"/>
        <v>615856.75</v>
      </c>
      <c r="G98" s="787">
        <v>572890</v>
      </c>
      <c r="H98" s="787">
        <v>0</v>
      </c>
      <c r="I98" s="37">
        <f>(G98-H98)*'16-PlantAdditions'!$E$103</f>
        <v>42966.75</v>
      </c>
      <c r="J98" s="37">
        <f t="shared" si="15"/>
        <v>0</v>
      </c>
      <c r="K98" s="37">
        <f t="shared" si="16"/>
        <v>-156282.26999999999</v>
      </c>
    </row>
    <row r="99" spans="1:11" s="474" customFormat="1">
      <c r="A99" s="64">
        <f t="shared" si="13"/>
        <v>66</v>
      </c>
      <c r="B99" s="436" t="s">
        <v>362</v>
      </c>
      <c r="C99" s="437">
        <v>2019</v>
      </c>
      <c r="D99" s="787">
        <v>422890</v>
      </c>
      <c r="E99" s="37">
        <f>D99*'16-PlantAdditions'!$E$103</f>
        <v>31716.75</v>
      </c>
      <c r="F99" s="37">
        <f t="shared" si="14"/>
        <v>454606.75</v>
      </c>
      <c r="G99" s="787">
        <v>422890</v>
      </c>
      <c r="H99" s="787">
        <v>0</v>
      </c>
      <c r="I99" s="37">
        <f>(G99-H99)*'16-PlantAdditions'!$E$103</f>
        <v>31716.75</v>
      </c>
      <c r="J99" s="37">
        <f t="shared" si="15"/>
        <v>0</v>
      </c>
      <c r="K99" s="37">
        <f t="shared" si="16"/>
        <v>-156282.26999999999</v>
      </c>
    </row>
    <row r="100" spans="1:11" s="474" customFormat="1">
      <c r="A100" s="64">
        <f t="shared" si="13"/>
        <v>67</v>
      </c>
      <c r="B100" s="436" t="s">
        <v>350</v>
      </c>
      <c r="C100" s="437">
        <v>2019</v>
      </c>
      <c r="D100" s="787">
        <v>227890</v>
      </c>
      <c r="E100" s="37">
        <f>D100*'16-PlantAdditions'!$E$103</f>
        <v>17091.75</v>
      </c>
      <c r="F100" s="37">
        <f t="shared" si="14"/>
        <v>244981.75</v>
      </c>
      <c r="G100" s="787">
        <v>227890</v>
      </c>
      <c r="H100" s="787">
        <v>0</v>
      </c>
      <c r="I100" s="37">
        <f>(G100-H100)*'16-PlantAdditions'!$E$103</f>
        <v>17091.75</v>
      </c>
      <c r="J100" s="37">
        <f t="shared" si="15"/>
        <v>0</v>
      </c>
      <c r="K100" s="37">
        <f t="shared" si="16"/>
        <v>-156282.26999999999</v>
      </c>
    </row>
    <row r="101" spans="1:11" s="474" customFormat="1">
      <c r="A101" s="64">
        <f t="shared" si="13"/>
        <v>68</v>
      </c>
      <c r="B101" s="436" t="s">
        <v>352</v>
      </c>
      <c r="C101" s="437">
        <v>2020</v>
      </c>
      <c r="D101" s="787">
        <v>0</v>
      </c>
      <c r="E101" s="37">
        <f>D101*'16-PlantAdditions'!$E$103</f>
        <v>0</v>
      </c>
      <c r="F101" s="37">
        <f t="shared" si="14"/>
        <v>0</v>
      </c>
      <c r="G101" s="787">
        <v>0</v>
      </c>
      <c r="H101" s="787">
        <v>0</v>
      </c>
      <c r="I101" s="37">
        <f>(G101-H101)*'16-PlantAdditions'!$E$103</f>
        <v>0</v>
      </c>
      <c r="J101" s="37">
        <f t="shared" si="15"/>
        <v>0</v>
      </c>
      <c r="K101" s="37">
        <f t="shared" si="16"/>
        <v>-156282.26999999999</v>
      </c>
    </row>
    <row r="102" spans="1:11" s="474" customFormat="1">
      <c r="A102" s="64">
        <f t="shared" si="13"/>
        <v>69</v>
      </c>
      <c r="B102" s="439" t="s">
        <v>353</v>
      </c>
      <c r="C102" s="437">
        <v>2020</v>
      </c>
      <c r="D102" s="787">
        <v>0</v>
      </c>
      <c r="E102" s="37">
        <f>D102*'16-PlantAdditions'!$E$103</f>
        <v>0</v>
      </c>
      <c r="F102" s="37">
        <f t="shared" si="14"/>
        <v>0</v>
      </c>
      <c r="G102" s="787">
        <v>0</v>
      </c>
      <c r="H102" s="787">
        <v>0</v>
      </c>
      <c r="I102" s="37">
        <f>(G102-H102)*'16-PlantAdditions'!$E$103</f>
        <v>0</v>
      </c>
      <c r="J102" s="37">
        <f t="shared" si="15"/>
        <v>0</v>
      </c>
      <c r="K102" s="37">
        <f t="shared" si="16"/>
        <v>-156282.26999999999</v>
      </c>
    </row>
    <row r="103" spans="1:11" s="474" customFormat="1">
      <c r="A103" s="64">
        <f t="shared" si="13"/>
        <v>70</v>
      </c>
      <c r="B103" s="439" t="s">
        <v>354</v>
      </c>
      <c r="C103" s="437">
        <v>2020</v>
      </c>
      <c r="D103" s="787">
        <v>0</v>
      </c>
      <c r="E103" s="37">
        <f>D103*'16-PlantAdditions'!$E$103</f>
        <v>0</v>
      </c>
      <c r="F103" s="37">
        <f t="shared" si="14"/>
        <v>0</v>
      </c>
      <c r="G103" s="787">
        <v>0</v>
      </c>
      <c r="H103" s="787">
        <v>0</v>
      </c>
      <c r="I103" s="37">
        <f>(G103-H103)*'16-PlantAdditions'!$E$103</f>
        <v>0</v>
      </c>
      <c r="J103" s="37">
        <f t="shared" si="15"/>
        <v>0</v>
      </c>
      <c r="K103" s="37">
        <f t="shared" si="16"/>
        <v>-156282.26999999999</v>
      </c>
    </row>
    <row r="104" spans="1:11" s="474" customFormat="1">
      <c r="A104" s="64">
        <f t="shared" si="13"/>
        <v>71</v>
      </c>
      <c r="B104" s="436" t="s">
        <v>355</v>
      </c>
      <c r="C104" s="437">
        <v>2020</v>
      </c>
      <c r="D104" s="787">
        <v>0</v>
      </c>
      <c r="E104" s="37">
        <f>D104*'16-PlantAdditions'!$E$103</f>
        <v>0</v>
      </c>
      <c r="F104" s="37">
        <f t="shared" si="14"/>
        <v>0</v>
      </c>
      <c r="G104" s="787">
        <v>0</v>
      </c>
      <c r="H104" s="787">
        <v>0</v>
      </c>
      <c r="I104" s="37">
        <f>(G104-H104)*'16-PlantAdditions'!$E$103</f>
        <v>0</v>
      </c>
      <c r="J104" s="37">
        <f t="shared" si="15"/>
        <v>0</v>
      </c>
      <c r="K104" s="37">
        <f t="shared" si="16"/>
        <v>-156282.26999999999</v>
      </c>
    </row>
    <row r="105" spans="1:11" s="474" customFormat="1">
      <c r="A105" s="64">
        <f t="shared" si="13"/>
        <v>72</v>
      </c>
      <c r="B105" s="439" t="s">
        <v>356</v>
      </c>
      <c r="C105" s="437">
        <v>2020</v>
      </c>
      <c r="D105" s="787">
        <v>0</v>
      </c>
      <c r="E105" s="37">
        <f>D105*'16-PlantAdditions'!$E$103</f>
        <v>0</v>
      </c>
      <c r="F105" s="37">
        <f t="shared" si="14"/>
        <v>0</v>
      </c>
      <c r="G105" s="787">
        <v>0</v>
      </c>
      <c r="H105" s="787">
        <v>0</v>
      </c>
      <c r="I105" s="37">
        <f>(G105-H105)*'16-PlantAdditions'!$E$103</f>
        <v>0</v>
      </c>
      <c r="J105" s="37">
        <f t="shared" si="15"/>
        <v>0</v>
      </c>
      <c r="K105" s="37">
        <f t="shared" si="16"/>
        <v>-156282.26999999999</v>
      </c>
    </row>
    <row r="106" spans="1:11" s="474" customFormat="1">
      <c r="A106" s="64">
        <f t="shared" si="13"/>
        <v>73</v>
      </c>
      <c r="B106" s="439" t="s">
        <v>540</v>
      </c>
      <c r="C106" s="437">
        <v>2020</v>
      </c>
      <c r="D106" s="787">
        <v>0</v>
      </c>
      <c r="E106" s="37">
        <f>D106*'16-PlantAdditions'!$E$103</f>
        <v>0</v>
      </c>
      <c r="F106" s="37">
        <f t="shared" si="14"/>
        <v>0</v>
      </c>
      <c r="G106" s="787">
        <v>0</v>
      </c>
      <c r="H106" s="787">
        <v>0</v>
      </c>
      <c r="I106" s="37">
        <f>(G106-H106)*'16-PlantAdditions'!$E$103</f>
        <v>0</v>
      </c>
      <c r="J106" s="37">
        <f t="shared" si="15"/>
        <v>0</v>
      </c>
      <c r="K106" s="37">
        <f t="shared" si="16"/>
        <v>-156282.26999999999</v>
      </c>
    </row>
    <row r="107" spans="1:11" s="474" customFormat="1">
      <c r="A107" s="64">
        <f t="shared" si="13"/>
        <v>74</v>
      </c>
      <c r="B107" s="436" t="s">
        <v>358</v>
      </c>
      <c r="C107" s="437">
        <v>2020</v>
      </c>
      <c r="D107" s="787">
        <v>0</v>
      </c>
      <c r="E107" s="37">
        <f>D107*'16-PlantAdditions'!$E$103</f>
        <v>0</v>
      </c>
      <c r="F107" s="37">
        <f t="shared" si="14"/>
        <v>0</v>
      </c>
      <c r="G107" s="787">
        <v>0</v>
      </c>
      <c r="H107" s="787">
        <v>0</v>
      </c>
      <c r="I107" s="37">
        <f>(G107-H107)*'16-PlantAdditions'!$E$103</f>
        <v>0</v>
      </c>
      <c r="J107" s="37">
        <f t="shared" si="15"/>
        <v>0</v>
      </c>
      <c r="K107" s="37">
        <f t="shared" si="16"/>
        <v>-156282.26999999999</v>
      </c>
    </row>
    <row r="108" spans="1:11" s="474" customFormat="1">
      <c r="A108" s="64">
        <f t="shared" si="13"/>
        <v>75</v>
      </c>
      <c r="B108" s="439" t="s">
        <v>359</v>
      </c>
      <c r="C108" s="437">
        <v>2020</v>
      </c>
      <c r="D108" s="787">
        <v>0</v>
      </c>
      <c r="E108" s="37">
        <f>D108*'16-PlantAdditions'!$E$103</f>
        <v>0</v>
      </c>
      <c r="F108" s="37">
        <f t="shared" si="14"/>
        <v>0</v>
      </c>
      <c r="G108" s="787">
        <v>0</v>
      </c>
      <c r="H108" s="787">
        <v>0</v>
      </c>
      <c r="I108" s="37">
        <f>(G108-H108)*'16-PlantAdditions'!$E$103</f>
        <v>0</v>
      </c>
      <c r="J108" s="37">
        <f t="shared" si="15"/>
        <v>0</v>
      </c>
      <c r="K108" s="37">
        <f t="shared" si="16"/>
        <v>-156282.26999999999</v>
      </c>
    </row>
    <row r="109" spans="1:11" s="474" customFormat="1">
      <c r="A109" s="64">
        <f>A108+1</f>
        <v>76</v>
      </c>
      <c r="B109" s="439" t="s">
        <v>360</v>
      </c>
      <c r="C109" s="437">
        <v>2020</v>
      </c>
      <c r="D109" s="787">
        <v>0</v>
      </c>
      <c r="E109" s="37">
        <f>D109*'16-PlantAdditions'!$E$103</f>
        <v>0</v>
      </c>
      <c r="F109" s="37">
        <f t="shared" si="14"/>
        <v>0</v>
      </c>
      <c r="G109" s="787">
        <v>0</v>
      </c>
      <c r="H109" s="787">
        <v>0</v>
      </c>
      <c r="I109" s="37">
        <f>(G109-H109)*'16-PlantAdditions'!$E$103</f>
        <v>0</v>
      </c>
      <c r="J109" s="37">
        <f>J108+F109-G109-I109</f>
        <v>0</v>
      </c>
      <c r="K109" s="37">
        <f t="shared" si="16"/>
        <v>-156282.26999999999</v>
      </c>
    </row>
    <row r="110" spans="1:11" s="474" customFormat="1">
      <c r="A110" s="64">
        <f t="shared" ref="A110:A113" si="17">A109+1</f>
        <v>77</v>
      </c>
      <c r="B110" s="439" t="s">
        <v>361</v>
      </c>
      <c r="C110" s="437">
        <v>2020</v>
      </c>
      <c r="D110" s="787">
        <v>0</v>
      </c>
      <c r="E110" s="37">
        <f>D110*'16-PlantAdditions'!$E$103</f>
        <v>0</v>
      </c>
      <c r="F110" s="37">
        <f t="shared" si="14"/>
        <v>0</v>
      </c>
      <c r="G110" s="787">
        <v>0</v>
      </c>
      <c r="H110" s="787">
        <v>0</v>
      </c>
      <c r="I110" s="37">
        <f>(G110-H110)*'16-PlantAdditions'!$E$103</f>
        <v>0</v>
      </c>
      <c r="J110" s="37">
        <f t="shared" ref="J110:J112" si="18">J109+F110-G110-I110</f>
        <v>0</v>
      </c>
      <c r="K110" s="37">
        <f t="shared" si="16"/>
        <v>-156282.26999999999</v>
      </c>
    </row>
    <row r="111" spans="1:11" s="474" customFormat="1">
      <c r="A111" s="64">
        <f t="shared" si="17"/>
        <v>78</v>
      </c>
      <c r="B111" s="439" t="s">
        <v>362</v>
      </c>
      <c r="C111" s="437">
        <v>2020</v>
      </c>
      <c r="D111" s="787">
        <v>0</v>
      </c>
      <c r="E111" s="37">
        <f>D111*'16-PlantAdditions'!$E$103</f>
        <v>0</v>
      </c>
      <c r="F111" s="37">
        <f t="shared" si="14"/>
        <v>0</v>
      </c>
      <c r="G111" s="787">
        <v>0</v>
      </c>
      <c r="H111" s="787">
        <v>0</v>
      </c>
      <c r="I111" s="37">
        <f>(G111-H111)*'16-PlantAdditions'!$E$103</f>
        <v>0</v>
      </c>
      <c r="J111" s="37">
        <f t="shared" si="18"/>
        <v>0</v>
      </c>
      <c r="K111" s="37">
        <f t="shared" si="16"/>
        <v>-156282.26999999999</v>
      </c>
    </row>
    <row r="112" spans="1:11" s="474" customFormat="1">
      <c r="A112" s="64">
        <f t="shared" si="17"/>
        <v>79</v>
      </c>
      <c r="B112" s="439" t="s">
        <v>350</v>
      </c>
      <c r="C112" s="437">
        <v>2020</v>
      </c>
      <c r="D112" s="787">
        <v>0</v>
      </c>
      <c r="E112" s="37">
        <f>D112*'16-PlantAdditions'!$E$103</f>
        <v>0</v>
      </c>
      <c r="F112" s="37">
        <f t="shared" si="14"/>
        <v>0</v>
      </c>
      <c r="G112" s="787">
        <v>0</v>
      </c>
      <c r="H112" s="787">
        <v>0</v>
      </c>
      <c r="I112" s="37">
        <f>(G112-H112)*'16-PlantAdditions'!$E$103</f>
        <v>0</v>
      </c>
      <c r="J112" s="37">
        <f t="shared" si="18"/>
        <v>0</v>
      </c>
      <c r="K112" s="65">
        <f t="shared" si="16"/>
        <v>-156282.26999999999</v>
      </c>
    </row>
    <row r="113" spans="1:11" s="474" customFormat="1">
      <c r="A113" s="64">
        <f t="shared" si="17"/>
        <v>80</v>
      </c>
      <c r="B113" s="768"/>
      <c r="C113" s="473" t="s">
        <v>1096</v>
      </c>
      <c r="D113" s="768"/>
      <c r="E113" s="768"/>
      <c r="F113" s="768"/>
      <c r="G113" s="768"/>
      <c r="H113" s="768"/>
      <c r="I113" s="768"/>
      <c r="J113" s="768"/>
      <c r="K113" s="43">
        <f>AVERAGE(K100:K112)</f>
        <v>-156282.26999999999</v>
      </c>
    </row>
    <row r="114" spans="1:11" s="474" customFormat="1">
      <c r="A114" s="64"/>
      <c r="B114" s="768"/>
      <c r="C114" s="473"/>
      <c r="D114" s="768"/>
      <c r="E114" s="768"/>
      <c r="F114" s="768"/>
      <c r="G114" s="768"/>
      <c r="H114" s="768"/>
      <c r="I114" s="768"/>
      <c r="J114" s="768"/>
      <c r="K114" s="43"/>
    </row>
    <row r="115" spans="1:11" s="474" customFormat="1">
      <c r="B115" s="475" t="s">
        <v>1104</v>
      </c>
      <c r="D115" s="1135" t="s">
        <v>1105</v>
      </c>
      <c r="E115" s="1135"/>
    </row>
    <row r="116" spans="1:11" s="474" customFormat="1">
      <c r="A116" s="469"/>
      <c r="B116" s="469"/>
      <c r="C116" s="469"/>
      <c r="D116" s="469" t="s">
        <v>307</v>
      </c>
      <c r="E116" s="469" t="s">
        <v>308</v>
      </c>
      <c r="F116" s="469" t="s">
        <v>309</v>
      </c>
      <c r="G116" s="469" t="s">
        <v>310</v>
      </c>
      <c r="H116" s="469" t="s">
        <v>311</v>
      </c>
      <c r="I116" s="469" t="s">
        <v>312</v>
      </c>
      <c r="J116" s="469" t="s">
        <v>313</v>
      </c>
      <c r="K116" s="469" t="s">
        <v>314</v>
      </c>
    </row>
    <row r="117" spans="1:11" s="474" customFormat="1" ht="38.25">
      <c r="D117" s="476"/>
      <c r="E117" s="477" t="s">
        <v>1099</v>
      </c>
      <c r="F117" s="478" t="s">
        <v>1100</v>
      </c>
      <c r="G117" s="354"/>
      <c r="H117" s="476"/>
      <c r="I117" s="477" t="s">
        <v>1101</v>
      </c>
      <c r="J117" s="477" t="s">
        <v>1102</v>
      </c>
      <c r="K117" s="477" t="s">
        <v>1103</v>
      </c>
    </row>
    <row r="118" spans="1:11" s="474" customFormat="1">
      <c r="D118" s="476"/>
      <c r="E118" s="476"/>
      <c r="F118" s="476"/>
      <c r="G118" s="379" t="str">
        <f>G51</f>
        <v>Unloaded</v>
      </c>
      <c r="H118" s="476"/>
      <c r="I118" s="476"/>
    </row>
    <row r="119" spans="1:11" s="474" customFormat="1">
      <c r="A119" s="471"/>
      <c r="B119" s="471"/>
      <c r="C119" s="471"/>
      <c r="D119" s="471" t="str">
        <f>D$52</f>
        <v>Forecast</v>
      </c>
      <c r="E119" s="471" t="str">
        <f t="shared" ref="E119:J119" si="19">E$52</f>
        <v>Corporate</v>
      </c>
      <c r="F119" s="471" t="str">
        <f t="shared" si="19"/>
        <v xml:space="preserve">Total </v>
      </c>
      <c r="G119" s="379" t="str">
        <f>G52</f>
        <v>Total</v>
      </c>
      <c r="H119" s="471" t="str">
        <f t="shared" si="19"/>
        <v>Prior Period</v>
      </c>
      <c r="I119" s="471" t="str">
        <f t="shared" si="19"/>
        <v>Over Heads</v>
      </c>
      <c r="J119" s="471" t="str">
        <f t="shared" si="19"/>
        <v>Forecast</v>
      </c>
      <c r="K119" s="379" t="str">
        <f>K$52</f>
        <v>Forecast Period</v>
      </c>
    </row>
    <row r="120" spans="1:11" s="474" customFormat="1">
      <c r="A120" s="663" t="s">
        <v>243</v>
      </c>
      <c r="B120" s="435" t="s">
        <v>342</v>
      </c>
      <c r="C120" s="435" t="s">
        <v>343</v>
      </c>
      <c r="D120" s="469" t="str">
        <f>D$53</f>
        <v>Expenditures</v>
      </c>
      <c r="E120" s="469" t="str">
        <f t="shared" ref="E120:J120" si="20">E$53</f>
        <v>Overheads</v>
      </c>
      <c r="F120" s="469" t="str">
        <f t="shared" si="20"/>
        <v>CWIP Exp</v>
      </c>
      <c r="G120" s="2" t="str">
        <f>G53</f>
        <v>Plant Adds</v>
      </c>
      <c r="H120" s="469" t="str">
        <f t="shared" si="20"/>
        <v>CWIP Closed</v>
      </c>
      <c r="I120" s="469" t="str">
        <f t="shared" si="20"/>
        <v>Closed to PIS</v>
      </c>
      <c r="J120" s="469" t="str">
        <f t="shared" si="20"/>
        <v>Period CWIP</v>
      </c>
      <c r="K120" s="469" t="str">
        <f>K$53</f>
        <v>Incremental CWIP</v>
      </c>
    </row>
    <row r="121" spans="1:11" s="474" customFormat="1">
      <c r="A121" s="64">
        <f>A113+1</f>
        <v>81</v>
      </c>
      <c r="B121" s="436" t="s">
        <v>350</v>
      </c>
      <c r="C121" s="437">
        <v>2018</v>
      </c>
      <c r="D121" s="478" t="s">
        <v>351</v>
      </c>
      <c r="E121" s="478" t="s">
        <v>351</v>
      </c>
      <c r="F121" s="478" t="s">
        <v>351</v>
      </c>
      <c r="G121" s="478" t="s">
        <v>351</v>
      </c>
      <c r="H121" s="478" t="s">
        <v>351</v>
      </c>
      <c r="I121" s="478" t="s">
        <v>351</v>
      </c>
      <c r="J121" s="37">
        <f>F25</f>
        <v>0</v>
      </c>
      <c r="K121" s="478" t="s">
        <v>351</v>
      </c>
    </row>
    <row r="122" spans="1:11" s="474" customFormat="1">
      <c r="A122" s="64">
        <f>A121+1</f>
        <v>82</v>
      </c>
      <c r="B122" s="436" t="s">
        <v>352</v>
      </c>
      <c r="C122" s="437">
        <v>2019</v>
      </c>
      <c r="D122" s="787">
        <v>0</v>
      </c>
      <c r="E122" s="37">
        <f>D122*'16-PlantAdditions'!$E$103</f>
        <v>0</v>
      </c>
      <c r="F122" s="37">
        <f>E122+D122</f>
        <v>0</v>
      </c>
      <c r="G122" s="787">
        <v>0</v>
      </c>
      <c r="H122" s="787">
        <v>0</v>
      </c>
      <c r="I122" s="37">
        <f>(G122-H122)*'16-PlantAdditions'!$E$103</f>
        <v>0</v>
      </c>
      <c r="J122" s="37">
        <f>J121+F122-G122-I122</f>
        <v>0</v>
      </c>
      <c r="K122" s="311">
        <f>J122-$J$121</f>
        <v>0</v>
      </c>
    </row>
    <row r="123" spans="1:11" s="474" customFormat="1">
      <c r="A123" s="64">
        <f t="shared" ref="A123:A146" si="21">A122+1</f>
        <v>83</v>
      </c>
      <c r="B123" s="439" t="s">
        <v>353</v>
      </c>
      <c r="C123" s="437">
        <v>2019</v>
      </c>
      <c r="D123" s="787">
        <v>0</v>
      </c>
      <c r="E123" s="37">
        <f>D123*'16-PlantAdditions'!$E$103</f>
        <v>0</v>
      </c>
      <c r="F123" s="37">
        <f t="shared" ref="F123:F145" si="22">E123+D123</f>
        <v>0</v>
      </c>
      <c r="G123" s="787">
        <v>0</v>
      </c>
      <c r="H123" s="787">
        <v>0</v>
      </c>
      <c r="I123" s="37">
        <f>(G123-H123)*'16-PlantAdditions'!$E$103</f>
        <v>0</v>
      </c>
      <c r="J123" s="37">
        <f t="shared" ref="J123:J145" si="23">J122+F123-G123-I123</f>
        <v>0</v>
      </c>
      <c r="K123" s="311">
        <f t="shared" ref="K123:K145" si="24">J123-$J$121</f>
        <v>0</v>
      </c>
    </row>
    <row r="124" spans="1:11" s="474" customFormat="1">
      <c r="A124" s="64">
        <f t="shared" si="21"/>
        <v>84</v>
      </c>
      <c r="B124" s="439" t="s">
        <v>354</v>
      </c>
      <c r="C124" s="437">
        <v>2019</v>
      </c>
      <c r="D124" s="787">
        <v>0</v>
      </c>
      <c r="E124" s="37">
        <f>D124*'16-PlantAdditions'!$E$103</f>
        <v>0</v>
      </c>
      <c r="F124" s="37">
        <f t="shared" si="22"/>
        <v>0</v>
      </c>
      <c r="G124" s="787">
        <v>0</v>
      </c>
      <c r="H124" s="787">
        <v>0</v>
      </c>
      <c r="I124" s="37">
        <f>(G124-H124)*'16-PlantAdditions'!$E$103</f>
        <v>0</v>
      </c>
      <c r="J124" s="37">
        <f t="shared" si="23"/>
        <v>0</v>
      </c>
      <c r="K124" s="311">
        <f t="shared" si="24"/>
        <v>0</v>
      </c>
    </row>
    <row r="125" spans="1:11" s="474" customFormat="1">
      <c r="A125" s="64">
        <f t="shared" si="21"/>
        <v>85</v>
      </c>
      <c r="B125" s="436" t="s">
        <v>355</v>
      </c>
      <c r="C125" s="437">
        <v>2019</v>
      </c>
      <c r="D125" s="787">
        <v>0</v>
      </c>
      <c r="E125" s="37">
        <f>D125*'16-PlantAdditions'!$E$103</f>
        <v>0</v>
      </c>
      <c r="F125" s="37">
        <f t="shared" si="22"/>
        <v>0</v>
      </c>
      <c r="G125" s="787">
        <v>0</v>
      </c>
      <c r="H125" s="787">
        <v>0</v>
      </c>
      <c r="I125" s="37">
        <f>(G125-H125)*'16-PlantAdditions'!$E$103</f>
        <v>0</v>
      </c>
      <c r="J125" s="37">
        <f t="shared" si="23"/>
        <v>0</v>
      </c>
      <c r="K125" s="311">
        <f t="shared" si="24"/>
        <v>0</v>
      </c>
    </row>
    <row r="126" spans="1:11" s="474" customFormat="1">
      <c r="A126" s="64">
        <f t="shared" si="21"/>
        <v>86</v>
      </c>
      <c r="B126" s="439" t="s">
        <v>356</v>
      </c>
      <c r="C126" s="437">
        <v>2019</v>
      </c>
      <c r="D126" s="787">
        <v>0</v>
      </c>
      <c r="E126" s="37">
        <f>D126*'16-PlantAdditions'!$E$103</f>
        <v>0</v>
      </c>
      <c r="F126" s="37">
        <f t="shared" si="22"/>
        <v>0</v>
      </c>
      <c r="G126" s="787">
        <v>0</v>
      </c>
      <c r="H126" s="787">
        <v>0</v>
      </c>
      <c r="I126" s="37">
        <f>(G126-H126)*'16-PlantAdditions'!$E$103</f>
        <v>0</v>
      </c>
      <c r="J126" s="37">
        <f t="shared" si="23"/>
        <v>0</v>
      </c>
      <c r="K126" s="311">
        <f t="shared" si="24"/>
        <v>0</v>
      </c>
    </row>
    <row r="127" spans="1:11" s="474" customFormat="1">
      <c r="A127" s="64">
        <f t="shared" si="21"/>
        <v>87</v>
      </c>
      <c r="B127" s="439" t="s">
        <v>540</v>
      </c>
      <c r="C127" s="437">
        <v>2019</v>
      </c>
      <c r="D127" s="787">
        <v>0</v>
      </c>
      <c r="E127" s="37">
        <f>D127*'16-PlantAdditions'!$E$103</f>
        <v>0</v>
      </c>
      <c r="F127" s="37">
        <f t="shared" si="22"/>
        <v>0</v>
      </c>
      <c r="G127" s="787">
        <v>0</v>
      </c>
      <c r="H127" s="787">
        <v>0</v>
      </c>
      <c r="I127" s="37">
        <f>(G127-H127)*'16-PlantAdditions'!$E$103</f>
        <v>0</v>
      </c>
      <c r="J127" s="37">
        <f t="shared" si="23"/>
        <v>0</v>
      </c>
      <c r="K127" s="311">
        <f t="shared" si="24"/>
        <v>0</v>
      </c>
    </row>
    <row r="128" spans="1:11" s="474" customFormat="1">
      <c r="A128" s="64">
        <f t="shared" si="21"/>
        <v>88</v>
      </c>
      <c r="B128" s="436" t="s">
        <v>358</v>
      </c>
      <c r="C128" s="437">
        <v>2019</v>
      </c>
      <c r="D128" s="787">
        <v>0</v>
      </c>
      <c r="E128" s="37">
        <f>D128*'16-PlantAdditions'!$E$103</f>
        <v>0</v>
      </c>
      <c r="F128" s="37">
        <f t="shared" si="22"/>
        <v>0</v>
      </c>
      <c r="G128" s="787">
        <v>0</v>
      </c>
      <c r="H128" s="787">
        <v>0</v>
      </c>
      <c r="I128" s="37">
        <f>(G128-H128)*'16-PlantAdditions'!$E$103</f>
        <v>0</v>
      </c>
      <c r="J128" s="37">
        <f t="shared" si="23"/>
        <v>0</v>
      </c>
      <c r="K128" s="311">
        <f t="shared" si="24"/>
        <v>0</v>
      </c>
    </row>
    <row r="129" spans="1:11" s="474" customFormat="1">
      <c r="A129" s="64">
        <f t="shared" si="21"/>
        <v>89</v>
      </c>
      <c r="B129" s="439" t="s">
        <v>359</v>
      </c>
      <c r="C129" s="437">
        <v>2019</v>
      </c>
      <c r="D129" s="787">
        <v>0</v>
      </c>
      <c r="E129" s="37">
        <f>D129*'16-PlantAdditions'!$E$103</f>
        <v>0</v>
      </c>
      <c r="F129" s="37">
        <f t="shared" si="22"/>
        <v>0</v>
      </c>
      <c r="G129" s="787">
        <v>0</v>
      </c>
      <c r="H129" s="787">
        <v>0</v>
      </c>
      <c r="I129" s="37">
        <f>(G129-H129)*'16-PlantAdditions'!$E$103</f>
        <v>0</v>
      </c>
      <c r="J129" s="37">
        <f t="shared" si="23"/>
        <v>0</v>
      </c>
      <c r="K129" s="311">
        <f t="shared" si="24"/>
        <v>0</v>
      </c>
    </row>
    <row r="130" spans="1:11" s="474" customFormat="1">
      <c r="A130" s="64">
        <f t="shared" si="21"/>
        <v>90</v>
      </c>
      <c r="B130" s="439" t="s">
        <v>360</v>
      </c>
      <c r="C130" s="437">
        <v>2019</v>
      </c>
      <c r="D130" s="787">
        <v>0</v>
      </c>
      <c r="E130" s="37">
        <f>D130*'16-PlantAdditions'!$E$103</f>
        <v>0</v>
      </c>
      <c r="F130" s="37">
        <f t="shared" si="22"/>
        <v>0</v>
      </c>
      <c r="G130" s="787">
        <v>0</v>
      </c>
      <c r="H130" s="787">
        <v>0</v>
      </c>
      <c r="I130" s="37">
        <f>(G130-H130)*'16-PlantAdditions'!$E$103</f>
        <v>0</v>
      </c>
      <c r="J130" s="37">
        <f t="shared" si="23"/>
        <v>0</v>
      </c>
      <c r="K130" s="311">
        <f t="shared" si="24"/>
        <v>0</v>
      </c>
    </row>
    <row r="131" spans="1:11" s="474" customFormat="1">
      <c r="A131" s="64">
        <f t="shared" si="21"/>
        <v>91</v>
      </c>
      <c r="B131" s="436" t="s">
        <v>361</v>
      </c>
      <c r="C131" s="437">
        <v>2019</v>
      </c>
      <c r="D131" s="787">
        <v>0</v>
      </c>
      <c r="E131" s="37">
        <f>D131*'16-PlantAdditions'!$E$103</f>
        <v>0</v>
      </c>
      <c r="F131" s="37">
        <f t="shared" si="22"/>
        <v>0</v>
      </c>
      <c r="G131" s="787">
        <v>0</v>
      </c>
      <c r="H131" s="787">
        <v>0</v>
      </c>
      <c r="I131" s="37">
        <f>(G131-H131)*'16-PlantAdditions'!$E$103</f>
        <v>0</v>
      </c>
      <c r="J131" s="37">
        <f t="shared" si="23"/>
        <v>0</v>
      </c>
      <c r="K131" s="311">
        <f t="shared" si="24"/>
        <v>0</v>
      </c>
    </row>
    <row r="132" spans="1:11" s="474" customFormat="1">
      <c r="A132" s="64">
        <f t="shared" si="21"/>
        <v>92</v>
      </c>
      <c r="B132" s="436" t="s">
        <v>362</v>
      </c>
      <c r="C132" s="437">
        <v>2019</v>
      </c>
      <c r="D132" s="787">
        <v>0</v>
      </c>
      <c r="E132" s="37">
        <f>D132*'16-PlantAdditions'!$E$103</f>
        <v>0</v>
      </c>
      <c r="F132" s="37">
        <f t="shared" si="22"/>
        <v>0</v>
      </c>
      <c r="G132" s="787">
        <v>0</v>
      </c>
      <c r="H132" s="787">
        <v>0</v>
      </c>
      <c r="I132" s="37">
        <f>(G132-H132)*'16-PlantAdditions'!$E$103</f>
        <v>0</v>
      </c>
      <c r="J132" s="37">
        <f t="shared" si="23"/>
        <v>0</v>
      </c>
      <c r="K132" s="311">
        <f t="shared" si="24"/>
        <v>0</v>
      </c>
    </row>
    <row r="133" spans="1:11" s="474" customFormat="1">
      <c r="A133" s="64">
        <f t="shared" si="21"/>
        <v>93</v>
      </c>
      <c r="B133" s="436" t="s">
        <v>350</v>
      </c>
      <c r="C133" s="437">
        <v>2019</v>
      </c>
      <c r="D133" s="787">
        <v>0</v>
      </c>
      <c r="E133" s="37">
        <f>D133*'16-PlantAdditions'!$E$103</f>
        <v>0</v>
      </c>
      <c r="F133" s="37">
        <f t="shared" si="22"/>
        <v>0</v>
      </c>
      <c r="G133" s="787">
        <v>0</v>
      </c>
      <c r="H133" s="787">
        <v>0</v>
      </c>
      <c r="I133" s="37">
        <f>(G133-H133)*'16-PlantAdditions'!$E$103</f>
        <v>0</v>
      </c>
      <c r="J133" s="37">
        <f t="shared" si="23"/>
        <v>0</v>
      </c>
      <c r="K133" s="311">
        <f t="shared" si="24"/>
        <v>0</v>
      </c>
    </row>
    <row r="134" spans="1:11" s="474" customFormat="1">
      <c r="A134" s="64">
        <f t="shared" si="21"/>
        <v>94</v>
      </c>
      <c r="B134" s="436" t="s">
        <v>352</v>
      </c>
      <c r="C134" s="437">
        <v>2020</v>
      </c>
      <c r="D134" s="787">
        <v>0</v>
      </c>
      <c r="E134" s="37">
        <f>D134*'16-PlantAdditions'!$E$103</f>
        <v>0</v>
      </c>
      <c r="F134" s="37">
        <f t="shared" si="22"/>
        <v>0</v>
      </c>
      <c r="G134" s="787">
        <v>0</v>
      </c>
      <c r="H134" s="787">
        <v>0</v>
      </c>
      <c r="I134" s="37">
        <f>(G134-H134)*'16-PlantAdditions'!$E$103</f>
        <v>0</v>
      </c>
      <c r="J134" s="37">
        <f t="shared" si="23"/>
        <v>0</v>
      </c>
      <c r="K134" s="311">
        <f t="shared" si="24"/>
        <v>0</v>
      </c>
    </row>
    <row r="135" spans="1:11" s="474" customFormat="1">
      <c r="A135" s="64">
        <f t="shared" si="21"/>
        <v>95</v>
      </c>
      <c r="B135" s="439" t="s">
        <v>353</v>
      </c>
      <c r="C135" s="437">
        <v>2020</v>
      </c>
      <c r="D135" s="787">
        <v>0</v>
      </c>
      <c r="E135" s="37">
        <f>D135*'16-PlantAdditions'!$E$103</f>
        <v>0</v>
      </c>
      <c r="F135" s="37">
        <f t="shared" si="22"/>
        <v>0</v>
      </c>
      <c r="G135" s="787">
        <v>0</v>
      </c>
      <c r="H135" s="787">
        <v>0</v>
      </c>
      <c r="I135" s="37">
        <f>(G135-H135)*'16-PlantAdditions'!$E$103</f>
        <v>0</v>
      </c>
      <c r="J135" s="37">
        <f t="shared" si="23"/>
        <v>0</v>
      </c>
      <c r="K135" s="311">
        <f t="shared" si="24"/>
        <v>0</v>
      </c>
    </row>
    <row r="136" spans="1:11" s="474" customFormat="1">
      <c r="A136" s="64">
        <f t="shared" si="21"/>
        <v>96</v>
      </c>
      <c r="B136" s="439" t="s">
        <v>354</v>
      </c>
      <c r="C136" s="437">
        <v>2020</v>
      </c>
      <c r="D136" s="787">
        <v>0</v>
      </c>
      <c r="E136" s="37">
        <f>D136*'16-PlantAdditions'!$E$103</f>
        <v>0</v>
      </c>
      <c r="F136" s="37">
        <f t="shared" si="22"/>
        <v>0</v>
      </c>
      <c r="G136" s="787">
        <v>0</v>
      </c>
      <c r="H136" s="787">
        <v>0</v>
      </c>
      <c r="I136" s="37">
        <f>(G136-H136)*'16-PlantAdditions'!$E$103</f>
        <v>0</v>
      </c>
      <c r="J136" s="37">
        <f t="shared" si="23"/>
        <v>0</v>
      </c>
      <c r="K136" s="311">
        <f t="shared" si="24"/>
        <v>0</v>
      </c>
    </row>
    <row r="137" spans="1:11" s="474" customFormat="1">
      <c r="A137" s="64">
        <f t="shared" si="21"/>
        <v>97</v>
      </c>
      <c r="B137" s="436" t="s">
        <v>355</v>
      </c>
      <c r="C137" s="437">
        <v>2020</v>
      </c>
      <c r="D137" s="787">
        <v>0</v>
      </c>
      <c r="E137" s="37">
        <f>D137*'16-PlantAdditions'!$E$103</f>
        <v>0</v>
      </c>
      <c r="F137" s="37">
        <f t="shared" si="22"/>
        <v>0</v>
      </c>
      <c r="G137" s="787">
        <v>0</v>
      </c>
      <c r="H137" s="787">
        <v>0</v>
      </c>
      <c r="I137" s="37">
        <f>(G137-H137)*'16-PlantAdditions'!$E$103</f>
        <v>0</v>
      </c>
      <c r="J137" s="37">
        <f t="shared" si="23"/>
        <v>0</v>
      </c>
      <c r="K137" s="311">
        <f t="shared" si="24"/>
        <v>0</v>
      </c>
    </row>
    <row r="138" spans="1:11" s="474" customFormat="1">
      <c r="A138" s="64">
        <f t="shared" si="21"/>
        <v>98</v>
      </c>
      <c r="B138" s="439" t="s">
        <v>356</v>
      </c>
      <c r="C138" s="437">
        <v>2020</v>
      </c>
      <c r="D138" s="787">
        <v>0</v>
      </c>
      <c r="E138" s="37">
        <f>D138*'16-PlantAdditions'!$E$103</f>
        <v>0</v>
      </c>
      <c r="F138" s="37">
        <f t="shared" si="22"/>
        <v>0</v>
      </c>
      <c r="G138" s="787">
        <v>0</v>
      </c>
      <c r="H138" s="787">
        <v>0</v>
      </c>
      <c r="I138" s="37">
        <f>(G138-H138)*'16-PlantAdditions'!$E$103</f>
        <v>0</v>
      </c>
      <c r="J138" s="37">
        <f t="shared" si="23"/>
        <v>0</v>
      </c>
      <c r="K138" s="311">
        <f t="shared" si="24"/>
        <v>0</v>
      </c>
    </row>
    <row r="139" spans="1:11" s="474" customFormat="1">
      <c r="A139" s="64">
        <f t="shared" si="21"/>
        <v>99</v>
      </c>
      <c r="B139" s="439" t="s">
        <v>540</v>
      </c>
      <c r="C139" s="437">
        <v>2020</v>
      </c>
      <c r="D139" s="787">
        <v>0</v>
      </c>
      <c r="E139" s="37">
        <f>D139*'16-PlantAdditions'!$E$103</f>
        <v>0</v>
      </c>
      <c r="F139" s="37">
        <f t="shared" si="22"/>
        <v>0</v>
      </c>
      <c r="G139" s="787">
        <v>0</v>
      </c>
      <c r="H139" s="787">
        <v>0</v>
      </c>
      <c r="I139" s="37">
        <f>(G139-H139)*'16-PlantAdditions'!$E$103</f>
        <v>0</v>
      </c>
      <c r="J139" s="37">
        <f t="shared" si="23"/>
        <v>0</v>
      </c>
      <c r="K139" s="311">
        <f t="shared" si="24"/>
        <v>0</v>
      </c>
    </row>
    <row r="140" spans="1:11" s="474" customFormat="1">
      <c r="A140" s="64">
        <f t="shared" si="21"/>
        <v>100</v>
      </c>
      <c r="B140" s="436" t="s">
        <v>358</v>
      </c>
      <c r="C140" s="437">
        <v>2020</v>
      </c>
      <c r="D140" s="787">
        <v>0</v>
      </c>
      <c r="E140" s="37">
        <f>D140*'16-PlantAdditions'!$E$103</f>
        <v>0</v>
      </c>
      <c r="F140" s="37">
        <f t="shared" si="22"/>
        <v>0</v>
      </c>
      <c r="G140" s="787">
        <v>0</v>
      </c>
      <c r="H140" s="787">
        <v>0</v>
      </c>
      <c r="I140" s="37">
        <f>(G140-H140)*'16-PlantAdditions'!$E$103</f>
        <v>0</v>
      </c>
      <c r="J140" s="37">
        <f t="shared" si="23"/>
        <v>0</v>
      </c>
      <c r="K140" s="311">
        <f t="shared" si="24"/>
        <v>0</v>
      </c>
    </row>
    <row r="141" spans="1:11" s="474" customFormat="1">
      <c r="A141" s="64">
        <f t="shared" si="21"/>
        <v>101</v>
      </c>
      <c r="B141" s="439" t="s">
        <v>359</v>
      </c>
      <c r="C141" s="437">
        <v>2020</v>
      </c>
      <c r="D141" s="787">
        <v>0</v>
      </c>
      <c r="E141" s="37">
        <f>D141*'16-PlantAdditions'!$E$103</f>
        <v>0</v>
      </c>
      <c r="F141" s="37">
        <f t="shared" si="22"/>
        <v>0</v>
      </c>
      <c r="G141" s="787">
        <v>0</v>
      </c>
      <c r="H141" s="787">
        <v>0</v>
      </c>
      <c r="I141" s="37">
        <f>(G141-H141)*'16-PlantAdditions'!$E$103</f>
        <v>0</v>
      </c>
      <c r="J141" s="37">
        <f t="shared" si="23"/>
        <v>0</v>
      </c>
      <c r="K141" s="311">
        <f t="shared" si="24"/>
        <v>0</v>
      </c>
    </row>
    <row r="142" spans="1:11" s="474" customFormat="1">
      <c r="A142" s="64">
        <f t="shared" si="21"/>
        <v>102</v>
      </c>
      <c r="B142" s="439" t="s">
        <v>360</v>
      </c>
      <c r="C142" s="437">
        <v>2020</v>
      </c>
      <c r="D142" s="787">
        <v>0</v>
      </c>
      <c r="E142" s="37">
        <f>D142*'16-PlantAdditions'!$E$103</f>
        <v>0</v>
      </c>
      <c r="F142" s="37">
        <f t="shared" si="22"/>
        <v>0</v>
      </c>
      <c r="G142" s="787">
        <v>0</v>
      </c>
      <c r="H142" s="787">
        <v>0</v>
      </c>
      <c r="I142" s="37">
        <f>(G142-H142)*'16-PlantAdditions'!$E$103</f>
        <v>0</v>
      </c>
      <c r="J142" s="37">
        <f t="shared" si="23"/>
        <v>0</v>
      </c>
      <c r="K142" s="311">
        <f t="shared" si="24"/>
        <v>0</v>
      </c>
    </row>
    <row r="143" spans="1:11" s="474" customFormat="1">
      <c r="A143" s="64">
        <f t="shared" si="21"/>
        <v>103</v>
      </c>
      <c r="B143" s="439" t="s">
        <v>361</v>
      </c>
      <c r="C143" s="437">
        <v>2020</v>
      </c>
      <c r="D143" s="787">
        <v>0</v>
      </c>
      <c r="E143" s="37">
        <f>D143*'16-PlantAdditions'!$E$103</f>
        <v>0</v>
      </c>
      <c r="F143" s="37">
        <f t="shared" si="22"/>
        <v>0</v>
      </c>
      <c r="G143" s="787">
        <v>0</v>
      </c>
      <c r="H143" s="787">
        <v>0</v>
      </c>
      <c r="I143" s="37">
        <f>(G143-H143)*'16-PlantAdditions'!$E$103</f>
        <v>0</v>
      </c>
      <c r="J143" s="37">
        <f t="shared" si="23"/>
        <v>0</v>
      </c>
      <c r="K143" s="311">
        <f t="shared" si="24"/>
        <v>0</v>
      </c>
    </row>
    <row r="144" spans="1:11" s="474" customFormat="1">
      <c r="A144" s="64">
        <f t="shared" si="21"/>
        <v>104</v>
      </c>
      <c r="B144" s="439" t="s">
        <v>362</v>
      </c>
      <c r="C144" s="437">
        <v>2020</v>
      </c>
      <c r="D144" s="787">
        <v>0</v>
      </c>
      <c r="E144" s="37">
        <f>D144*'16-PlantAdditions'!$E$103</f>
        <v>0</v>
      </c>
      <c r="F144" s="37">
        <f t="shared" si="22"/>
        <v>0</v>
      </c>
      <c r="G144" s="787">
        <v>0</v>
      </c>
      <c r="H144" s="787">
        <v>0</v>
      </c>
      <c r="I144" s="37">
        <f>(G144-H144)*'16-PlantAdditions'!$E$103</f>
        <v>0</v>
      </c>
      <c r="J144" s="37">
        <f t="shared" si="23"/>
        <v>0</v>
      </c>
      <c r="K144" s="311">
        <f t="shared" si="24"/>
        <v>0</v>
      </c>
    </row>
    <row r="145" spans="1:11" s="474" customFormat="1">
      <c r="A145" s="64">
        <f t="shared" si="21"/>
        <v>105</v>
      </c>
      <c r="B145" s="439" t="s">
        <v>350</v>
      </c>
      <c r="C145" s="437">
        <v>2020</v>
      </c>
      <c r="D145" s="787">
        <v>0</v>
      </c>
      <c r="E145" s="37">
        <f>D145*'16-PlantAdditions'!$E$103</f>
        <v>0</v>
      </c>
      <c r="F145" s="37">
        <f t="shared" si="22"/>
        <v>0</v>
      </c>
      <c r="G145" s="787">
        <v>0</v>
      </c>
      <c r="H145" s="787">
        <v>0</v>
      </c>
      <c r="I145" s="37">
        <f>(G145-H145)*'16-PlantAdditions'!$E$103</f>
        <v>0</v>
      </c>
      <c r="J145" s="37">
        <f t="shared" si="23"/>
        <v>0</v>
      </c>
      <c r="K145" s="65">
        <f t="shared" si="24"/>
        <v>0</v>
      </c>
    </row>
    <row r="146" spans="1:11" s="474" customFormat="1">
      <c r="A146" s="64">
        <f t="shared" si="21"/>
        <v>106</v>
      </c>
      <c r="B146" s="768"/>
      <c r="C146" s="473" t="s">
        <v>1096</v>
      </c>
      <c r="D146" s="768"/>
      <c r="E146" s="768"/>
      <c r="F146" s="768"/>
      <c r="G146" s="768"/>
      <c r="H146" s="768"/>
      <c r="I146" s="768"/>
      <c r="J146" s="768"/>
      <c r="K146" s="43">
        <f>AVERAGE(K133:K145)</f>
        <v>0</v>
      </c>
    </row>
    <row r="147" spans="1:11" s="474" customFormat="1">
      <c r="A147" s="64"/>
      <c r="B147" s="768"/>
      <c r="C147" s="473"/>
      <c r="D147" s="768"/>
      <c r="E147" s="768"/>
      <c r="F147" s="768"/>
      <c r="G147" s="768"/>
      <c r="H147" s="768"/>
      <c r="I147" s="768"/>
      <c r="J147" s="768"/>
      <c r="K147" s="43"/>
    </row>
    <row r="148" spans="1:11" s="474" customFormat="1">
      <c r="B148" s="475" t="s">
        <v>1106</v>
      </c>
      <c r="D148" s="1135" t="s">
        <v>1107</v>
      </c>
      <c r="E148" s="1135"/>
    </row>
    <row r="149" spans="1:11" s="474" customFormat="1">
      <c r="B149" s="475"/>
      <c r="D149" s="469" t="s">
        <v>307</v>
      </c>
      <c r="E149" s="469" t="s">
        <v>308</v>
      </c>
      <c r="F149" s="469" t="s">
        <v>309</v>
      </c>
      <c r="G149" s="469" t="s">
        <v>310</v>
      </c>
      <c r="H149" s="469" t="s">
        <v>311</v>
      </c>
      <c r="I149" s="469" t="s">
        <v>312</v>
      </c>
      <c r="J149" s="469" t="s">
        <v>313</v>
      </c>
      <c r="K149" s="469" t="s">
        <v>314</v>
      </c>
    </row>
    <row r="150" spans="1:11" s="474" customFormat="1" ht="38.25">
      <c r="B150" s="475"/>
      <c r="D150" s="476"/>
      <c r="E150" s="477" t="s">
        <v>1099</v>
      </c>
      <c r="F150" s="478" t="s">
        <v>1100</v>
      </c>
      <c r="G150" s="354"/>
      <c r="H150" s="476"/>
      <c r="I150" s="477" t="s">
        <v>1101</v>
      </c>
      <c r="J150" s="477" t="s">
        <v>1102</v>
      </c>
      <c r="K150" s="477" t="s">
        <v>1103</v>
      </c>
    </row>
    <row r="151" spans="1:11" s="474" customFormat="1">
      <c r="D151" s="476"/>
      <c r="E151" s="476"/>
      <c r="F151" s="476"/>
      <c r="G151" s="379" t="str">
        <f>G51</f>
        <v>Unloaded</v>
      </c>
      <c r="H151" s="476"/>
      <c r="I151" s="476"/>
    </row>
    <row r="152" spans="1:11" s="474" customFormat="1">
      <c r="A152" s="471"/>
      <c r="B152" s="471"/>
      <c r="C152" s="471"/>
      <c r="D152" s="471" t="str">
        <f>D$52</f>
        <v>Forecast</v>
      </c>
      <c r="E152" s="471" t="str">
        <f t="shared" ref="E152:J152" si="25">E$52</f>
        <v>Corporate</v>
      </c>
      <c r="F152" s="471" t="str">
        <f t="shared" si="25"/>
        <v xml:space="preserve">Total </v>
      </c>
      <c r="G152" s="379" t="str">
        <f>G52</f>
        <v>Total</v>
      </c>
      <c r="H152" s="471" t="str">
        <f t="shared" si="25"/>
        <v>Prior Period</v>
      </c>
      <c r="I152" s="471" t="str">
        <f t="shared" si="25"/>
        <v>Over Heads</v>
      </c>
      <c r="J152" s="471" t="str">
        <f t="shared" si="25"/>
        <v>Forecast</v>
      </c>
      <c r="K152" s="379" t="str">
        <f>K$52</f>
        <v>Forecast Period</v>
      </c>
    </row>
    <row r="153" spans="1:11" s="474" customFormat="1">
      <c r="A153" s="663" t="s">
        <v>243</v>
      </c>
      <c r="B153" s="435" t="s">
        <v>342</v>
      </c>
      <c r="C153" s="435" t="s">
        <v>343</v>
      </c>
      <c r="D153" s="469" t="str">
        <f>D$53</f>
        <v>Expenditures</v>
      </c>
      <c r="E153" s="469" t="str">
        <f t="shared" ref="E153:J153" si="26">E$53</f>
        <v>Overheads</v>
      </c>
      <c r="F153" s="469" t="str">
        <f t="shared" si="26"/>
        <v>CWIP Exp</v>
      </c>
      <c r="G153" s="74" t="str">
        <f>G53</f>
        <v>Plant Adds</v>
      </c>
      <c r="H153" s="469" t="str">
        <f t="shared" si="26"/>
        <v>CWIP Closed</v>
      </c>
      <c r="I153" s="469" t="str">
        <f t="shared" si="26"/>
        <v>Closed to PIS</v>
      </c>
      <c r="J153" s="469" t="str">
        <f t="shared" si="26"/>
        <v>Period CWIP</v>
      </c>
      <c r="K153" s="469" t="str">
        <f>K$53</f>
        <v>Incremental CWIP</v>
      </c>
    </row>
    <row r="154" spans="1:11" s="474" customFormat="1">
      <c r="A154" s="64">
        <f>A146+1</f>
        <v>107</v>
      </c>
      <c r="B154" s="436" t="s">
        <v>350</v>
      </c>
      <c r="C154" s="437">
        <v>2018</v>
      </c>
      <c r="D154" s="478" t="s">
        <v>351</v>
      </c>
      <c r="E154" s="478" t="s">
        <v>351</v>
      </c>
      <c r="F154" s="478" t="s">
        <v>351</v>
      </c>
      <c r="G154" s="478" t="s">
        <v>351</v>
      </c>
      <c r="H154" s="478" t="s">
        <v>351</v>
      </c>
      <c r="I154" s="478" t="s">
        <v>351</v>
      </c>
      <c r="J154" s="37">
        <f>G25</f>
        <v>5220451.6500000004</v>
      </c>
      <c r="K154" s="478" t="s">
        <v>351</v>
      </c>
    </row>
    <row r="155" spans="1:11" s="474" customFormat="1">
      <c r="A155" s="64">
        <f>A154+1</f>
        <v>108</v>
      </c>
      <c r="B155" s="436" t="s">
        <v>352</v>
      </c>
      <c r="C155" s="437">
        <v>2019</v>
      </c>
      <c r="D155" s="787">
        <v>24432</v>
      </c>
      <c r="E155" s="37">
        <f>D155*'16-PlantAdditions'!$E$103</f>
        <v>1832.3999999999999</v>
      </c>
      <c r="F155" s="37">
        <f>E155+D155</f>
        <v>26264.400000000001</v>
      </c>
      <c r="G155" s="787">
        <v>0</v>
      </c>
      <c r="H155" s="787">
        <v>0</v>
      </c>
      <c r="I155" s="37">
        <f>(G155-H155)*'16-PlantAdditions'!$E$103</f>
        <v>0</v>
      </c>
      <c r="J155" s="37">
        <f>J154+F155-G155-I155</f>
        <v>5246716.0500000007</v>
      </c>
      <c r="K155" s="37">
        <f>J155-$J$154</f>
        <v>26264.400000000373</v>
      </c>
    </row>
    <row r="156" spans="1:11" s="474" customFormat="1">
      <c r="A156" s="64">
        <f t="shared" ref="A156:A179" si="27">A155+1</f>
        <v>109</v>
      </c>
      <c r="B156" s="439" t="s">
        <v>353</v>
      </c>
      <c r="C156" s="437">
        <v>2019</v>
      </c>
      <c r="D156" s="787">
        <v>26402</v>
      </c>
      <c r="E156" s="37">
        <f>D156*'16-PlantAdditions'!$E$103</f>
        <v>1980.1499999999999</v>
      </c>
      <c r="F156" s="37">
        <f t="shared" ref="F156:F178" si="28">E156+D156</f>
        <v>28382.15</v>
      </c>
      <c r="G156" s="787">
        <v>0</v>
      </c>
      <c r="H156" s="787">
        <v>0</v>
      </c>
      <c r="I156" s="37">
        <f>(G156-H156)*'16-PlantAdditions'!$E$103</f>
        <v>0</v>
      </c>
      <c r="J156" s="37">
        <f t="shared" ref="J156:J175" si="29">J155+F156-G156-I156</f>
        <v>5275098.2000000011</v>
      </c>
      <c r="K156" s="37">
        <f t="shared" ref="K156:K178" si="30">J156-$J$154</f>
        <v>54646.550000000745</v>
      </c>
    </row>
    <row r="157" spans="1:11" s="474" customFormat="1">
      <c r="A157" s="64">
        <f t="shared" si="27"/>
        <v>110</v>
      </c>
      <c r="B157" s="439" t="s">
        <v>354</v>
      </c>
      <c r="C157" s="437">
        <v>2019</v>
      </c>
      <c r="D157" s="787">
        <v>16244</v>
      </c>
      <c r="E157" s="37">
        <f>D157*'16-PlantAdditions'!$E$103</f>
        <v>1218.3</v>
      </c>
      <c r="F157" s="37">
        <f t="shared" si="28"/>
        <v>17462.3</v>
      </c>
      <c r="G157" s="787">
        <v>0</v>
      </c>
      <c r="H157" s="787">
        <v>0</v>
      </c>
      <c r="I157" s="37">
        <f>(G157-H157)*'16-PlantAdditions'!$E$103</f>
        <v>0</v>
      </c>
      <c r="J157" s="37">
        <f t="shared" si="29"/>
        <v>5292560.5000000009</v>
      </c>
      <c r="K157" s="37">
        <f t="shared" si="30"/>
        <v>72108.850000000559</v>
      </c>
    </row>
    <row r="158" spans="1:11" s="474" customFormat="1">
      <c r="A158" s="64">
        <f t="shared" si="27"/>
        <v>111</v>
      </c>
      <c r="B158" s="436" t="s">
        <v>355</v>
      </c>
      <c r="C158" s="437">
        <v>2019</v>
      </c>
      <c r="D158" s="787">
        <v>25000</v>
      </c>
      <c r="E158" s="37">
        <f>D158*'16-PlantAdditions'!$E$103</f>
        <v>1875</v>
      </c>
      <c r="F158" s="37">
        <f t="shared" si="28"/>
        <v>26875</v>
      </c>
      <c r="G158" s="787">
        <v>0</v>
      </c>
      <c r="H158" s="787">
        <v>0</v>
      </c>
      <c r="I158" s="37">
        <f>(G158-H158)*'16-PlantAdditions'!$E$103</f>
        <v>0</v>
      </c>
      <c r="J158" s="37">
        <f t="shared" si="29"/>
        <v>5319435.5000000009</v>
      </c>
      <c r="K158" s="37">
        <f t="shared" si="30"/>
        <v>98983.850000000559</v>
      </c>
    </row>
    <row r="159" spans="1:11" s="474" customFormat="1">
      <c r="A159" s="64">
        <f t="shared" si="27"/>
        <v>112</v>
      </c>
      <c r="B159" s="439" t="s">
        <v>356</v>
      </c>
      <c r="C159" s="437">
        <v>2019</v>
      </c>
      <c r="D159" s="787">
        <v>25000</v>
      </c>
      <c r="E159" s="37">
        <f>D159*'16-PlantAdditions'!$E$103</f>
        <v>1875</v>
      </c>
      <c r="F159" s="37">
        <f t="shared" si="28"/>
        <v>26875</v>
      </c>
      <c r="G159" s="787">
        <v>0</v>
      </c>
      <c r="H159" s="787">
        <v>0</v>
      </c>
      <c r="I159" s="37">
        <f>(G159-H159)*'16-PlantAdditions'!$E$103</f>
        <v>0</v>
      </c>
      <c r="J159" s="37">
        <f t="shared" si="29"/>
        <v>5346310.5000000009</v>
      </c>
      <c r="K159" s="37">
        <f t="shared" si="30"/>
        <v>125858.85000000056</v>
      </c>
    </row>
    <row r="160" spans="1:11" s="474" customFormat="1">
      <c r="A160" s="64">
        <f t="shared" si="27"/>
        <v>113</v>
      </c>
      <c r="B160" s="439" t="s">
        <v>540</v>
      </c>
      <c r="C160" s="437">
        <v>2019</v>
      </c>
      <c r="D160" s="787">
        <v>25000</v>
      </c>
      <c r="E160" s="37">
        <f>D160*'16-PlantAdditions'!$E$103</f>
        <v>1875</v>
      </c>
      <c r="F160" s="37">
        <f t="shared" si="28"/>
        <v>26875</v>
      </c>
      <c r="G160" s="787">
        <v>0</v>
      </c>
      <c r="H160" s="787">
        <v>0</v>
      </c>
      <c r="I160" s="37">
        <f>(G160-H160)*'16-PlantAdditions'!$E$103</f>
        <v>0</v>
      </c>
      <c r="J160" s="37">
        <f t="shared" si="29"/>
        <v>5373185.5000000009</v>
      </c>
      <c r="K160" s="37">
        <f t="shared" si="30"/>
        <v>152733.85000000056</v>
      </c>
    </row>
    <row r="161" spans="1:11" s="474" customFormat="1">
      <c r="A161" s="64">
        <f t="shared" si="27"/>
        <v>114</v>
      </c>
      <c r="B161" s="436" t="s">
        <v>358</v>
      </c>
      <c r="C161" s="437">
        <v>2019</v>
      </c>
      <c r="D161" s="787">
        <v>25000</v>
      </c>
      <c r="E161" s="37">
        <f>D161*'16-PlantAdditions'!$E$103</f>
        <v>1875</v>
      </c>
      <c r="F161" s="37">
        <f t="shared" si="28"/>
        <v>26875</v>
      </c>
      <c r="G161" s="787">
        <v>0</v>
      </c>
      <c r="H161" s="787">
        <v>0</v>
      </c>
      <c r="I161" s="37">
        <f>(G161-H161)*'16-PlantAdditions'!$E$103</f>
        <v>0</v>
      </c>
      <c r="J161" s="37">
        <f t="shared" si="29"/>
        <v>5400060.5000000009</v>
      </c>
      <c r="K161" s="37">
        <f t="shared" si="30"/>
        <v>179608.85000000056</v>
      </c>
    </row>
    <row r="162" spans="1:11" s="474" customFormat="1">
      <c r="A162" s="64">
        <f t="shared" si="27"/>
        <v>115</v>
      </c>
      <c r="B162" s="439" t="s">
        <v>359</v>
      </c>
      <c r="C162" s="437">
        <v>2019</v>
      </c>
      <c r="D162" s="787">
        <v>25000</v>
      </c>
      <c r="E162" s="37">
        <f>D162*'16-PlantAdditions'!$E$103</f>
        <v>1875</v>
      </c>
      <c r="F162" s="37">
        <f t="shared" si="28"/>
        <v>26875</v>
      </c>
      <c r="G162" s="787">
        <v>0</v>
      </c>
      <c r="H162" s="787">
        <v>0</v>
      </c>
      <c r="I162" s="37">
        <f>(G162-H162)*'16-PlantAdditions'!$E$103</f>
        <v>0</v>
      </c>
      <c r="J162" s="37">
        <f t="shared" si="29"/>
        <v>5426935.5000000009</v>
      </c>
      <c r="K162" s="37">
        <f t="shared" si="30"/>
        <v>206483.85000000056</v>
      </c>
    </row>
    <row r="163" spans="1:11" s="474" customFormat="1">
      <c r="A163" s="64">
        <f t="shared" si="27"/>
        <v>116</v>
      </c>
      <c r="B163" s="439" t="s">
        <v>360</v>
      </c>
      <c r="C163" s="437">
        <v>2019</v>
      </c>
      <c r="D163" s="787">
        <v>25000</v>
      </c>
      <c r="E163" s="37">
        <f>D163*'16-PlantAdditions'!$E$103</f>
        <v>1875</v>
      </c>
      <c r="F163" s="37">
        <f t="shared" si="28"/>
        <v>26875</v>
      </c>
      <c r="G163" s="787">
        <v>0</v>
      </c>
      <c r="H163" s="787">
        <v>0</v>
      </c>
      <c r="I163" s="37">
        <f>(G163-H163)*'16-PlantAdditions'!$E$103</f>
        <v>0</v>
      </c>
      <c r="J163" s="37">
        <f t="shared" si="29"/>
        <v>5453810.5000000009</v>
      </c>
      <c r="K163" s="37">
        <f t="shared" si="30"/>
        <v>233358.85000000056</v>
      </c>
    </row>
    <row r="164" spans="1:11" s="474" customFormat="1">
      <c r="A164" s="64">
        <f t="shared" si="27"/>
        <v>117</v>
      </c>
      <c r="B164" s="436" t="s">
        <v>361</v>
      </c>
      <c r="C164" s="437">
        <v>2019</v>
      </c>
      <c r="D164" s="787">
        <v>25000</v>
      </c>
      <c r="E164" s="37">
        <f>D164*'16-PlantAdditions'!$E$103</f>
        <v>1875</v>
      </c>
      <c r="F164" s="37">
        <f t="shared" si="28"/>
        <v>26875</v>
      </c>
      <c r="G164" s="787">
        <v>0</v>
      </c>
      <c r="H164" s="787">
        <v>0</v>
      </c>
      <c r="I164" s="37">
        <f>(G164-H164)*'16-PlantAdditions'!$E$103</f>
        <v>0</v>
      </c>
      <c r="J164" s="37">
        <f t="shared" si="29"/>
        <v>5480685.5000000009</v>
      </c>
      <c r="K164" s="37">
        <f t="shared" si="30"/>
        <v>260233.85000000056</v>
      </c>
    </row>
    <row r="165" spans="1:11" s="474" customFormat="1">
      <c r="A165" s="64">
        <f t="shared" si="27"/>
        <v>118</v>
      </c>
      <c r="B165" s="436" t="s">
        <v>362</v>
      </c>
      <c r="C165" s="437">
        <v>2019</v>
      </c>
      <c r="D165" s="787">
        <v>25000</v>
      </c>
      <c r="E165" s="37">
        <f>D165*'16-PlantAdditions'!$E$103</f>
        <v>1875</v>
      </c>
      <c r="F165" s="37">
        <f t="shared" si="28"/>
        <v>26875</v>
      </c>
      <c r="G165" s="787">
        <v>0</v>
      </c>
      <c r="H165" s="787">
        <v>0</v>
      </c>
      <c r="I165" s="37">
        <f>(G165-H165)*'16-PlantAdditions'!$E$103</f>
        <v>0</v>
      </c>
      <c r="J165" s="37">
        <f t="shared" si="29"/>
        <v>5507560.5000000009</v>
      </c>
      <c r="K165" s="37">
        <f t="shared" si="30"/>
        <v>287108.85000000056</v>
      </c>
    </row>
    <row r="166" spans="1:11" s="474" customFormat="1">
      <c r="A166" s="64">
        <f t="shared" si="27"/>
        <v>119</v>
      </c>
      <c r="B166" s="436" t="s">
        <v>350</v>
      </c>
      <c r="C166" s="437">
        <v>2019</v>
      </c>
      <c r="D166" s="787">
        <v>32922</v>
      </c>
      <c r="E166" s="37">
        <f>D166*'16-PlantAdditions'!$E$103</f>
        <v>2469.15</v>
      </c>
      <c r="F166" s="37">
        <f t="shared" si="28"/>
        <v>35391.15</v>
      </c>
      <c r="G166" s="787">
        <v>0</v>
      </c>
      <c r="H166" s="787">
        <v>0</v>
      </c>
      <c r="I166" s="37">
        <f>(G166-H166)*'16-PlantAdditions'!$E$103</f>
        <v>0</v>
      </c>
      <c r="J166" s="37">
        <f t="shared" si="29"/>
        <v>5542951.6500000013</v>
      </c>
      <c r="K166" s="37">
        <f t="shared" si="30"/>
        <v>322500.00000000093</v>
      </c>
    </row>
    <row r="167" spans="1:11" s="474" customFormat="1">
      <c r="A167" s="64">
        <f t="shared" si="27"/>
        <v>120</v>
      </c>
      <c r="B167" s="436" t="s">
        <v>352</v>
      </c>
      <c r="C167" s="437">
        <v>2020</v>
      </c>
      <c r="D167" s="787">
        <v>0</v>
      </c>
      <c r="E167" s="37">
        <f>D167*'16-PlantAdditions'!$E$103</f>
        <v>0</v>
      </c>
      <c r="F167" s="37">
        <f t="shared" si="28"/>
        <v>0</v>
      </c>
      <c r="G167" s="787">
        <v>0</v>
      </c>
      <c r="H167" s="787">
        <v>0</v>
      </c>
      <c r="I167" s="37">
        <f>(G167-H167)*'16-PlantAdditions'!$E$103</f>
        <v>0</v>
      </c>
      <c r="J167" s="37">
        <f t="shared" si="29"/>
        <v>5542951.6500000013</v>
      </c>
      <c r="K167" s="37">
        <f t="shared" si="30"/>
        <v>322500.00000000093</v>
      </c>
    </row>
    <row r="168" spans="1:11" s="474" customFormat="1">
      <c r="A168" s="64">
        <f t="shared" si="27"/>
        <v>121</v>
      </c>
      <c r="B168" s="439" t="s">
        <v>353</v>
      </c>
      <c r="C168" s="437">
        <v>2020</v>
      </c>
      <c r="D168" s="787">
        <v>0</v>
      </c>
      <c r="E168" s="37">
        <f>D168*'16-PlantAdditions'!$E$103</f>
        <v>0</v>
      </c>
      <c r="F168" s="37">
        <f t="shared" si="28"/>
        <v>0</v>
      </c>
      <c r="G168" s="787">
        <v>0</v>
      </c>
      <c r="H168" s="787">
        <v>0</v>
      </c>
      <c r="I168" s="37">
        <f>(G168-H168)*'16-PlantAdditions'!$E$103</f>
        <v>0</v>
      </c>
      <c r="J168" s="37">
        <f t="shared" si="29"/>
        <v>5542951.6500000013</v>
      </c>
      <c r="K168" s="37">
        <f t="shared" si="30"/>
        <v>322500.00000000093</v>
      </c>
    </row>
    <row r="169" spans="1:11" s="474" customFormat="1">
      <c r="A169" s="64">
        <f t="shared" si="27"/>
        <v>122</v>
      </c>
      <c r="B169" s="439" t="s">
        <v>354</v>
      </c>
      <c r="C169" s="437">
        <v>2020</v>
      </c>
      <c r="D169" s="787">
        <v>0</v>
      </c>
      <c r="E169" s="37">
        <f>D169*'16-PlantAdditions'!$E$103</f>
        <v>0</v>
      </c>
      <c r="F169" s="37">
        <f t="shared" si="28"/>
        <v>0</v>
      </c>
      <c r="G169" s="787">
        <v>0</v>
      </c>
      <c r="H169" s="787">
        <v>0</v>
      </c>
      <c r="I169" s="37">
        <f>(G169-H169)*'16-PlantAdditions'!$E$103</f>
        <v>0</v>
      </c>
      <c r="J169" s="37">
        <f t="shared" si="29"/>
        <v>5542951.6500000013</v>
      </c>
      <c r="K169" s="37">
        <f t="shared" si="30"/>
        <v>322500.00000000093</v>
      </c>
    </row>
    <row r="170" spans="1:11" s="474" customFormat="1">
      <c r="A170" s="64">
        <f t="shared" si="27"/>
        <v>123</v>
      </c>
      <c r="B170" s="436" t="s">
        <v>355</v>
      </c>
      <c r="C170" s="437">
        <v>2020</v>
      </c>
      <c r="D170" s="787">
        <v>0</v>
      </c>
      <c r="E170" s="37">
        <f>D170*'16-PlantAdditions'!$E$103</f>
        <v>0</v>
      </c>
      <c r="F170" s="37">
        <f t="shared" si="28"/>
        <v>0</v>
      </c>
      <c r="G170" s="787">
        <v>0</v>
      </c>
      <c r="H170" s="787">
        <v>0</v>
      </c>
      <c r="I170" s="37">
        <f>(G170-H170)*'16-PlantAdditions'!$E$103</f>
        <v>0</v>
      </c>
      <c r="J170" s="37">
        <f t="shared" si="29"/>
        <v>5542951.6500000013</v>
      </c>
      <c r="K170" s="37">
        <f t="shared" si="30"/>
        <v>322500.00000000093</v>
      </c>
    </row>
    <row r="171" spans="1:11" s="474" customFormat="1">
      <c r="A171" s="64">
        <f t="shared" si="27"/>
        <v>124</v>
      </c>
      <c r="B171" s="439" t="s">
        <v>356</v>
      </c>
      <c r="C171" s="437">
        <v>2020</v>
      </c>
      <c r="D171" s="787">
        <v>0</v>
      </c>
      <c r="E171" s="37">
        <f>D171*'16-PlantAdditions'!$E$103</f>
        <v>0</v>
      </c>
      <c r="F171" s="37">
        <f t="shared" si="28"/>
        <v>0</v>
      </c>
      <c r="G171" s="787">
        <v>0</v>
      </c>
      <c r="H171" s="787">
        <v>0</v>
      </c>
      <c r="I171" s="37">
        <f>(G171-H171)*'16-PlantAdditions'!$E$103</f>
        <v>0</v>
      </c>
      <c r="J171" s="37">
        <f t="shared" si="29"/>
        <v>5542951.6500000013</v>
      </c>
      <c r="K171" s="37">
        <f t="shared" si="30"/>
        <v>322500.00000000093</v>
      </c>
    </row>
    <row r="172" spans="1:11" s="474" customFormat="1">
      <c r="A172" s="64">
        <f t="shared" si="27"/>
        <v>125</v>
      </c>
      <c r="B172" s="439" t="s">
        <v>540</v>
      </c>
      <c r="C172" s="437">
        <v>2020</v>
      </c>
      <c r="D172" s="787">
        <v>0</v>
      </c>
      <c r="E172" s="37">
        <f>D172*'16-PlantAdditions'!$E$103</f>
        <v>0</v>
      </c>
      <c r="F172" s="37">
        <f t="shared" si="28"/>
        <v>0</v>
      </c>
      <c r="G172" s="787">
        <v>0</v>
      </c>
      <c r="H172" s="787">
        <v>0</v>
      </c>
      <c r="I172" s="37">
        <f>(G172-H172)*'16-PlantAdditions'!$E$103</f>
        <v>0</v>
      </c>
      <c r="J172" s="37">
        <f t="shared" si="29"/>
        <v>5542951.6500000013</v>
      </c>
      <c r="K172" s="37">
        <f t="shared" si="30"/>
        <v>322500.00000000093</v>
      </c>
    </row>
    <row r="173" spans="1:11" s="474" customFormat="1">
      <c r="A173" s="64">
        <f t="shared" si="27"/>
        <v>126</v>
      </c>
      <c r="B173" s="436" t="s">
        <v>358</v>
      </c>
      <c r="C173" s="437">
        <v>2020</v>
      </c>
      <c r="D173" s="787">
        <v>0</v>
      </c>
      <c r="E173" s="37">
        <f>D173*'16-PlantAdditions'!$E$103</f>
        <v>0</v>
      </c>
      <c r="F173" s="37">
        <f t="shared" si="28"/>
        <v>0</v>
      </c>
      <c r="G173" s="787">
        <v>0</v>
      </c>
      <c r="H173" s="787">
        <v>0</v>
      </c>
      <c r="I173" s="37">
        <f>(G173-H173)*'16-PlantAdditions'!$E$103</f>
        <v>0</v>
      </c>
      <c r="J173" s="37">
        <f t="shared" si="29"/>
        <v>5542951.6500000013</v>
      </c>
      <c r="K173" s="37">
        <f t="shared" si="30"/>
        <v>322500.00000000093</v>
      </c>
    </row>
    <row r="174" spans="1:11" s="474" customFormat="1">
      <c r="A174" s="64">
        <f t="shared" si="27"/>
        <v>127</v>
      </c>
      <c r="B174" s="439" t="s">
        <v>359</v>
      </c>
      <c r="C174" s="437">
        <v>2020</v>
      </c>
      <c r="D174" s="787">
        <v>0</v>
      </c>
      <c r="E174" s="37">
        <f>D174*'16-PlantAdditions'!$E$103</f>
        <v>0</v>
      </c>
      <c r="F174" s="37">
        <f t="shared" si="28"/>
        <v>0</v>
      </c>
      <c r="G174" s="787">
        <v>0</v>
      </c>
      <c r="H174" s="787">
        <v>0</v>
      </c>
      <c r="I174" s="37">
        <f>(G174-H174)*'16-PlantAdditions'!$E$103</f>
        <v>0</v>
      </c>
      <c r="J174" s="37">
        <f t="shared" si="29"/>
        <v>5542951.6500000013</v>
      </c>
      <c r="K174" s="37">
        <f t="shared" si="30"/>
        <v>322500.00000000093</v>
      </c>
    </row>
    <row r="175" spans="1:11" s="474" customFormat="1">
      <c r="A175" s="64">
        <f t="shared" si="27"/>
        <v>128</v>
      </c>
      <c r="B175" s="439" t="s">
        <v>360</v>
      </c>
      <c r="C175" s="437">
        <v>2020</v>
      </c>
      <c r="D175" s="787">
        <v>600000</v>
      </c>
      <c r="E175" s="37">
        <f>D175*'16-PlantAdditions'!$E$103</f>
        <v>45000</v>
      </c>
      <c r="F175" s="37">
        <f t="shared" si="28"/>
        <v>645000</v>
      </c>
      <c r="G175" s="787">
        <v>0</v>
      </c>
      <c r="H175" s="787">
        <v>0</v>
      </c>
      <c r="I175" s="37">
        <f>(G175-H175)*'16-PlantAdditions'!$E$103</f>
        <v>0</v>
      </c>
      <c r="J175" s="37">
        <f t="shared" si="29"/>
        <v>6187951.6500000013</v>
      </c>
      <c r="K175" s="37">
        <f t="shared" si="30"/>
        <v>967500.00000000093</v>
      </c>
    </row>
    <row r="176" spans="1:11" s="474" customFormat="1">
      <c r="A176" s="64">
        <f t="shared" si="27"/>
        <v>129</v>
      </c>
      <c r="B176" s="439" t="s">
        <v>361</v>
      </c>
      <c r="C176" s="437">
        <v>2020</v>
      </c>
      <c r="D176" s="787">
        <v>600000</v>
      </c>
      <c r="E176" s="37">
        <f>D176*'16-PlantAdditions'!$E$103</f>
        <v>45000</v>
      </c>
      <c r="F176" s="37">
        <f t="shared" si="28"/>
        <v>645000</v>
      </c>
      <c r="G176" s="787">
        <v>0</v>
      </c>
      <c r="H176" s="787">
        <v>0</v>
      </c>
      <c r="I176" s="37">
        <f>(G176-H176)*'16-PlantAdditions'!$E$103</f>
        <v>0</v>
      </c>
      <c r="J176" s="37">
        <f t="shared" ref="J176:J178" si="31">J175+F176-G176-I176</f>
        <v>6832951.6500000013</v>
      </c>
      <c r="K176" s="37">
        <f t="shared" si="30"/>
        <v>1612500.0000000009</v>
      </c>
    </row>
    <row r="177" spans="1:11" s="474" customFormat="1">
      <c r="A177" s="64">
        <f t="shared" si="27"/>
        <v>130</v>
      </c>
      <c r="B177" s="439" t="s">
        <v>362</v>
      </c>
      <c r="C177" s="437">
        <v>2020</v>
      </c>
      <c r="D177" s="787">
        <v>600000</v>
      </c>
      <c r="E177" s="37">
        <f>D177*'16-PlantAdditions'!$E$103</f>
        <v>45000</v>
      </c>
      <c r="F177" s="37">
        <f t="shared" si="28"/>
        <v>645000</v>
      </c>
      <c r="G177" s="787">
        <v>0</v>
      </c>
      <c r="H177" s="787">
        <v>0</v>
      </c>
      <c r="I177" s="37">
        <f>(G177-H177)*'16-PlantAdditions'!$E$103</f>
        <v>0</v>
      </c>
      <c r="J177" s="37">
        <f t="shared" si="31"/>
        <v>7477951.6500000013</v>
      </c>
      <c r="K177" s="37">
        <f t="shared" si="30"/>
        <v>2257500.0000000009</v>
      </c>
    </row>
    <row r="178" spans="1:11" s="474" customFormat="1">
      <c r="A178" s="64">
        <f t="shared" si="27"/>
        <v>131</v>
      </c>
      <c r="B178" s="439" t="s">
        <v>350</v>
      </c>
      <c r="C178" s="437">
        <v>2020</v>
      </c>
      <c r="D178" s="787">
        <v>805031</v>
      </c>
      <c r="E178" s="37">
        <f>D178*'16-PlantAdditions'!$E$103</f>
        <v>60377.324999999997</v>
      </c>
      <c r="F178" s="37">
        <f t="shared" si="28"/>
        <v>865408.32499999995</v>
      </c>
      <c r="G178" s="787">
        <v>0</v>
      </c>
      <c r="H178" s="787">
        <v>0</v>
      </c>
      <c r="I178" s="37">
        <f>(G178-H178)*'16-PlantAdditions'!$E$103</f>
        <v>0</v>
      </c>
      <c r="J178" s="37">
        <f t="shared" si="31"/>
        <v>8343359.9750000015</v>
      </c>
      <c r="K178" s="65">
        <f t="shared" si="30"/>
        <v>3122908.3250000011</v>
      </c>
    </row>
    <row r="179" spans="1:11" s="474" customFormat="1">
      <c r="A179" s="64">
        <f t="shared" si="27"/>
        <v>132</v>
      </c>
      <c r="B179" s="768"/>
      <c r="C179" s="473" t="s">
        <v>1096</v>
      </c>
      <c r="D179" s="768"/>
      <c r="E179" s="768"/>
      <c r="F179" s="768"/>
      <c r="G179" s="768"/>
      <c r="H179" s="768"/>
      <c r="I179" s="768"/>
      <c r="J179" s="768"/>
      <c r="K179" s="43">
        <f>AVERAGE(K166:K178)</f>
        <v>835608.33269230858</v>
      </c>
    </row>
    <row r="180" spans="1:11" s="474" customFormat="1">
      <c r="A180" s="64"/>
      <c r="B180" s="768"/>
      <c r="C180" s="473"/>
      <c r="D180" s="768"/>
      <c r="E180" s="768"/>
      <c r="F180" s="768"/>
      <c r="G180" s="768"/>
      <c r="H180" s="768"/>
      <c r="I180" s="768"/>
      <c r="J180" s="768"/>
      <c r="K180" s="43"/>
    </row>
    <row r="181" spans="1:11" s="474" customFormat="1">
      <c r="B181" s="475" t="s">
        <v>1108</v>
      </c>
      <c r="D181" s="1135" t="s">
        <v>1109</v>
      </c>
      <c r="E181" s="1135"/>
    </row>
    <row r="182" spans="1:11" s="474" customFormat="1">
      <c r="A182" s="469"/>
      <c r="B182" s="469"/>
      <c r="C182" s="469"/>
      <c r="D182" s="469" t="s">
        <v>307</v>
      </c>
      <c r="E182" s="469" t="s">
        <v>308</v>
      </c>
      <c r="F182" s="469" t="s">
        <v>309</v>
      </c>
      <c r="G182" s="469" t="s">
        <v>310</v>
      </c>
      <c r="H182" s="469" t="s">
        <v>311</v>
      </c>
      <c r="I182" s="469" t="s">
        <v>312</v>
      </c>
      <c r="J182" s="469" t="s">
        <v>313</v>
      </c>
      <c r="K182" s="469" t="s">
        <v>314</v>
      </c>
    </row>
    <row r="183" spans="1:11" s="474" customFormat="1" ht="38.25">
      <c r="D183" s="476"/>
      <c r="E183" s="477" t="s">
        <v>1099</v>
      </c>
      <c r="F183" s="478" t="s">
        <v>1100</v>
      </c>
      <c r="G183" s="354"/>
      <c r="H183" s="476"/>
      <c r="I183" s="477" t="s">
        <v>1101</v>
      </c>
      <c r="J183" s="477" t="s">
        <v>1102</v>
      </c>
      <c r="K183" s="477" t="s">
        <v>1103</v>
      </c>
    </row>
    <row r="184" spans="1:11" s="474" customFormat="1">
      <c r="D184" s="476"/>
      <c r="E184" s="477"/>
      <c r="F184" s="478"/>
      <c r="G184" s="3" t="str">
        <f>G51</f>
        <v>Unloaded</v>
      </c>
      <c r="H184" s="476"/>
      <c r="I184" s="477"/>
      <c r="J184" s="477"/>
      <c r="K184" s="477"/>
    </row>
    <row r="185" spans="1:11" s="474" customFormat="1">
      <c r="A185" s="471"/>
      <c r="B185" s="471"/>
      <c r="C185" s="471"/>
      <c r="D185" s="471" t="str">
        <f>D$52</f>
        <v>Forecast</v>
      </c>
      <c r="E185" s="471" t="str">
        <f t="shared" ref="E185:J185" si="32">E$52</f>
        <v>Corporate</v>
      </c>
      <c r="F185" s="471" t="str">
        <f t="shared" si="32"/>
        <v xml:space="preserve">Total </v>
      </c>
      <c r="G185" s="3" t="str">
        <f>G52</f>
        <v>Total</v>
      </c>
      <c r="H185" s="471" t="str">
        <f t="shared" si="32"/>
        <v>Prior Period</v>
      </c>
      <c r="I185" s="471" t="str">
        <f t="shared" si="32"/>
        <v>Over Heads</v>
      </c>
      <c r="J185" s="471" t="str">
        <f t="shared" si="32"/>
        <v>Forecast</v>
      </c>
      <c r="K185" s="379" t="str">
        <f>K$52</f>
        <v>Forecast Period</v>
      </c>
    </row>
    <row r="186" spans="1:11" s="474" customFormat="1">
      <c r="A186" s="663" t="s">
        <v>243</v>
      </c>
      <c r="B186" s="435" t="s">
        <v>342</v>
      </c>
      <c r="C186" s="435" t="s">
        <v>343</v>
      </c>
      <c r="D186" s="469" t="str">
        <f>D$53</f>
        <v>Expenditures</v>
      </c>
      <c r="E186" s="469" t="str">
        <f t="shared" ref="E186:J186" si="33">E$53</f>
        <v>Overheads</v>
      </c>
      <c r="F186" s="469" t="str">
        <f t="shared" si="33"/>
        <v>CWIP Exp</v>
      </c>
      <c r="G186" s="52" t="str">
        <f>G53</f>
        <v>Plant Adds</v>
      </c>
      <c r="H186" s="469" t="str">
        <f t="shared" si="33"/>
        <v>CWIP Closed</v>
      </c>
      <c r="I186" s="469" t="str">
        <f t="shared" si="33"/>
        <v>Closed to PIS</v>
      </c>
      <c r="J186" s="469" t="str">
        <f t="shared" si="33"/>
        <v>Period CWIP</v>
      </c>
      <c r="K186" s="469" t="str">
        <f>K$53</f>
        <v>Incremental CWIP</v>
      </c>
    </row>
    <row r="187" spans="1:11" s="474" customFormat="1">
      <c r="A187" s="64">
        <f>A179+1</f>
        <v>133</v>
      </c>
      <c r="B187" s="436" t="s">
        <v>350</v>
      </c>
      <c r="C187" s="437">
        <v>2018</v>
      </c>
      <c r="D187" s="478" t="s">
        <v>351</v>
      </c>
      <c r="E187" s="478" t="s">
        <v>351</v>
      </c>
      <c r="F187" s="478" t="s">
        <v>351</v>
      </c>
      <c r="G187" s="478" t="s">
        <v>351</v>
      </c>
      <c r="H187" s="478" t="s">
        <v>351</v>
      </c>
      <c r="I187" s="478" t="s">
        <v>351</v>
      </c>
      <c r="J187" s="37">
        <f>H25</f>
        <v>228226372.41</v>
      </c>
      <c r="K187" s="478" t="s">
        <v>351</v>
      </c>
    </row>
    <row r="188" spans="1:11" s="474" customFormat="1">
      <c r="A188" s="64">
        <f>A187+1</f>
        <v>134</v>
      </c>
      <c r="B188" s="436" t="s">
        <v>352</v>
      </c>
      <c r="C188" s="437">
        <v>2019</v>
      </c>
      <c r="D188" s="787">
        <v>24021029</v>
      </c>
      <c r="E188" s="37">
        <f>D188*'16-PlantAdditions'!$E$103</f>
        <v>1801577.175</v>
      </c>
      <c r="F188" s="37">
        <f>E188+D188</f>
        <v>25822606.175000001</v>
      </c>
      <c r="G188" s="787">
        <v>0</v>
      </c>
      <c r="H188" s="787">
        <v>0</v>
      </c>
      <c r="I188" s="37">
        <f>(G188-H188)*'16-PlantAdditions'!$E$103</f>
        <v>0</v>
      </c>
      <c r="J188" s="37">
        <f>J187+F188-G188-I188</f>
        <v>254048978.58500001</v>
      </c>
      <c r="K188" s="37">
        <f>J188-$J$187</f>
        <v>25822606.175000012</v>
      </c>
    </row>
    <row r="189" spans="1:11" s="474" customFormat="1">
      <c r="A189" s="64">
        <f t="shared" ref="A189:A212" si="34">A188+1</f>
        <v>135</v>
      </c>
      <c r="B189" s="439" t="s">
        <v>353</v>
      </c>
      <c r="C189" s="437">
        <v>2019</v>
      </c>
      <c r="D189" s="787">
        <v>12270680</v>
      </c>
      <c r="E189" s="37">
        <f>D189*'16-PlantAdditions'!$E$103</f>
        <v>920301</v>
      </c>
      <c r="F189" s="37">
        <f t="shared" ref="F189:F208" si="35">E189+D189</f>
        <v>13190981</v>
      </c>
      <c r="G189" s="787">
        <v>6392766.5099999998</v>
      </c>
      <c r="H189" s="787">
        <v>6354080.5099999998</v>
      </c>
      <c r="I189" s="37">
        <f>(G189-H189)*'16-PlantAdditions'!$E$103</f>
        <v>2901.45</v>
      </c>
      <c r="J189" s="37">
        <f t="shared" ref="J189:J208" si="36">J188+F189-G189-I189</f>
        <v>260844291.62500003</v>
      </c>
      <c r="K189" s="37">
        <f t="shared" ref="K189:K211" si="37">J189-$J$187</f>
        <v>32617919.215000033</v>
      </c>
    </row>
    <row r="190" spans="1:11" s="474" customFormat="1">
      <c r="A190" s="64">
        <f t="shared" si="34"/>
        <v>136</v>
      </c>
      <c r="B190" s="439" t="s">
        <v>354</v>
      </c>
      <c r="C190" s="437">
        <v>2019</v>
      </c>
      <c r="D190" s="787">
        <v>21209376.999999996</v>
      </c>
      <c r="E190" s="37">
        <f>D190*'16-PlantAdditions'!$E$103</f>
        <v>1590703.2749999997</v>
      </c>
      <c r="F190" s="37">
        <f t="shared" si="35"/>
        <v>22800080.274999995</v>
      </c>
      <c r="G190" s="787">
        <v>13385</v>
      </c>
      <c r="H190" s="787">
        <v>0</v>
      </c>
      <c r="I190" s="37">
        <f>(G190-H190)*'16-PlantAdditions'!$E$103</f>
        <v>1003.875</v>
      </c>
      <c r="J190" s="37">
        <f t="shared" si="36"/>
        <v>283629983.02500004</v>
      </c>
      <c r="K190" s="37">
        <f t="shared" si="37"/>
        <v>55403610.615000039</v>
      </c>
    </row>
    <row r="191" spans="1:11" s="474" customFormat="1">
      <c r="A191" s="64">
        <f t="shared" si="34"/>
        <v>137</v>
      </c>
      <c r="B191" s="436" t="s">
        <v>355</v>
      </c>
      <c r="C191" s="437">
        <v>2019</v>
      </c>
      <c r="D191" s="787">
        <v>13401500</v>
      </c>
      <c r="E191" s="37">
        <f>D191*'16-PlantAdditions'!$E$103</f>
        <v>1005112.5</v>
      </c>
      <c r="F191" s="37">
        <f t="shared" si="35"/>
        <v>14406612.5</v>
      </c>
      <c r="G191" s="787">
        <v>535000</v>
      </c>
      <c r="H191" s="787">
        <v>0</v>
      </c>
      <c r="I191" s="37">
        <f>(G191-H191)*'16-PlantAdditions'!$E$103</f>
        <v>40125</v>
      </c>
      <c r="J191" s="37">
        <f t="shared" si="36"/>
        <v>297461470.52500004</v>
      </c>
      <c r="K191" s="37">
        <f t="shared" si="37"/>
        <v>69235098.115000039</v>
      </c>
    </row>
    <row r="192" spans="1:11" s="474" customFormat="1">
      <c r="A192" s="64">
        <f t="shared" si="34"/>
        <v>138</v>
      </c>
      <c r="B192" s="439" t="s">
        <v>356</v>
      </c>
      <c r="C192" s="437">
        <v>2019</v>
      </c>
      <c r="D192" s="787">
        <v>14221500</v>
      </c>
      <c r="E192" s="37">
        <f>D192*'16-PlantAdditions'!$E$103</f>
        <v>1066612.5</v>
      </c>
      <c r="F192" s="37">
        <f t="shared" si="35"/>
        <v>15288112.5</v>
      </c>
      <c r="G192" s="787">
        <v>535000</v>
      </c>
      <c r="H192" s="787">
        <v>0</v>
      </c>
      <c r="I192" s="37">
        <f>(G192-H192)*'16-PlantAdditions'!$E$103</f>
        <v>40125</v>
      </c>
      <c r="J192" s="37">
        <f t="shared" si="36"/>
        <v>312174458.02500004</v>
      </c>
      <c r="K192" s="37">
        <f t="shared" si="37"/>
        <v>83948085.615000039</v>
      </c>
    </row>
    <row r="193" spans="1:11" s="474" customFormat="1">
      <c r="A193" s="64">
        <f t="shared" si="34"/>
        <v>139</v>
      </c>
      <c r="B193" s="439" t="s">
        <v>540</v>
      </c>
      <c r="C193" s="437">
        <v>2019</v>
      </c>
      <c r="D193" s="787">
        <v>13236500</v>
      </c>
      <c r="E193" s="37">
        <f>D193*'16-PlantAdditions'!$E$103</f>
        <v>992737.5</v>
      </c>
      <c r="F193" s="37">
        <f t="shared" si="35"/>
        <v>14229237.5</v>
      </c>
      <c r="G193" s="787">
        <v>550000</v>
      </c>
      <c r="H193" s="787">
        <v>0</v>
      </c>
      <c r="I193" s="37">
        <f>(G193-H193)*'16-PlantAdditions'!$E$103</f>
        <v>41250</v>
      </c>
      <c r="J193" s="37">
        <f t="shared" si="36"/>
        <v>325812445.52500004</v>
      </c>
      <c r="K193" s="37">
        <f t="shared" si="37"/>
        <v>97586073.115000039</v>
      </c>
    </row>
    <row r="194" spans="1:11" s="474" customFormat="1">
      <c r="A194" s="64">
        <f t="shared" si="34"/>
        <v>140</v>
      </c>
      <c r="B194" s="436" t="s">
        <v>358</v>
      </c>
      <c r="C194" s="437">
        <v>2019</v>
      </c>
      <c r="D194" s="787">
        <v>14721500</v>
      </c>
      <c r="E194" s="37">
        <f>D194*'16-PlantAdditions'!$E$103</f>
        <v>1104112.5</v>
      </c>
      <c r="F194" s="37">
        <f t="shared" si="35"/>
        <v>15825612.5</v>
      </c>
      <c r="G194" s="787">
        <v>35000</v>
      </c>
      <c r="H194" s="787">
        <v>0</v>
      </c>
      <c r="I194" s="37">
        <f>(G194-H194)*'16-PlantAdditions'!$E$103</f>
        <v>2625</v>
      </c>
      <c r="J194" s="37">
        <f t="shared" si="36"/>
        <v>341600433.02500004</v>
      </c>
      <c r="K194" s="37">
        <f t="shared" si="37"/>
        <v>113374060.61500004</v>
      </c>
    </row>
    <row r="195" spans="1:11" s="474" customFormat="1">
      <c r="A195" s="64">
        <f t="shared" si="34"/>
        <v>141</v>
      </c>
      <c r="B195" s="439" t="s">
        <v>359</v>
      </c>
      <c r="C195" s="437">
        <v>2019</v>
      </c>
      <c r="D195" s="787">
        <v>12282055.600000003</v>
      </c>
      <c r="E195" s="37">
        <f>D195*'16-PlantAdditions'!$E$103</f>
        <v>921154.17000000027</v>
      </c>
      <c r="F195" s="37">
        <f t="shared" si="35"/>
        <v>13203209.770000003</v>
      </c>
      <c r="G195" s="787">
        <v>208967.03</v>
      </c>
      <c r="H195" s="787">
        <v>173868.03</v>
      </c>
      <c r="I195" s="37">
        <f>(G195-H195)*'16-PlantAdditions'!$E$103</f>
        <v>2632.4249999999997</v>
      </c>
      <c r="J195" s="37">
        <f t="shared" si="36"/>
        <v>354592043.34000003</v>
      </c>
      <c r="K195" s="37">
        <f t="shared" si="37"/>
        <v>126365670.93000004</v>
      </c>
    </row>
    <row r="196" spans="1:11" s="474" customFormat="1">
      <c r="A196" s="64">
        <f t="shared" si="34"/>
        <v>142</v>
      </c>
      <c r="B196" s="439" t="s">
        <v>360</v>
      </c>
      <c r="C196" s="437">
        <v>2019</v>
      </c>
      <c r="D196" s="787">
        <v>11351055.600000003</v>
      </c>
      <c r="E196" s="37">
        <f>D196*'16-PlantAdditions'!$E$103</f>
        <v>851329.17000000027</v>
      </c>
      <c r="F196" s="37">
        <f t="shared" si="35"/>
        <v>12202384.770000003</v>
      </c>
      <c r="G196" s="787">
        <v>25000</v>
      </c>
      <c r="H196" s="787">
        <v>0</v>
      </c>
      <c r="I196" s="37">
        <f>(G196-H196)*'16-PlantAdditions'!$E$103</f>
        <v>1875</v>
      </c>
      <c r="J196" s="37">
        <f t="shared" si="36"/>
        <v>366767553.11000001</v>
      </c>
      <c r="K196" s="37">
        <f t="shared" si="37"/>
        <v>138541180.70000002</v>
      </c>
    </row>
    <row r="197" spans="1:11" s="474" customFormat="1">
      <c r="A197" s="64">
        <f t="shared" si="34"/>
        <v>143</v>
      </c>
      <c r="B197" s="436" t="s">
        <v>361</v>
      </c>
      <c r="C197" s="437">
        <v>2019</v>
      </c>
      <c r="D197" s="787">
        <v>13331555.600000003</v>
      </c>
      <c r="E197" s="37">
        <f>D197*'16-PlantAdditions'!$E$103</f>
        <v>999866.67000000016</v>
      </c>
      <c r="F197" s="37">
        <f t="shared" si="35"/>
        <v>14331422.270000003</v>
      </c>
      <c r="G197" s="787">
        <v>25000</v>
      </c>
      <c r="H197" s="787">
        <v>0</v>
      </c>
      <c r="I197" s="37">
        <f>(G197-H197)*'16-PlantAdditions'!$E$103</f>
        <v>1875</v>
      </c>
      <c r="J197" s="37">
        <f t="shared" si="36"/>
        <v>381072100.38</v>
      </c>
      <c r="K197" s="37">
        <f t="shared" si="37"/>
        <v>152845727.97</v>
      </c>
    </row>
    <row r="198" spans="1:11" s="474" customFormat="1">
      <c r="A198" s="64">
        <f t="shared" si="34"/>
        <v>144</v>
      </c>
      <c r="B198" s="436" t="s">
        <v>362</v>
      </c>
      <c r="C198" s="437">
        <v>2019</v>
      </c>
      <c r="D198" s="787">
        <v>9304555.6000000034</v>
      </c>
      <c r="E198" s="37">
        <f>D198*'16-PlantAdditions'!$E$103</f>
        <v>697841.67000000027</v>
      </c>
      <c r="F198" s="37">
        <f t="shared" si="35"/>
        <v>10002397.270000003</v>
      </c>
      <c r="G198" s="787">
        <v>25000</v>
      </c>
      <c r="H198" s="787">
        <v>0</v>
      </c>
      <c r="I198" s="37">
        <f>(G198-H198)*'16-PlantAdditions'!$E$103</f>
        <v>1875</v>
      </c>
      <c r="J198" s="37">
        <f t="shared" si="36"/>
        <v>391047622.64999998</v>
      </c>
      <c r="K198" s="37">
        <f t="shared" si="37"/>
        <v>162821250.23999998</v>
      </c>
    </row>
    <row r="199" spans="1:11" s="474" customFormat="1">
      <c r="A199" s="64">
        <f t="shared" si="34"/>
        <v>145</v>
      </c>
      <c r="B199" s="436" t="s">
        <v>350</v>
      </c>
      <c r="C199" s="437">
        <v>2019</v>
      </c>
      <c r="D199" s="787">
        <v>9030390.6000000034</v>
      </c>
      <c r="E199" s="37">
        <f>D199*'16-PlantAdditions'!$E$103</f>
        <v>677279.29500000027</v>
      </c>
      <c r="F199" s="37">
        <f t="shared" si="35"/>
        <v>9707669.8950000033</v>
      </c>
      <c r="G199" s="787">
        <v>4470421.6800000006</v>
      </c>
      <c r="H199" s="787">
        <v>2676092.6800000002</v>
      </c>
      <c r="I199" s="37">
        <f>(G199-H199)*'16-PlantAdditions'!$E$103</f>
        <v>134574.67500000002</v>
      </c>
      <c r="J199" s="37">
        <f t="shared" si="36"/>
        <v>396150296.18999994</v>
      </c>
      <c r="K199" s="37">
        <f t="shared" si="37"/>
        <v>167923923.77999994</v>
      </c>
    </row>
    <row r="200" spans="1:11" s="474" customFormat="1">
      <c r="A200" s="64">
        <f t="shared" si="34"/>
        <v>146</v>
      </c>
      <c r="B200" s="436" t="s">
        <v>352</v>
      </c>
      <c r="C200" s="437">
        <v>2020</v>
      </c>
      <c r="D200" s="787">
        <v>9680000</v>
      </c>
      <c r="E200" s="37">
        <f>D200*'16-PlantAdditions'!$E$103</f>
        <v>726000</v>
      </c>
      <c r="F200" s="37">
        <f t="shared" si="35"/>
        <v>10406000</v>
      </c>
      <c r="G200" s="787">
        <v>80000</v>
      </c>
      <c r="H200" s="787">
        <v>0</v>
      </c>
      <c r="I200" s="37">
        <f>(G200-H200)*'16-PlantAdditions'!$E$103</f>
        <v>6000</v>
      </c>
      <c r="J200" s="37">
        <f t="shared" si="36"/>
        <v>406470296.18999994</v>
      </c>
      <c r="K200" s="37">
        <f t="shared" si="37"/>
        <v>178243923.77999994</v>
      </c>
    </row>
    <row r="201" spans="1:11" s="474" customFormat="1">
      <c r="A201" s="64">
        <f t="shared" si="34"/>
        <v>147</v>
      </c>
      <c r="B201" s="439" t="s">
        <v>353</v>
      </c>
      <c r="C201" s="437">
        <v>2020</v>
      </c>
      <c r="D201" s="787">
        <v>13180000</v>
      </c>
      <c r="E201" s="37">
        <f>D201*'16-PlantAdditions'!$E$103</f>
        <v>988500</v>
      </c>
      <c r="F201" s="37">
        <f t="shared" si="35"/>
        <v>14168500</v>
      </c>
      <c r="G201" s="787">
        <v>80000</v>
      </c>
      <c r="H201" s="787">
        <v>0</v>
      </c>
      <c r="I201" s="37">
        <f>(G201-H201)*'16-PlantAdditions'!$E$103</f>
        <v>6000</v>
      </c>
      <c r="J201" s="37">
        <f t="shared" si="36"/>
        <v>420552796.18999994</v>
      </c>
      <c r="K201" s="37">
        <f t="shared" si="37"/>
        <v>192326423.77999994</v>
      </c>
    </row>
    <row r="202" spans="1:11" s="474" customFormat="1">
      <c r="A202" s="64">
        <f t="shared" si="34"/>
        <v>148</v>
      </c>
      <c r="B202" s="439" t="s">
        <v>354</v>
      </c>
      <c r="C202" s="437">
        <v>2020</v>
      </c>
      <c r="D202" s="787">
        <v>14785000</v>
      </c>
      <c r="E202" s="37">
        <f>D202*'16-PlantAdditions'!$E$103</f>
        <v>1108875</v>
      </c>
      <c r="F202" s="37">
        <f t="shared" si="35"/>
        <v>15893875</v>
      </c>
      <c r="G202" s="787">
        <v>140000</v>
      </c>
      <c r="H202" s="787">
        <v>0</v>
      </c>
      <c r="I202" s="37">
        <f>(G202-H202)*'16-PlantAdditions'!$E$103</f>
        <v>10500</v>
      </c>
      <c r="J202" s="37">
        <f t="shared" si="36"/>
        <v>436296171.18999994</v>
      </c>
      <c r="K202" s="37">
        <f t="shared" si="37"/>
        <v>208069798.77999994</v>
      </c>
    </row>
    <row r="203" spans="1:11" s="474" customFormat="1">
      <c r="A203" s="64">
        <f t="shared" si="34"/>
        <v>149</v>
      </c>
      <c r="B203" s="436" t="s">
        <v>355</v>
      </c>
      <c r="C203" s="437">
        <v>2020</v>
      </c>
      <c r="D203" s="787">
        <v>13420000</v>
      </c>
      <c r="E203" s="37">
        <f>D203*'16-PlantAdditions'!$E$103</f>
        <v>1006500</v>
      </c>
      <c r="F203" s="37">
        <f t="shared" si="35"/>
        <v>14426500</v>
      </c>
      <c r="G203" s="787">
        <v>230000</v>
      </c>
      <c r="H203" s="787">
        <v>0</v>
      </c>
      <c r="I203" s="37">
        <f>(G203-H203)*'16-PlantAdditions'!$E$103</f>
        <v>17250</v>
      </c>
      <c r="J203" s="37">
        <f t="shared" si="36"/>
        <v>450475421.18999994</v>
      </c>
      <c r="K203" s="37">
        <f t="shared" si="37"/>
        <v>222249048.77999994</v>
      </c>
    </row>
    <row r="204" spans="1:11" s="474" customFormat="1">
      <c r="A204" s="64">
        <f t="shared" si="34"/>
        <v>150</v>
      </c>
      <c r="B204" s="439" t="s">
        <v>356</v>
      </c>
      <c r="C204" s="437">
        <v>2020</v>
      </c>
      <c r="D204" s="787">
        <v>13920000</v>
      </c>
      <c r="E204" s="37">
        <f>D204*'16-PlantAdditions'!$E$103</f>
        <v>1044000</v>
      </c>
      <c r="F204" s="37">
        <f t="shared" si="35"/>
        <v>14964000</v>
      </c>
      <c r="G204" s="787">
        <v>230000</v>
      </c>
      <c r="H204" s="787">
        <v>0</v>
      </c>
      <c r="I204" s="37">
        <f>(G204-H204)*'16-PlantAdditions'!$E$103</f>
        <v>17250</v>
      </c>
      <c r="J204" s="37">
        <f t="shared" si="36"/>
        <v>465192171.18999994</v>
      </c>
      <c r="K204" s="37">
        <f t="shared" si="37"/>
        <v>236965798.77999994</v>
      </c>
    </row>
    <row r="205" spans="1:11" s="474" customFormat="1">
      <c r="A205" s="64">
        <f t="shared" si="34"/>
        <v>151</v>
      </c>
      <c r="B205" s="439" t="s">
        <v>540</v>
      </c>
      <c r="C205" s="437">
        <v>2020</v>
      </c>
      <c r="D205" s="787">
        <v>11180000</v>
      </c>
      <c r="E205" s="37">
        <f>D205*'16-PlantAdditions'!$E$103</f>
        <v>838500</v>
      </c>
      <c r="F205" s="37">
        <f t="shared" si="35"/>
        <v>12018500</v>
      </c>
      <c r="G205" s="787">
        <v>80000</v>
      </c>
      <c r="H205" s="787">
        <v>0</v>
      </c>
      <c r="I205" s="37">
        <f>(G205-H205)*'16-PlantAdditions'!$E$103</f>
        <v>6000</v>
      </c>
      <c r="J205" s="37">
        <f t="shared" si="36"/>
        <v>477124671.18999994</v>
      </c>
      <c r="K205" s="37">
        <f t="shared" si="37"/>
        <v>248898298.77999994</v>
      </c>
    </row>
    <row r="206" spans="1:11" s="474" customFormat="1">
      <c r="A206" s="64">
        <f t="shared" si="34"/>
        <v>152</v>
      </c>
      <c r="B206" s="436" t="s">
        <v>358</v>
      </c>
      <c r="C206" s="437">
        <v>2020</v>
      </c>
      <c r="D206" s="787">
        <v>12680000</v>
      </c>
      <c r="E206" s="37">
        <f>D206*'16-PlantAdditions'!$E$103</f>
        <v>951000</v>
      </c>
      <c r="F206" s="37">
        <f t="shared" si="35"/>
        <v>13631000</v>
      </c>
      <c r="G206" s="787">
        <v>80000</v>
      </c>
      <c r="H206" s="787">
        <v>0</v>
      </c>
      <c r="I206" s="37">
        <f>(G206-H206)*'16-PlantAdditions'!$E$103</f>
        <v>6000</v>
      </c>
      <c r="J206" s="37">
        <f t="shared" si="36"/>
        <v>490669671.18999994</v>
      </c>
      <c r="K206" s="37">
        <f t="shared" si="37"/>
        <v>262443298.77999994</v>
      </c>
    </row>
    <row r="207" spans="1:11" s="474" customFormat="1">
      <c r="A207" s="64">
        <f t="shared" si="34"/>
        <v>153</v>
      </c>
      <c r="B207" s="439" t="s">
        <v>359</v>
      </c>
      <c r="C207" s="437">
        <v>2020</v>
      </c>
      <c r="D207" s="787">
        <v>14680000</v>
      </c>
      <c r="E207" s="37">
        <f>D207*'16-PlantAdditions'!$E$103</f>
        <v>1101000</v>
      </c>
      <c r="F207" s="37">
        <f t="shared" si="35"/>
        <v>15781000</v>
      </c>
      <c r="G207" s="787">
        <v>80000</v>
      </c>
      <c r="H207" s="787">
        <v>0</v>
      </c>
      <c r="I207" s="37">
        <f>(G207-H207)*'16-PlantAdditions'!$E$103</f>
        <v>6000</v>
      </c>
      <c r="J207" s="37">
        <f t="shared" si="36"/>
        <v>506364671.18999994</v>
      </c>
      <c r="K207" s="37">
        <f t="shared" si="37"/>
        <v>278138298.77999997</v>
      </c>
    </row>
    <row r="208" spans="1:11" s="474" customFormat="1">
      <c r="A208" s="64">
        <f t="shared" si="34"/>
        <v>154</v>
      </c>
      <c r="B208" s="439" t="s">
        <v>360</v>
      </c>
      <c r="C208" s="437">
        <v>2020</v>
      </c>
      <c r="D208" s="787">
        <v>14690000</v>
      </c>
      <c r="E208" s="37">
        <f>D208*'16-PlantAdditions'!$E$103</f>
        <v>1101750</v>
      </c>
      <c r="F208" s="37">
        <f t="shared" si="35"/>
        <v>15791750</v>
      </c>
      <c r="G208" s="787">
        <v>90000</v>
      </c>
      <c r="H208" s="787">
        <v>0</v>
      </c>
      <c r="I208" s="37">
        <f>(G208-H208)*'16-PlantAdditions'!$E$103</f>
        <v>6750</v>
      </c>
      <c r="J208" s="37">
        <f t="shared" si="36"/>
        <v>522059671.18999994</v>
      </c>
      <c r="K208" s="37">
        <f t="shared" si="37"/>
        <v>293833298.77999997</v>
      </c>
    </row>
    <row r="209" spans="1:11" s="474" customFormat="1">
      <c r="A209" s="64">
        <f t="shared" si="34"/>
        <v>155</v>
      </c>
      <c r="B209" s="439" t="s">
        <v>361</v>
      </c>
      <c r="C209" s="437">
        <v>2020</v>
      </c>
      <c r="D209" s="787">
        <v>14699230</v>
      </c>
      <c r="E209" s="37">
        <f>D209*'16-PlantAdditions'!$E$103</f>
        <v>1102442.25</v>
      </c>
      <c r="F209" s="37">
        <f t="shared" ref="F209:F211" si="38">E209+D209</f>
        <v>15801672.25</v>
      </c>
      <c r="G209" s="787">
        <v>90000</v>
      </c>
      <c r="H209" s="787">
        <v>0</v>
      </c>
      <c r="I209" s="37">
        <f>(G209-H209)*'16-PlantAdditions'!$E$103</f>
        <v>6750</v>
      </c>
      <c r="J209" s="37">
        <f t="shared" ref="J209:J211" si="39">J208+F209-G209-I209</f>
        <v>537764593.43999994</v>
      </c>
      <c r="K209" s="37">
        <f t="shared" si="37"/>
        <v>309538221.02999997</v>
      </c>
    </row>
    <row r="210" spans="1:11" s="474" customFormat="1">
      <c r="A210" s="64">
        <f t="shared" si="34"/>
        <v>156</v>
      </c>
      <c r="B210" s="439" t="s">
        <v>362</v>
      </c>
      <c r="C210" s="437">
        <v>2020</v>
      </c>
      <c r="D210" s="787">
        <v>9928100</v>
      </c>
      <c r="E210" s="37">
        <f>D210*'16-PlantAdditions'!$E$103</f>
        <v>744607.5</v>
      </c>
      <c r="F210" s="37">
        <f t="shared" si="38"/>
        <v>10672707.5</v>
      </c>
      <c r="G210" s="787">
        <v>190000</v>
      </c>
      <c r="H210" s="787">
        <v>0</v>
      </c>
      <c r="I210" s="37">
        <f>(G210-H210)*'16-PlantAdditions'!$E$103</f>
        <v>14250</v>
      </c>
      <c r="J210" s="37">
        <f t="shared" si="39"/>
        <v>548233050.93999994</v>
      </c>
      <c r="K210" s="37">
        <f t="shared" si="37"/>
        <v>320006678.52999997</v>
      </c>
    </row>
    <row r="211" spans="1:11" s="474" customFormat="1">
      <c r="A211" s="64">
        <f t="shared" si="34"/>
        <v>157</v>
      </c>
      <c r="B211" s="439" t="s">
        <v>350</v>
      </c>
      <c r="C211" s="437">
        <v>2020</v>
      </c>
      <c r="D211" s="787">
        <v>7930724</v>
      </c>
      <c r="E211" s="37">
        <f>D211*'16-PlantAdditions'!$E$103</f>
        <v>594804.29999999993</v>
      </c>
      <c r="F211" s="37">
        <f t="shared" si="38"/>
        <v>8525528.3000000007</v>
      </c>
      <c r="G211" s="787">
        <v>230000</v>
      </c>
      <c r="H211" s="787">
        <v>0</v>
      </c>
      <c r="I211" s="37">
        <f>(G211-H211)*'16-PlantAdditions'!$E$103</f>
        <v>17250</v>
      </c>
      <c r="J211" s="37">
        <f t="shared" si="39"/>
        <v>556511329.23999989</v>
      </c>
      <c r="K211" s="65">
        <f t="shared" si="37"/>
        <v>328284956.82999992</v>
      </c>
    </row>
    <row r="212" spans="1:11" s="474" customFormat="1">
      <c r="A212" s="64">
        <f t="shared" si="34"/>
        <v>158</v>
      </c>
      <c r="B212" s="768"/>
      <c r="C212" s="473" t="s">
        <v>1096</v>
      </c>
      <c r="D212" s="768"/>
      <c r="E212" s="768"/>
      <c r="F212" s="768"/>
      <c r="G212" s="768"/>
      <c r="H212" s="768"/>
      <c r="I212" s="768"/>
      <c r="J212" s="768"/>
      <c r="K212" s="43">
        <f>AVERAGE(K199:K211)</f>
        <v>249763228.39923066</v>
      </c>
    </row>
    <row r="213" spans="1:11" s="474" customFormat="1">
      <c r="A213" s="64"/>
      <c r="B213" s="768"/>
      <c r="C213" s="473"/>
      <c r="D213" s="768"/>
      <c r="E213" s="768"/>
      <c r="F213" s="768"/>
      <c r="G213" s="768"/>
      <c r="H213" s="768"/>
      <c r="I213" s="768"/>
      <c r="J213" s="768"/>
      <c r="K213" s="43"/>
    </row>
    <row r="214" spans="1:11" s="474" customFormat="1">
      <c r="B214" s="475" t="s">
        <v>1110</v>
      </c>
      <c r="D214" s="1135" t="s">
        <v>1069</v>
      </c>
      <c r="E214" s="1135"/>
    </row>
    <row r="215" spans="1:11" s="474" customFormat="1">
      <c r="B215" s="475"/>
      <c r="D215" s="469" t="s">
        <v>307</v>
      </c>
      <c r="E215" s="469" t="s">
        <v>308</v>
      </c>
      <c r="F215" s="469" t="s">
        <v>309</v>
      </c>
      <c r="G215" s="469" t="s">
        <v>310</v>
      </c>
      <c r="H215" s="469" t="s">
        <v>311</v>
      </c>
      <c r="I215" s="469" t="s">
        <v>312</v>
      </c>
      <c r="J215" s="469" t="s">
        <v>313</v>
      </c>
      <c r="K215" s="469" t="s">
        <v>314</v>
      </c>
    </row>
    <row r="216" spans="1:11" s="474" customFormat="1" ht="38.25">
      <c r="B216" s="475"/>
      <c r="D216" s="476"/>
      <c r="E216" s="477" t="s">
        <v>1099</v>
      </c>
      <c r="F216" s="478" t="s">
        <v>1100</v>
      </c>
      <c r="G216" s="354"/>
      <c r="H216" s="476"/>
      <c r="I216" s="477" t="s">
        <v>1101</v>
      </c>
      <c r="J216" s="477" t="s">
        <v>1102</v>
      </c>
      <c r="K216" s="477" t="s">
        <v>1103</v>
      </c>
    </row>
    <row r="217" spans="1:11" s="474" customFormat="1">
      <c r="D217" s="476"/>
      <c r="E217" s="476"/>
      <c r="F217" s="476"/>
      <c r="G217" s="379" t="str">
        <f>G51</f>
        <v>Unloaded</v>
      </c>
      <c r="H217" s="476"/>
      <c r="I217" s="476"/>
    </row>
    <row r="218" spans="1:11" s="474" customFormat="1">
      <c r="A218" s="471"/>
      <c r="B218" s="471"/>
      <c r="C218" s="471"/>
      <c r="D218" s="471" t="str">
        <f>D$52</f>
        <v>Forecast</v>
      </c>
      <c r="E218" s="471" t="str">
        <f t="shared" ref="E218:J218" si="40">E$52</f>
        <v>Corporate</v>
      </c>
      <c r="F218" s="471" t="str">
        <f t="shared" si="40"/>
        <v xml:space="preserve">Total </v>
      </c>
      <c r="G218" s="379" t="str">
        <f>G52</f>
        <v>Total</v>
      </c>
      <c r="H218" s="471" t="str">
        <f t="shared" si="40"/>
        <v>Prior Period</v>
      </c>
      <c r="I218" s="471" t="str">
        <f t="shared" si="40"/>
        <v>Over Heads</v>
      </c>
      <c r="J218" s="471" t="str">
        <f t="shared" si="40"/>
        <v>Forecast</v>
      </c>
      <c r="K218" s="379" t="str">
        <f>K$52</f>
        <v>Forecast Period</v>
      </c>
    </row>
    <row r="219" spans="1:11" s="474" customFormat="1">
      <c r="A219" s="663" t="s">
        <v>243</v>
      </c>
      <c r="B219" s="435" t="s">
        <v>342</v>
      </c>
      <c r="C219" s="435" t="s">
        <v>343</v>
      </c>
      <c r="D219" s="469" t="str">
        <f>D$53</f>
        <v>Expenditures</v>
      </c>
      <c r="E219" s="469" t="str">
        <f t="shared" ref="E219:J219" si="41">E$53</f>
        <v>Overheads</v>
      </c>
      <c r="F219" s="469" t="str">
        <f t="shared" si="41"/>
        <v>CWIP Exp</v>
      </c>
      <c r="G219" s="74" t="str">
        <f>G53</f>
        <v>Plant Adds</v>
      </c>
      <c r="H219" s="469" t="str">
        <f t="shared" si="41"/>
        <v>CWIP Closed</v>
      </c>
      <c r="I219" s="469" t="str">
        <f t="shared" si="41"/>
        <v>Closed to PIS</v>
      </c>
      <c r="J219" s="469" t="str">
        <f t="shared" si="41"/>
        <v>Period CWIP</v>
      </c>
      <c r="K219" s="469" t="str">
        <f>K$53</f>
        <v>Incremental CWIP</v>
      </c>
    </row>
    <row r="220" spans="1:11" s="474" customFormat="1">
      <c r="A220" s="64">
        <f>A212+1</f>
        <v>159</v>
      </c>
      <c r="B220" s="436" t="s">
        <v>350</v>
      </c>
      <c r="C220" s="437">
        <v>2018</v>
      </c>
      <c r="D220" s="478" t="s">
        <v>351</v>
      </c>
      <c r="E220" s="478" t="s">
        <v>351</v>
      </c>
      <c r="F220" s="478" t="s">
        <v>351</v>
      </c>
      <c r="G220" s="478" t="s">
        <v>351</v>
      </c>
      <c r="H220" s="478" t="s">
        <v>351</v>
      </c>
      <c r="I220" s="478" t="s">
        <v>351</v>
      </c>
      <c r="J220" s="37">
        <f>I25</f>
        <v>0</v>
      </c>
      <c r="K220" s="478" t="s">
        <v>351</v>
      </c>
    </row>
    <row r="221" spans="1:11" s="474" customFormat="1">
      <c r="A221" s="64">
        <f>A220+1</f>
        <v>160</v>
      </c>
      <c r="B221" s="436" t="s">
        <v>352</v>
      </c>
      <c r="C221" s="437">
        <v>2019</v>
      </c>
      <c r="D221" s="787">
        <v>0</v>
      </c>
      <c r="E221" s="37">
        <f>D221*'16-PlantAdditions'!$E$103</f>
        <v>0</v>
      </c>
      <c r="F221" s="37">
        <f>E221+D221</f>
        <v>0</v>
      </c>
      <c r="G221" s="787">
        <v>0</v>
      </c>
      <c r="H221" s="787">
        <v>0</v>
      </c>
      <c r="I221" s="37">
        <f>(G221-H221)*'16-PlantAdditions'!$E$103</f>
        <v>0</v>
      </c>
      <c r="J221" s="37">
        <f>J220+F221-G221-I221</f>
        <v>0</v>
      </c>
      <c r="K221" s="37">
        <f>J221-$J$220</f>
        <v>0</v>
      </c>
    </row>
    <row r="222" spans="1:11" s="474" customFormat="1">
      <c r="A222" s="64">
        <f t="shared" ref="A222:A245" si="42">A221+1</f>
        <v>161</v>
      </c>
      <c r="B222" s="439" t="s">
        <v>353</v>
      </c>
      <c r="C222" s="437">
        <v>2019</v>
      </c>
      <c r="D222" s="787">
        <v>0</v>
      </c>
      <c r="E222" s="37">
        <f>D222*'16-PlantAdditions'!$E$103</f>
        <v>0</v>
      </c>
      <c r="F222" s="37">
        <f t="shared" ref="F222:F241" si="43">E222+D222</f>
        <v>0</v>
      </c>
      <c r="G222" s="787">
        <v>0</v>
      </c>
      <c r="H222" s="787">
        <v>0</v>
      </c>
      <c r="I222" s="37">
        <f>(G222-H222)*'16-PlantAdditions'!$E$103</f>
        <v>0</v>
      </c>
      <c r="J222" s="37">
        <f t="shared" ref="J222:J241" si="44">J221+F222-G222-I222</f>
        <v>0</v>
      </c>
      <c r="K222" s="37">
        <f t="shared" ref="K222:K244" si="45">J222-$J$220</f>
        <v>0</v>
      </c>
    </row>
    <row r="223" spans="1:11" s="474" customFormat="1">
      <c r="A223" s="64">
        <f t="shared" si="42"/>
        <v>162</v>
      </c>
      <c r="B223" s="439" t="s">
        <v>354</v>
      </c>
      <c r="C223" s="437">
        <v>2019</v>
      </c>
      <c r="D223" s="787">
        <v>0</v>
      </c>
      <c r="E223" s="37">
        <f>D223*'16-PlantAdditions'!$E$103</f>
        <v>0</v>
      </c>
      <c r="F223" s="37">
        <f t="shared" si="43"/>
        <v>0</v>
      </c>
      <c r="G223" s="787">
        <v>0</v>
      </c>
      <c r="H223" s="787">
        <v>0</v>
      </c>
      <c r="I223" s="37">
        <f>(G223-H223)*'16-PlantAdditions'!$E$103</f>
        <v>0</v>
      </c>
      <c r="J223" s="37">
        <f t="shared" si="44"/>
        <v>0</v>
      </c>
      <c r="K223" s="37">
        <f t="shared" si="45"/>
        <v>0</v>
      </c>
    </row>
    <row r="224" spans="1:11" s="474" customFormat="1">
      <c r="A224" s="64">
        <f t="shared" si="42"/>
        <v>163</v>
      </c>
      <c r="B224" s="436" t="s">
        <v>355</v>
      </c>
      <c r="C224" s="437">
        <v>2019</v>
      </c>
      <c r="D224" s="787">
        <v>0</v>
      </c>
      <c r="E224" s="37">
        <f>D224*'16-PlantAdditions'!$E$103</f>
        <v>0</v>
      </c>
      <c r="F224" s="37">
        <f t="shared" si="43"/>
        <v>0</v>
      </c>
      <c r="G224" s="787">
        <v>0</v>
      </c>
      <c r="H224" s="787">
        <v>0</v>
      </c>
      <c r="I224" s="37">
        <f>(G224-H224)*'16-PlantAdditions'!$E$103</f>
        <v>0</v>
      </c>
      <c r="J224" s="37">
        <f t="shared" si="44"/>
        <v>0</v>
      </c>
      <c r="K224" s="37">
        <f t="shared" si="45"/>
        <v>0</v>
      </c>
    </row>
    <row r="225" spans="1:11" s="474" customFormat="1">
      <c r="A225" s="64">
        <f t="shared" si="42"/>
        <v>164</v>
      </c>
      <c r="B225" s="439" t="s">
        <v>356</v>
      </c>
      <c r="C225" s="437">
        <v>2019</v>
      </c>
      <c r="D225" s="787">
        <v>0</v>
      </c>
      <c r="E225" s="37">
        <f>D225*'16-PlantAdditions'!$E$103</f>
        <v>0</v>
      </c>
      <c r="F225" s="37">
        <f t="shared" si="43"/>
        <v>0</v>
      </c>
      <c r="G225" s="787">
        <v>0</v>
      </c>
      <c r="H225" s="787">
        <v>0</v>
      </c>
      <c r="I225" s="37">
        <f>(G225-H225)*'16-PlantAdditions'!$E$103</f>
        <v>0</v>
      </c>
      <c r="J225" s="37">
        <f t="shared" si="44"/>
        <v>0</v>
      </c>
      <c r="K225" s="37">
        <f t="shared" si="45"/>
        <v>0</v>
      </c>
    </row>
    <row r="226" spans="1:11" s="474" customFormat="1">
      <c r="A226" s="64">
        <f t="shared" si="42"/>
        <v>165</v>
      </c>
      <c r="B226" s="439" t="s">
        <v>540</v>
      </c>
      <c r="C226" s="437">
        <v>2019</v>
      </c>
      <c r="D226" s="787">
        <v>0</v>
      </c>
      <c r="E226" s="37">
        <f>D226*'16-PlantAdditions'!$E$103</f>
        <v>0</v>
      </c>
      <c r="F226" s="37">
        <f t="shared" si="43"/>
        <v>0</v>
      </c>
      <c r="G226" s="787">
        <v>0</v>
      </c>
      <c r="H226" s="787">
        <v>0</v>
      </c>
      <c r="I226" s="37">
        <f>(G226-H226)*'16-PlantAdditions'!$E$103</f>
        <v>0</v>
      </c>
      <c r="J226" s="37">
        <f t="shared" si="44"/>
        <v>0</v>
      </c>
      <c r="K226" s="37">
        <f t="shared" si="45"/>
        <v>0</v>
      </c>
    </row>
    <row r="227" spans="1:11" s="474" customFormat="1">
      <c r="A227" s="64">
        <f t="shared" si="42"/>
        <v>166</v>
      </c>
      <c r="B227" s="436" t="s">
        <v>358</v>
      </c>
      <c r="C227" s="437">
        <v>2019</v>
      </c>
      <c r="D227" s="787">
        <v>0</v>
      </c>
      <c r="E227" s="37">
        <f>D227*'16-PlantAdditions'!$E$103</f>
        <v>0</v>
      </c>
      <c r="F227" s="37">
        <f t="shared" si="43"/>
        <v>0</v>
      </c>
      <c r="G227" s="787">
        <v>0</v>
      </c>
      <c r="H227" s="787">
        <v>0</v>
      </c>
      <c r="I227" s="37">
        <f>(G227-H227)*'16-PlantAdditions'!$E$103</f>
        <v>0</v>
      </c>
      <c r="J227" s="37">
        <f t="shared" si="44"/>
        <v>0</v>
      </c>
      <c r="K227" s="37">
        <f t="shared" si="45"/>
        <v>0</v>
      </c>
    </row>
    <row r="228" spans="1:11" s="474" customFormat="1">
      <c r="A228" s="64">
        <f t="shared" si="42"/>
        <v>167</v>
      </c>
      <c r="B228" s="439" t="s">
        <v>359</v>
      </c>
      <c r="C228" s="437">
        <v>2019</v>
      </c>
      <c r="D228" s="787">
        <v>0</v>
      </c>
      <c r="E228" s="37">
        <f>D228*'16-PlantAdditions'!$E$103</f>
        <v>0</v>
      </c>
      <c r="F228" s="37">
        <f t="shared" si="43"/>
        <v>0</v>
      </c>
      <c r="G228" s="787">
        <v>0</v>
      </c>
      <c r="H228" s="787">
        <v>0</v>
      </c>
      <c r="I228" s="37">
        <f>(G228-H228)*'16-PlantAdditions'!$E$103</f>
        <v>0</v>
      </c>
      <c r="J228" s="37">
        <f t="shared" si="44"/>
        <v>0</v>
      </c>
      <c r="K228" s="37">
        <f t="shared" si="45"/>
        <v>0</v>
      </c>
    </row>
    <row r="229" spans="1:11" s="474" customFormat="1">
      <c r="A229" s="64">
        <f t="shared" si="42"/>
        <v>168</v>
      </c>
      <c r="B229" s="439" t="s">
        <v>360</v>
      </c>
      <c r="C229" s="437">
        <v>2019</v>
      </c>
      <c r="D229" s="787">
        <v>0</v>
      </c>
      <c r="E229" s="37">
        <f>D229*'16-PlantAdditions'!$E$103</f>
        <v>0</v>
      </c>
      <c r="F229" s="37">
        <f t="shared" si="43"/>
        <v>0</v>
      </c>
      <c r="G229" s="787">
        <v>0</v>
      </c>
      <c r="H229" s="787">
        <v>0</v>
      </c>
      <c r="I229" s="37">
        <f>(G229-H229)*'16-PlantAdditions'!$E$103</f>
        <v>0</v>
      </c>
      <c r="J229" s="37">
        <f t="shared" si="44"/>
        <v>0</v>
      </c>
      <c r="K229" s="37">
        <f t="shared" si="45"/>
        <v>0</v>
      </c>
    </row>
    <row r="230" spans="1:11" s="474" customFormat="1">
      <c r="A230" s="64">
        <f t="shared" si="42"/>
        <v>169</v>
      </c>
      <c r="B230" s="436" t="s">
        <v>361</v>
      </c>
      <c r="C230" s="437">
        <v>2019</v>
      </c>
      <c r="D230" s="787">
        <v>0</v>
      </c>
      <c r="E230" s="37">
        <f>D230*'16-PlantAdditions'!$E$103</f>
        <v>0</v>
      </c>
      <c r="F230" s="37">
        <f t="shared" si="43"/>
        <v>0</v>
      </c>
      <c r="G230" s="787">
        <v>0</v>
      </c>
      <c r="H230" s="787">
        <v>0</v>
      </c>
      <c r="I230" s="37">
        <f>(G230-H230)*'16-PlantAdditions'!$E$103</f>
        <v>0</v>
      </c>
      <c r="J230" s="37">
        <f t="shared" si="44"/>
        <v>0</v>
      </c>
      <c r="K230" s="37">
        <f t="shared" si="45"/>
        <v>0</v>
      </c>
    </row>
    <row r="231" spans="1:11" s="474" customFormat="1">
      <c r="A231" s="64">
        <f t="shared" si="42"/>
        <v>170</v>
      </c>
      <c r="B231" s="436" t="s">
        <v>362</v>
      </c>
      <c r="C231" s="437">
        <v>2019</v>
      </c>
      <c r="D231" s="787">
        <v>0</v>
      </c>
      <c r="E231" s="37">
        <f>D231*'16-PlantAdditions'!$E$103</f>
        <v>0</v>
      </c>
      <c r="F231" s="37">
        <f t="shared" si="43"/>
        <v>0</v>
      </c>
      <c r="G231" s="787">
        <v>0</v>
      </c>
      <c r="H231" s="787">
        <v>0</v>
      </c>
      <c r="I231" s="37">
        <f>(G231-H231)*'16-PlantAdditions'!$E$103</f>
        <v>0</v>
      </c>
      <c r="J231" s="37">
        <f t="shared" si="44"/>
        <v>0</v>
      </c>
      <c r="K231" s="37">
        <f t="shared" si="45"/>
        <v>0</v>
      </c>
    </row>
    <row r="232" spans="1:11" s="474" customFormat="1">
      <c r="A232" s="64">
        <f t="shared" si="42"/>
        <v>171</v>
      </c>
      <c r="B232" s="436" t="s">
        <v>350</v>
      </c>
      <c r="C232" s="437">
        <v>2019</v>
      </c>
      <c r="D232" s="787">
        <v>0</v>
      </c>
      <c r="E232" s="37">
        <f>D232*'16-PlantAdditions'!$E$103</f>
        <v>0</v>
      </c>
      <c r="F232" s="37">
        <f t="shared" si="43"/>
        <v>0</v>
      </c>
      <c r="G232" s="787">
        <v>0</v>
      </c>
      <c r="H232" s="787">
        <v>0</v>
      </c>
      <c r="I232" s="37">
        <f>(G232-H232)*'16-PlantAdditions'!$E$103</f>
        <v>0</v>
      </c>
      <c r="J232" s="37">
        <f t="shared" si="44"/>
        <v>0</v>
      </c>
      <c r="K232" s="37">
        <f t="shared" si="45"/>
        <v>0</v>
      </c>
    </row>
    <row r="233" spans="1:11" s="474" customFormat="1">
      <c r="A233" s="64">
        <f t="shared" si="42"/>
        <v>172</v>
      </c>
      <c r="B233" s="436" t="s">
        <v>352</v>
      </c>
      <c r="C233" s="437">
        <v>2020</v>
      </c>
      <c r="D233" s="787">
        <v>0</v>
      </c>
      <c r="E233" s="37">
        <f>D233*'16-PlantAdditions'!$E$103</f>
        <v>0</v>
      </c>
      <c r="F233" s="37">
        <f t="shared" si="43"/>
        <v>0</v>
      </c>
      <c r="G233" s="787">
        <v>0</v>
      </c>
      <c r="H233" s="787">
        <v>0</v>
      </c>
      <c r="I233" s="37">
        <f>(G233-H233)*'16-PlantAdditions'!$E$103</f>
        <v>0</v>
      </c>
      <c r="J233" s="37">
        <f t="shared" si="44"/>
        <v>0</v>
      </c>
      <c r="K233" s="37">
        <f t="shared" si="45"/>
        <v>0</v>
      </c>
    </row>
    <row r="234" spans="1:11" s="474" customFormat="1">
      <c r="A234" s="64">
        <f t="shared" si="42"/>
        <v>173</v>
      </c>
      <c r="B234" s="439" t="s">
        <v>353</v>
      </c>
      <c r="C234" s="437">
        <v>2020</v>
      </c>
      <c r="D234" s="787">
        <v>0</v>
      </c>
      <c r="E234" s="37">
        <f>D234*'16-PlantAdditions'!$E$103</f>
        <v>0</v>
      </c>
      <c r="F234" s="37">
        <f t="shared" si="43"/>
        <v>0</v>
      </c>
      <c r="G234" s="787">
        <v>0</v>
      </c>
      <c r="H234" s="787">
        <v>0</v>
      </c>
      <c r="I234" s="37">
        <f>(G234-H234)*'16-PlantAdditions'!$E$103</f>
        <v>0</v>
      </c>
      <c r="J234" s="37">
        <f t="shared" si="44"/>
        <v>0</v>
      </c>
      <c r="K234" s="37">
        <f t="shared" si="45"/>
        <v>0</v>
      </c>
    </row>
    <row r="235" spans="1:11" s="474" customFormat="1">
      <c r="A235" s="64">
        <f t="shared" si="42"/>
        <v>174</v>
      </c>
      <c r="B235" s="439" t="s">
        <v>354</v>
      </c>
      <c r="C235" s="437">
        <v>2020</v>
      </c>
      <c r="D235" s="787">
        <v>0</v>
      </c>
      <c r="E235" s="37">
        <f>D235*'16-PlantAdditions'!$E$103</f>
        <v>0</v>
      </c>
      <c r="F235" s="37">
        <f t="shared" si="43"/>
        <v>0</v>
      </c>
      <c r="G235" s="787">
        <v>0</v>
      </c>
      <c r="H235" s="787">
        <v>0</v>
      </c>
      <c r="I235" s="37">
        <f>(G235-H235)*'16-PlantAdditions'!$E$103</f>
        <v>0</v>
      </c>
      <c r="J235" s="37">
        <f t="shared" si="44"/>
        <v>0</v>
      </c>
      <c r="K235" s="37">
        <f t="shared" si="45"/>
        <v>0</v>
      </c>
    </row>
    <row r="236" spans="1:11" s="474" customFormat="1">
      <c r="A236" s="64">
        <f t="shared" si="42"/>
        <v>175</v>
      </c>
      <c r="B236" s="436" t="s">
        <v>355</v>
      </c>
      <c r="C236" s="437">
        <v>2020</v>
      </c>
      <c r="D236" s="787">
        <v>0</v>
      </c>
      <c r="E236" s="37">
        <f>D236*'16-PlantAdditions'!$E$103</f>
        <v>0</v>
      </c>
      <c r="F236" s="37">
        <f t="shared" si="43"/>
        <v>0</v>
      </c>
      <c r="G236" s="787">
        <v>0</v>
      </c>
      <c r="H236" s="787">
        <v>0</v>
      </c>
      <c r="I236" s="37">
        <f>(G236-H236)*'16-PlantAdditions'!$E$103</f>
        <v>0</v>
      </c>
      <c r="J236" s="37">
        <f t="shared" si="44"/>
        <v>0</v>
      </c>
      <c r="K236" s="37">
        <f t="shared" si="45"/>
        <v>0</v>
      </c>
    </row>
    <row r="237" spans="1:11" s="474" customFormat="1">
      <c r="A237" s="64">
        <f t="shared" si="42"/>
        <v>176</v>
      </c>
      <c r="B237" s="439" t="s">
        <v>356</v>
      </c>
      <c r="C237" s="437">
        <v>2020</v>
      </c>
      <c r="D237" s="787">
        <v>0</v>
      </c>
      <c r="E237" s="37">
        <f>D237*'16-PlantAdditions'!$E$103</f>
        <v>0</v>
      </c>
      <c r="F237" s="37">
        <f t="shared" si="43"/>
        <v>0</v>
      </c>
      <c r="G237" s="787">
        <v>0</v>
      </c>
      <c r="H237" s="787">
        <v>0</v>
      </c>
      <c r="I237" s="37">
        <f>(G237-H237)*'16-PlantAdditions'!$E$103</f>
        <v>0</v>
      </c>
      <c r="J237" s="37">
        <f t="shared" si="44"/>
        <v>0</v>
      </c>
      <c r="K237" s="37">
        <f t="shared" si="45"/>
        <v>0</v>
      </c>
    </row>
    <row r="238" spans="1:11" s="474" customFormat="1">
      <c r="A238" s="64">
        <f t="shared" si="42"/>
        <v>177</v>
      </c>
      <c r="B238" s="439" t="s">
        <v>540</v>
      </c>
      <c r="C238" s="437">
        <v>2020</v>
      </c>
      <c r="D238" s="787">
        <v>0</v>
      </c>
      <c r="E238" s="37">
        <f>D238*'16-PlantAdditions'!$E$103</f>
        <v>0</v>
      </c>
      <c r="F238" s="37">
        <f t="shared" si="43"/>
        <v>0</v>
      </c>
      <c r="G238" s="787">
        <v>0</v>
      </c>
      <c r="H238" s="787">
        <v>0</v>
      </c>
      <c r="I238" s="37">
        <f>(G238-H238)*'16-PlantAdditions'!$E$103</f>
        <v>0</v>
      </c>
      <c r="J238" s="37">
        <f t="shared" si="44"/>
        <v>0</v>
      </c>
      <c r="K238" s="37">
        <f t="shared" si="45"/>
        <v>0</v>
      </c>
    </row>
    <row r="239" spans="1:11" s="474" customFormat="1">
      <c r="A239" s="64">
        <f t="shared" si="42"/>
        <v>178</v>
      </c>
      <c r="B239" s="436" t="s">
        <v>358</v>
      </c>
      <c r="C239" s="437">
        <v>2020</v>
      </c>
      <c r="D239" s="787">
        <v>0</v>
      </c>
      <c r="E239" s="37">
        <f>D239*'16-PlantAdditions'!$E$103</f>
        <v>0</v>
      </c>
      <c r="F239" s="37">
        <f t="shared" si="43"/>
        <v>0</v>
      </c>
      <c r="G239" s="787">
        <v>0</v>
      </c>
      <c r="H239" s="787">
        <v>0</v>
      </c>
      <c r="I239" s="37">
        <f>(G239-H239)*'16-PlantAdditions'!$E$103</f>
        <v>0</v>
      </c>
      <c r="J239" s="37">
        <f t="shared" si="44"/>
        <v>0</v>
      </c>
      <c r="K239" s="37">
        <f t="shared" si="45"/>
        <v>0</v>
      </c>
    </row>
    <row r="240" spans="1:11" s="474" customFormat="1">
      <c r="A240" s="64">
        <f t="shared" si="42"/>
        <v>179</v>
      </c>
      <c r="B240" s="439" t="s">
        <v>359</v>
      </c>
      <c r="C240" s="437">
        <v>2020</v>
      </c>
      <c r="D240" s="787">
        <v>0</v>
      </c>
      <c r="E240" s="37">
        <f>D240*'16-PlantAdditions'!$E$103</f>
        <v>0</v>
      </c>
      <c r="F240" s="37">
        <f t="shared" si="43"/>
        <v>0</v>
      </c>
      <c r="G240" s="787">
        <v>0</v>
      </c>
      <c r="H240" s="787">
        <v>0</v>
      </c>
      <c r="I240" s="37">
        <f>(G240-H240)*'16-PlantAdditions'!$E$103</f>
        <v>0</v>
      </c>
      <c r="J240" s="37">
        <f t="shared" si="44"/>
        <v>0</v>
      </c>
      <c r="K240" s="37">
        <f t="shared" si="45"/>
        <v>0</v>
      </c>
    </row>
    <row r="241" spans="1:11" s="474" customFormat="1">
      <c r="A241" s="64">
        <f t="shared" si="42"/>
        <v>180</v>
      </c>
      <c r="B241" s="439" t="s">
        <v>360</v>
      </c>
      <c r="C241" s="437">
        <v>2020</v>
      </c>
      <c r="D241" s="787">
        <v>0</v>
      </c>
      <c r="E241" s="37">
        <f>D241*'16-PlantAdditions'!$E$103</f>
        <v>0</v>
      </c>
      <c r="F241" s="37">
        <f t="shared" si="43"/>
        <v>0</v>
      </c>
      <c r="G241" s="787">
        <v>0</v>
      </c>
      <c r="H241" s="787">
        <v>0</v>
      </c>
      <c r="I241" s="37">
        <f>(G241-H241)*'16-PlantAdditions'!$E$103</f>
        <v>0</v>
      </c>
      <c r="J241" s="37">
        <f t="shared" si="44"/>
        <v>0</v>
      </c>
      <c r="K241" s="37">
        <f t="shared" si="45"/>
        <v>0</v>
      </c>
    </row>
    <row r="242" spans="1:11" s="474" customFormat="1">
      <c r="A242" s="64">
        <f t="shared" si="42"/>
        <v>181</v>
      </c>
      <c r="B242" s="439" t="s">
        <v>361</v>
      </c>
      <c r="C242" s="437">
        <v>2020</v>
      </c>
      <c r="D242" s="787">
        <v>0</v>
      </c>
      <c r="E242" s="37">
        <f>D242*'16-PlantAdditions'!$E$103</f>
        <v>0</v>
      </c>
      <c r="F242" s="37">
        <f t="shared" ref="F242:F244" si="46">E242+D242</f>
        <v>0</v>
      </c>
      <c r="G242" s="787">
        <v>0</v>
      </c>
      <c r="H242" s="787">
        <v>0</v>
      </c>
      <c r="I242" s="37">
        <f>(G242-H242)*'16-PlantAdditions'!$E$103</f>
        <v>0</v>
      </c>
      <c r="J242" s="37">
        <f t="shared" ref="J242:J244" si="47">J241+F242-G242-I242</f>
        <v>0</v>
      </c>
      <c r="K242" s="37">
        <f t="shared" si="45"/>
        <v>0</v>
      </c>
    </row>
    <row r="243" spans="1:11" s="474" customFormat="1">
      <c r="A243" s="64">
        <f t="shared" si="42"/>
        <v>182</v>
      </c>
      <c r="B243" s="439" t="s">
        <v>362</v>
      </c>
      <c r="C243" s="437">
        <v>2020</v>
      </c>
      <c r="D243" s="787">
        <v>0</v>
      </c>
      <c r="E243" s="37">
        <f>D243*'16-PlantAdditions'!$E$103</f>
        <v>0</v>
      </c>
      <c r="F243" s="37">
        <f t="shared" si="46"/>
        <v>0</v>
      </c>
      <c r="G243" s="787">
        <v>0</v>
      </c>
      <c r="H243" s="787">
        <v>0</v>
      </c>
      <c r="I243" s="37">
        <f>(G243-H243)*'16-PlantAdditions'!$E$103</f>
        <v>0</v>
      </c>
      <c r="J243" s="37">
        <f t="shared" si="47"/>
        <v>0</v>
      </c>
      <c r="K243" s="37">
        <f t="shared" si="45"/>
        <v>0</v>
      </c>
    </row>
    <row r="244" spans="1:11" s="474" customFormat="1">
      <c r="A244" s="64">
        <f t="shared" si="42"/>
        <v>183</v>
      </c>
      <c r="B244" s="439" t="s">
        <v>350</v>
      </c>
      <c r="C244" s="437">
        <v>2020</v>
      </c>
      <c r="D244" s="787">
        <v>0</v>
      </c>
      <c r="E244" s="37">
        <f>D244*'16-PlantAdditions'!$E$103</f>
        <v>0</v>
      </c>
      <c r="F244" s="37">
        <f t="shared" si="46"/>
        <v>0</v>
      </c>
      <c r="G244" s="787">
        <v>0</v>
      </c>
      <c r="H244" s="787">
        <v>0</v>
      </c>
      <c r="I244" s="37">
        <f>(G244-H244)*'16-PlantAdditions'!$E$103</f>
        <v>0</v>
      </c>
      <c r="J244" s="37">
        <f t="shared" si="47"/>
        <v>0</v>
      </c>
      <c r="K244" s="65">
        <f t="shared" si="45"/>
        <v>0</v>
      </c>
    </row>
    <row r="245" spans="1:11" s="474" customFormat="1">
      <c r="A245" s="64">
        <f t="shared" si="42"/>
        <v>184</v>
      </c>
      <c r="B245" s="768"/>
      <c r="C245" s="473" t="s">
        <v>1096</v>
      </c>
      <c r="D245" s="768"/>
      <c r="E245" s="768"/>
      <c r="F245" s="768"/>
      <c r="G245" s="768"/>
      <c r="H245" s="768"/>
      <c r="I245" s="768"/>
      <c r="J245" s="768"/>
      <c r="K245" s="43">
        <f>AVERAGE(K232:K244)</f>
        <v>0</v>
      </c>
    </row>
    <row r="246" spans="1:11" s="474" customFormat="1">
      <c r="A246" s="64"/>
      <c r="B246" s="768"/>
      <c r="C246" s="473"/>
      <c r="D246" s="768"/>
      <c r="E246" s="768"/>
      <c r="F246" s="768"/>
      <c r="G246" s="768"/>
      <c r="H246" s="768"/>
      <c r="I246" s="768"/>
      <c r="J246" s="768"/>
      <c r="K246" s="43"/>
    </row>
    <row r="247" spans="1:11" s="474" customFormat="1">
      <c r="B247" s="475" t="s">
        <v>1111</v>
      </c>
      <c r="D247" s="1135" t="s">
        <v>1112</v>
      </c>
      <c r="E247" s="1135"/>
    </row>
    <row r="248" spans="1:11" s="474" customFormat="1">
      <c r="A248" s="469"/>
      <c r="B248" s="469"/>
      <c r="C248" s="469"/>
      <c r="D248" s="469" t="s">
        <v>307</v>
      </c>
      <c r="E248" s="469" t="s">
        <v>308</v>
      </c>
      <c r="F248" s="469" t="s">
        <v>309</v>
      </c>
      <c r="G248" s="469" t="s">
        <v>310</v>
      </c>
      <c r="H248" s="469" t="s">
        <v>311</v>
      </c>
      <c r="I248" s="469" t="s">
        <v>312</v>
      </c>
      <c r="J248" s="469" t="s">
        <v>313</v>
      </c>
      <c r="K248" s="469" t="s">
        <v>314</v>
      </c>
    </row>
    <row r="249" spans="1:11" s="474" customFormat="1" ht="38.25">
      <c r="D249" s="476"/>
      <c r="E249" s="477" t="s">
        <v>1099</v>
      </c>
      <c r="F249" s="478" t="s">
        <v>1100</v>
      </c>
      <c r="G249" s="354"/>
      <c r="H249" s="476"/>
      <c r="I249" s="477" t="s">
        <v>1101</v>
      </c>
      <c r="J249" s="477" t="s">
        <v>1102</v>
      </c>
      <c r="K249" s="477" t="s">
        <v>1103</v>
      </c>
    </row>
    <row r="250" spans="1:11" s="474" customFormat="1">
      <c r="D250" s="476"/>
      <c r="E250" s="476"/>
      <c r="F250" s="476"/>
      <c r="G250" s="379" t="s">
        <v>1113</v>
      </c>
      <c r="H250" s="476"/>
      <c r="I250" s="476"/>
    </row>
    <row r="251" spans="1:11" s="474" customFormat="1">
      <c r="A251" s="471"/>
      <c r="B251" s="471"/>
      <c r="C251" s="471"/>
      <c r="D251" s="471" t="str">
        <f>D$52</f>
        <v>Forecast</v>
      </c>
      <c r="E251" s="471" t="str">
        <f t="shared" ref="E251:J251" si="48">E$52</f>
        <v>Corporate</v>
      </c>
      <c r="F251" s="471" t="str">
        <f t="shared" si="48"/>
        <v xml:space="preserve">Total </v>
      </c>
      <c r="G251" s="471" t="s">
        <v>388</v>
      </c>
      <c r="H251" s="471" t="str">
        <f t="shared" si="48"/>
        <v>Prior Period</v>
      </c>
      <c r="I251" s="471" t="str">
        <f t="shared" si="48"/>
        <v>Over Heads</v>
      </c>
      <c r="J251" s="471" t="str">
        <f t="shared" si="48"/>
        <v>Forecast</v>
      </c>
      <c r="K251" s="379" t="str">
        <f>K$52</f>
        <v>Forecast Period</v>
      </c>
    </row>
    <row r="252" spans="1:11" s="474" customFormat="1">
      <c r="A252" s="663" t="s">
        <v>243</v>
      </c>
      <c r="B252" s="435" t="s">
        <v>342</v>
      </c>
      <c r="C252" s="435" t="s">
        <v>343</v>
      </c>
      <c r="D252" s="469" t="str">
        <f>D$53</f>
        <v>Expenditures</v>
      </c>
      <c r="E252" s="469" t="str">
        <f t="shared" ref="E252:J252" si="49">E$53</f>
        <v>Overheads</v>
      </c>
      <c r="F252" s="469" t="str">
        <f t="shared" si="49"/>
        <v>CWIP Exp</v>
      </c>
      <c r="G252" s="469" t="s">
        <v>1091</v>
      </c>
      <c r="H252" s="469" t="str">
        <f t="shared" si="49"/>
        <v>CWIP Closed</v>
      </c>
      <c r="I252" s="469" t="str">
        <f t="shared" si="49"/>
        <v>Closed to PIS</v>
      </c>
      <c r="J252" s="469" t="str">
        <f t="shared" si="49"/>
        <v>Period CWIP</v>
      </c>
      <c r="K252" s="469" t="str">
        <f>K$53</f>
        <v>Incremental CWIP</v>
      </c>
    </row>
    <row r="253" spans="1:11" s="474" customFormat="1">
      <c r="A253" s="64">
        <f>A245+1</f>
        <v>185</v>
      </c>
      <c r="B253" s="436" t="s">
        <v>350</v>
      </c>
      <c r="C253" s="437">
        <v>2018</v>
      </c>
      <c r="D253" s="478" t="s">
        <v>351</v>
      </c>
      <c r="E253" s="478" t="s">
        <v>351</v>
      </c>
      <c r="F253" s="478" t="s">
        <v>351</v>
      </c>
      <c r="G253" s="478" t="s">
        <v>351</v>
      </c>
      <c r="H253" s="478" t="s">
        <v>351</v>
      </c>
      <c r="I253" s="478" t="s">
        <v>351</v>
      </c>
      <c r="J253" s="37">
        <f>D45</f>
        <v>0</v>
      </c>
      <c r="K253" s="478" t="s">
        <v>351</v>
      </c>
    </row>
    <row r="254" spans="1:11" s="474" customFormat="1">
      <c r="A254" s="64">
        <f>A253+1</f>
        <v>186</v>
      </c>
      <c r="B254" s="436" t="s">
        <v>352</v>
      </c>
      <c r="C254" s="437">
        <v>2019</v>
      </c>
      <c r="D254" s="787">
        <v>1819</v>
      </c>
      <c r="E254" s="37">
        <f>D254*'16-PlantAdditions'!$E$103</f>
        <v>136.42499999999998</v>
      </c>
      <c r="F254" s="37">
        <f>E254+D254</f>
        <v>1955.425</v>
      </c>
      <c r="G254" s="787">
        <v>1819</v>
      </c>
      <c r="H254" s="787">
        <v>0</v>
      </c>
      <c r="I254" s="37">
        <f>(G254-H254)*'16-PlantAdditions'!$E$103</f>
        <v>136.42499999999998</v>
      </c>
      <c r="J254" s="37">
        <f>J253+F254-G254-I254</f>
        <v>0</v>
      </c>
      <c r="K254" s="37">
        <f>J254-$J$253</f>
        <v>0</v>
      </c>
    </row>
    <row r="255" spans="1:11" s="474" customFormat="1">
      <c r="A255" s="64">
        <f t="shared" ref="A255:A278" si="50">A254+1</f>
        <v>187</v>
      </c>
      <c r="B255" s="439" t="s">
        <v>353</v>
      </c>
      <c r="C255" s="437">
        <v>2019</v>
      </c>
      <c r="D255" s="787">
        <v>2660</v>
      </c>
      <c r="E255" s="37">
        <f>D255*'16-PlantAdditions'!$E$103</f>
        <v>199.5</v>
      </c>
      <c r="F255" s="37">
        <f t="shared" ref="F255:F274" si="51">E255+D255</f>
        <v>2859.5</v>
      </c>
      <c r="G255" s="787">
        <v>2660</v>
      </c>
      <c r="H255" s="787">
        <v>0</v>
      </c>
      <c r="I255" s="37">
        <f>(G255-H255)*'16-PlantAdditions'!$E$103</f>
        <v>199.5</v>
      </c>
      <c r="J255" s="37">
        <f t="shared" ref="J255:J274" si="52">J254+F255-G255-I255</f>
        <v>0</v>
      </c>
      <c r="K255" s="37">
        <f t="shared" ref="K255:K277" si="53">J255-$J$253</f>
        <v>0</v>
      </c>
    </row>
    <row r="256" spans="1:11" s="474" customFormat="1">
      <c r="A256" s="64">
        <f t="shared" si="50"/>
        <v>188</v>
      </c>
      <c r="B256" s="439" t="s">
        <v>354</v>
      </c>
      <c r="C256" s="437">
        <v>2019</v>
      </c>
      <c r="D256" s="787">
        <v>2620</v>
      </c>
      <c r="E256" s="37">
        <f>D256*'16-PlantAdditions'!$E$103</f>
        <v>196.5</v>
      </c>
      <c r="F256" s="37">
        <f t="shared" si="51"/>
        <v>2816.5</v>
      </c>
      <c r="G256" s="787">
        <v>2620</v>
      </c>
      <c r="H256" s="787">
        <v>0</v>
      </c>
      <c r="I256" s="37">
        <f>(G256-H256)*'16-PlantAdditions'!$E$103</f>
        <v>196.5</v>
      </c>
      <c r="J256" s="37">
        <f t="shared" si="52"/>
        <v>0</v>
      </c>
      <c r="K256" s="37">
        <f t="shared" si="53"/>
        <v>0</v>
      </c>
    </row>
    <row r="257" spans="1:11" s="474" customFormat="1">
      <c r="A257" s="64">
        <f t="shared" si="50"/>
        <v>189</v>
      </c>
      <c r="B257" s="436" t="s">
        <v>355</v>
      </c>
      <c r="C257" s="437">
        <v>2019</v>
      </c>
      <c r="D257" s="787">
        <v>30</v>
      </c>
      <c r="E257" s="37">
        <f>D257*'16-PlantAdditions'!$E$103</f>
        <v>2.25</v>
      </c>
      <c r="F257" s="37">
        <f t="shared" si="51"/>
        <v>32.25</v>
      </c>
      <c r="G257" s="787">
        <v>30</v>
      </c>
      <c r="H257" s="787">
        <v>0</v>
      </c>
      <c r="I257" s="37">
        <f>(G257-H257)*'16-PlantAdditions'!$E$103</f>
        <v>2.25</v>
      </c>
      <c r="J257" s="37">
        <f t="shared" si="52"/>
        <v>0</v>
      </c>
      <c r="K257" s="37">
        <f t="shared" si="53"/>
        <v>0</v>
      </c>
    </row>
    <row r="258" spans="1:11" s="474" customFormat="1">
      <c r="A258" s="64">
        <f t="shared" si="50"/>
        <v>190</v>
      </c>
      <c r="B258" s="439" t="s">
        <v>356</v>
      </c>
      <c r="C258" s="437">
        <v>2019</v>
      </c>
      <c r="D258" s="787">
        <v>0</v>
      </c>
      <c r="E258" s="37">
        <f>D258*'16-PlantAdditions'!$E$103</f>
        <v>0</v>
      </c>
      <c r="F258" s="37">
        <f t="shared" si="51"/>
        <v>0</v>
      </c>
      <c r="G258" s="787">
        <v>0</v>
      </c>
      <c r="H258" s="787">
        <v>0</v>
      </c>
      <c r="I258" s="37">
        <f>(G258-H258)*'16-PlantAdditions'!$E$103</f>
        <v>0</v>
      </c>
      <c r="J258" s="37">
        <f t="shared" si="52"/>
        <v>0</v>
      </c>
      <c r="K258" s="37">
        <f t="shared" si="53"/>
        <v>0</v>
      </c>
    </row>
    <row r="259" spans="1:11" s="474" customFormat="1">
      <c r="A259" s="64">
        <f t="shared" si="50"/>
        <v>191</v>
      </c>
      <c r="B259" s="439" t="s">
        <v>540</v>
      </c>
      <c r="C259" s="437">
        <v>2019</v>
      </c>
      <c r="D259" s="787">
        <v>0</v>
      </c>
      <c r="E259" s="37">
        <f>D259*'16-PlantAdditions'!$E$103</f>
        <v>0</v>
      </c>
      <c r="F259" s="37">
        <f t="shared" si="51"/>
        <v>0</v>
      </c>
      <c r="G259" s="787">
        <v>0</v>
      </c>
      <c r="H259" s="787">
        <v>0</v>
      </c>
      <c r="I259" s="37">
        <f>(G259-H259)*'16-PlantAdditions'!$E$103</f>
        <v>0</v>
      </c>
      <c r="J259" s="37">
        <f>J258+F259-G259-I259</f>
        <v>0</v>
      </c>
      <c r="K259" s="37">
        <f t="shared" si="53"/>
        <v>0</v>
      </c>
    </row>
    <row r="260" spans="1:11" s="474" customFormat="1">
      <c r="A260" s="64">
        <f t="shared" si="50"/>
        <v>192</v>
      </c>
      <c r="B260" s="436" t="s">
        <v>358</v>
      </c>
      <c r="C260" s="437">
        <v>2019</v>
      </c>
      <c r="D260" s="787">
        <v>0</v>
      </c>
      <c r="E260" s="37">
        <f>D260*'16-PlantAdditions'!$E$103</f>
        <v>0</v>
      </c>
      <c r="F260" s="37">
        <f t="shared" si="51"/>
        <v>0</v>
      </c>
      <c r="G260" s="787">
        <v>0</v>
      </c>
      <c r="H260" s="787">
        <v>0</v>
      </c>
      <c r="I260" s="37">
        <f>(G260-H260)*'16-PlantAdditions'!$E$103</f>
        <v>0</v>
      </c>
      <c r="J260" s="37">
        <f t="shared" si="52"/>
        <v>0</v>
      </c>
      <c r="K260" s="37">
        <f t="shared" si="53"/>
        <v>0</v>
      </c>
    </row>
    <row r="261" spans="1:11" s="474" customFormat="1">
      <c r="A261" s="64">
        <f t="shared" si="50"/>
        <v>193</v>
      </c>
      <c r="B261" s="439" t="s">
        <v>359</v>
      </c>
      <c r="C261" s="437">
        <v>2019</v>
      </c>
      <c r="D261" s="787">
        <v>0</v>
      </c>
      <c r="E261" s="37">
        <f>D261*'16-PlantAdditions'!$E$103</f>
        <v>0</v>
      </c>
      <c r="F261" s="37">
        <f t="shared" si="51"/>
        <v>0</v>
      </c>
      <c r="G261" s="787">
        <v>0</v>
      </c>
      <c r="H261" s="787">
        <v>0</v>
      </c>
      <c r="I261" s="37">
        <f>(G261-H261)*'16-PlantAdditions'!$E$103</f>
        <v>0</v>
      </c>
      <c r="J261" s="37">
        <f t="shared" si="52"/>
        <v>0</v>
      </c>
      <c r="K261" s="37">
        <f t="shared" si="53"/>
        <v>0</v>
      </c>
    </row>
    <row r="262" spans="1:11" s="474" customFormat="1">
      <c r="A262" s="64">
        <f t="shared" si="50"/>
        <v>194</v>
      </c>
      <c r="B262" s="439" t="s">
        <v>360</v>
      </c>
      <c r="C262" s="437">
        <v>2019</v>
      </c>
      <c r="D262" s="787">
        <v>0</v>
      </c>
      <c r="E262" s="37">
        <f>D262*'16-PlantAdditions'!$E$103</f>
        <v>0</v>
      </c>
      <c r="F262" s="37">
        <f t="shared" si="51"/>
        <v>0</v>
      </c>
      <c r="G262" s="787">
        <v>0</v>
      </c>
      <c r="H262" s="787">
        <v>0</v>
      </c>
      <c r="I262" s="37">
        <f>(G262-H262)*'16-PlantAdditions'!$E$103</f>
        <v>0</v>
      </c>
      <c r="J262" s="37">
        <f t="shared" si="52"/>
        <v>0</v>
      </c>
      <c r="K262" s="37">
        <f t="shared" si="53"/>
        <v>0</v>
      </c>
    </row>
    <row r="263" spans="1:11" s="474" customFormat="1">
      <c r="A263" s="64">
        <f t="shared" si="50"/>
        <v>195</v>
      </c>
      <c r="B263" s="436" t="s">
        <v>361</v>
      </c>
      <c r="C263" s="437">
        <v>2019</v>
      </c>
      <c r="D263" s="787">
        <v>0</v>
      </c>
      <c r="E263" s="37">
        <f>D263*'16-PlantAdditions'!$E$103</f>
        <v>0</v>
      </c>
      <c r="F263" s="37">
        <f t="shared" si="51"/>
        <v>0</v>
      </c>
      <c r="G263" s="787">
        <v>0</v>
      </c>
      <c r="H263" s="787">
        <v>0</v>
      </c>
      <c r="I263" s="37">
        <f>(G263-H263)*'16-PlantAdditions'!$E$103</f>
        <v>0</v>
      </c>
      <c r="J263" s="37">
        <f t="shared" si="52"/>
        <v>0</v>
      </c>
      <c r="K263" s="37">
        <f t="shared" si="53"/>
        <v>0</v>
      </c>
    </row>
    <row r="264" spans="1:11" s="474" customFormat="1">
      <c r="A264" s="64">
        <f t="shared" si="50"/>
        <v>196</v>
      </c>
      <c r="B264" s="436" t="s">
        <v>362</v>
      </c>
      <c r="C264" s="437">
        <v>2019</v>
      </c>
      <c r="D264" s="787">
        <v>0</v>
      </c>
      <c r="E264" s="37">
        <f>D264*'16-PlantAdditions'!$E$103</f>
        <v>0</v>
      </c>
      <c r="F264" s="37">
        <f t="shared" si="51"/>
        <v>0</v>
      </c>
      <c r="G264" s="787">
        <v>0</v>
      </c>
      <c r="H264" s="787">
        <v>0</v>
      </c>
      <c r="I264" s="37">
        <f>(G264-H264)*'16-PlantAdditions'!$E$103</f>
        <v>0</v>
      </c>
      <c r="J264" s="37">
        <f t="shared" si="52"/>
        <v>0</v>
      </c>
      <c r="K264" s="37">
        <f t="shared" si="53"/>
        <v>0</v>
      </c>
    </row>
    <row r="265" spans="1:11" s="474" customFormat="1">
      <c r="A265" s="64">
        <f t="shared" si="50"/>
        <v>197</v>
      </c>
      <c r="B265" s="436" t="s">
        <v>350</v>
      </c>
      <c r="C265" s="437">
        <v>2019</v>
      </c>
      <c r="D265" s="787">
        <v>0</v>
      </c>
      <c r="E265" s="37">
        <f>D265*'16-PlantAdditions'!$E$103</f>
        <v>0</v>
      </c>
      <c r="F265" s="37">
        <f t="shared" si="51"/>
        <v>0</v>
      </c>
      <c r="G265" s="787">
        <v>0</v>
      </c>
      <c r="H265" s="787">
        <v>0</v>
      </c>
      <c r="I265" s="37">
        <f>(G265-H265)*'16-PlantAdditions'!$E$103</f>
        <v>0</v>
      </c>
      <c r="J265" s="37">
        <f t="shared" si="52"/>
        <v>0</v>
      </c>
      <c r="K265" s="37">
        <f t="shared" si="53"/>
        <v>0</v>
      </c>
    </row>
    <row r="266" spans="1:11" s="474" customFormat="1">
      <c r="A266" s="64">
        <f t="shared" si="50"/>
        <v>198</v>
      </c>
      <c r="B266" s="436" t="s">
        <v>352</v>
      </c>
      <c r="C266" s="437">
        <v>2020</v>
      </c>
      <c r="D266" s="787">
        <v>0</v>
      </c>
      <c r="E266" s="37">
        <f>D266*'16-PlantAdditions'!$E$103</f>
        <v>0</v>
      </c>
      <c r="F266" s="37">
        <f t="shared" si="51"/>
        <v>0</v>
      </c>
      <c r="G266" s="787">
        <v>0</v>
      </c>
      <c r="H266" s="787">
        <v>0</v>
      </c>
      <c r="I266" s="37">
        <f>(G266-H266)*'16-PlantAdditions'!$E$103</f>
        <v>0</v>
      </c>
      <c r="J266" s="37">
        <f t="shared" si="52"/>
        <v>0</v>
      </c>
      <c r="K266" s="37">
        <f t="shared" si="53"/>
        <v>0</v>
      </c>
    </row>
    <row r="267" spans="1:11" s="474" customFormat="1">
      <c r="A267" s="64">
        <f t="shared" si="50"/>
        <v>199</v>
      </c>
      <c r="B267" s="439" t="s">
        <v>353</v>
      </c>
      <c r="C267" s="437">
        <v>2020</v>
      </c>
      <c r="D267" s="787">
        <v>0</v>
      </c>
      <c r="E267" s="37">
        <f>D267*'16-PlantAdditions'!$E$103</f>
        <v>0</v>
      </c>
      <c r="F267" s="37">
        <f t="shared" si="51"/>
        <v>0</v>
      </c>
      <c r="G267" s="787">
        <v>0</v>
      </c>
      <c r="H267" s="787">
        <v>0</v>
      </c>
      <c r="I267" s="37">
        <f>(G267-H267)*'16-PlantAdditions'!$E$103</f>
        <v>0</v>
      </c>
      <c r="J267" s="37">
        <f t="shared" si="52"/>
        <v>0</v>
      </c>
      <c r="K267" s="37">
        <f t="shared" si="53"/>
        <v>0</v>
      </c>
    </row>
    <row r="268" spans="1:11" s="474" customFormat="1">
      <c r="A268" s="64">
        <f t="shared" si="50"/>
        <v>200</v>
      </c>
      <c r="B268" s="439" t="s">
        <v>354</v>
      </c>
      <c r="C268" s="437">
        <v>2020</v>
      </c>
      <c r="D268" s="787">
        <v>0</v>
      </c>
      <c r="E268" s="37">
        <f>D268*'16-PlantAdditions'!$E$103</f>
        <v>0</v>
      </c>
      <c r="F268" s="37">
        <f t="shared" si="51"/>
        <v>0</v>
      </c>
      <c r="G268" s="787">
        <v>0</v>
      </c>
      <c r="H268" s="787">
        <v>0</v>
      </c>
      <c r="I268" s="37">
        <f>(G268-H268)*'16-PlantAdditions'!$E$103</f>
        <v>0</v>
      </c>
      <c r="J268" s="37">
        <f t="shared" si="52"/>
        <v>0</v>
      </c>
      <c r="K268" s="37">
        <f t="shared" si="53"/>
        <v>0</v>
      </c>
    </row>
    <row r="269" spans="1:11" s="474" customFormat="1">
      <c r="A269" s="64">
        <f t="shared" si="50"/>
        <v>201</v>
      </c>
      <c r="B269" s="436" t="s">
        <v>355</v>
      </c>
      <c r="C269" s="437">
        <v>2020</v>
      </c>
      <c r="D269" s="787">
        <v>0</v>
      </c>
      <c r="E269" s="37">
        <f>D269*'16-PlantAdditions'!$E$103</f>
        <v>0</v>
      </c>
      <c r="F269" s="37">
        <f t="shared" si="51"/>
        <v>0</v>
      </c>
      <c r="G269" s="787">
        <v>0</v>
      </c>
      <c r="H269" s="787">
        <v>0</v>
      </c>
      <c r="I269" s="37">
        <f>(G269-H269)*'16-PlantAdditions'!$E$103</f>
        <v>0</v>
      </c>
      <c r="J269" s="37">
        <f t="shared" si="52"/>
        <v>0</v>
      </c>
      <c r="K269" s="37">
        <f t="shared" si="53"/>
        <v>0</v>
      </c>
    </row>
    <row r="270" spans="1:11" s="474" customFormat="1">
      <c r="A270" s="64">
        <f t="shared" si="50"/>
        <v>202</v>
      </c>
      <c r="B270" s="439" t="s">
        <v>356</v>
      </c>
      <c r="C270" s="437">
        <v>2020</v>
      </c>
      <c r="D270" s="787">
        <v>0</v>
      </c>
      <c r="E270" s="37">
        <f>D270*'16-PlantAdditions'!$E$103</f>
        <v>0</v>
      </c>
      <c r="F270" s="37">
        <f t="shared" si="51"/>
        <v>0</v>
      </c>
      <c r="G270" s="787">
        <v>0</v>
      </c>
      <c r="H270" s="787">
        <v>0</v>
      </c>
      <c r="I270" s="37">
        <f>(G270-H270)*'16-PlantAdditions'!$E$103</f>
        <v>0</v>
      </c>
      <c r="J270" s="37">
        <f t="shared" si="52"/>
        <v>0</v>
      </c>
      <c r="K270" s="37">
        <f t="shared" si="53"/>
        <v>0</v>
      </c>
    </row>
    <row r="271" spans="1:11" s="474" customFormat="1">
      <c r="A271" s="64">
        <f t="shared" si="50"/>
        <v>203</v>
      </c>
      <c r="B271" s="439" t="s">
        <v>540</v>
      </c>
      <c r="C271" s="437">
        <v>2020</v>
      </c>
      <c r="D271" s="787">
        <v>0</v>
      </c>
      <c r="E271" s="37">
        <f>D271*'16-PlantAdditions'!$E$103</f>
        <v>0</v>
      </c>
      <c r="F271" s="37">
        <f t="shared" si="51"/>
        <v>0</v>
      </c>
      <c r="G271" s="787">
        <v>0</v>
      </c>
      <c r="H271" s="787">
        <v>0</v>
      </c>
      <c r="I271" s="37">
        <f>(G271-H271)*'16-PlantAdditions'!$E$103</f>
        <v>0</v>
      </c>
      <c r="J271" s="37">
        <f t="shared" si="52"/>
        <v>0</v>
      </c>
      <c r="K271" s="37">
        <f t="shared" si="53"/>
        <v>0</v>
      </c>
    </row>
    <row r="272" spans="1:11" s="474" customFormat="1">
      <c r="A272" s="64">
        <f t="shared" si="50"/>
        <v>204</v>
      </c>
      <c r="B272" s="436" t="s">
        <v>358</v>
      </c>
      <c r="C272" s="437">
        <v>2020</v>
      </c>
      <c r="D272" s="787">
        <v>0</v>
      </c>
      <c r="E272" s="37">
        <f>D272*'16-PlantAdditions'!$E$103</f>
        <v>0</v>
      </c>
      <c r="F272" s="37">
        <f t="shared" si="51"/>
        <v>0</v>
      </c>
      <c r="G272" s="787">
        <v>0</v>
      </c>
      <c r="H272" s="787">
        <v>0</v>
      </c>
      <c r="I272" s="37">
        <f>(G272-H272)*'16-PlantAdditions'!$E$103</f>
        <v>0</v>
      </c>
      <c r="J272" s="37">
        <f t="shared" si="52"/>
        <v>0</v>
      </c>
      <c r="K272" s="37">
        <f t="shared" si="53"/>
        <v>0</v>
      </c>
    </row>
    <row r="273" spans="1:11" s="474" customFormat="1">
      <c r="A273" s="64">
        <f t="shared" si="50"/>
        <v>205</v>
      </c>
      <c r="B273" s="439" t="s">
        <v>359</v>
      </c>
      <c r="C273" s="437">
        <v>2020</v>
      </c>
      <c r="D273" s="787">
        <v>0</v>
      </c>
      <c r="E273" s="37">
        <f>D273*'16-PlantAdditions'!$E$103</f>
        <v>0</v>
      </c>
      <c r="F273" s="37">
        <f t="shared" si="51"/>
        <v>0</v>
      </c>
      <c r="G273" s="787">
        <v>0</v>
      </c>
      <c r="H273" s="787">
        <v>0</v>
      </c>
      <c r="I273" s="37">
        <f>(G273-H273)*'16-PlantAdditions'!$E$103</f>
        <v>0</v>
      </c>
      <c r="J273" s="37">
        <f t="shared" si="52"/>
        <v>0</v>
      </c>
      <c r="K273" s="37">
        <f t="shared" si="53"/>
        <v>0</v>
      </c>
    </row>
    <row r="274" spans="1:11" s="474" customFormat="1">
      <c r="A274" s="64">
        <f t="shared" si="50"/>
        <v>206</v>
      </c>
      <c r="B274" s="439" t="s">
        <v>360</v>
      </c>
      <c r="C274" s="437">
        <v>2020</v>
      </c>
      <c r="D274" s="787">
        <v>0</v>
      </c>
      <c r="E274" s="37">
        <f>D274*'16-PlantAdditions'!$E$103</f>
        <v>0</v>
      </c>
      <c r="F274" s="37">
        <f t="shared" si="51"/>
        <v>0</v>
      </c>
      <c r="G274" s="787">
        <v>0</v>
      </c>
      <c r="H274" s="787">
        <v>0</v>
      </c>
      <c r="I274" s="37">
        <f>(G274-H274)*'16-PlantAdditions'!$E$103</f>
        <v>0</v>
      </c>
      <c r="J274" s="37">
        <f t="shared" si="52"/>
        <v>0</v>
      </c>
      <c r="K274" s="37">
        <f t="shared" si="53"/>
        <v>0</v>
      </c>
    </row>
    <row r="275" spans="1:11" s="474" customFormat="1">
      <c r="A275" s="64">
        <f t="shared" si="50"/>
        <v>207</v>
      </c>
      <c r="B275" s="439" t="s">
        <v>361</v>
      </c>
      <c r="C275" s="437">
        <v>2020</v>
      </c>
      <c r="D275" s="787">
        <v>0</v>
      </c>
      <c r="E275" s="37">
        <f>D275*'16-PlantAdditions'!$E$103</f>
        <v>0</v>
      </c>
      <c r="F275" s="37">
        <f t="shared" ref="F275:F277" si="54">E275+D275</f>
        <v>0</v>
      </c>
      <c r="G275" s="787">
        <v>0</v>
      </c>
      <c r="H275" s="787">
        <v>0</v>
      </c>
      <c r="I275" s="37">
        <f>(G275-H275)*'16-PlantAdditions'!$E$103</f>
        <v>0</v>
      </c>
      <c r="J275" s="37">
        <f t="shared" ref="J275:J277" si="55">J274+F275-G275-I275</f>
        <v>0</v>
      </c>
      <c r="K275" s="37">
        <f t="shared" si="53"/>
        <v>0</v>
      </c>
    </row>
    <row r="276" spans="1:11" s="474" customFormat="1">
      <c r="A276" s="64">
        <f t="shared" si="50"/>
        <v>208</v>
      </c>
      <c r="B276" s="439" t="s">
        <v>362</v>
      </c>
      <c r="C276" s="437">
        <v>2020</v>
      </c>
      <c r="D276" s="787">
        <v>0</v>
      </c>
      <c r="E276" s="37">
        <f>D276*'16-PlantAdditions'!$E$103</f>
        <v>0</v>
      </c>
      <c r="F276" s="37">
        <f t="shared" si="54"/>
        <v>0</v>
      </c>
      <c r="G276" s="787">
        <v>0</v>
      </c>
      <c r="H276" s="787">
        <v>0</v>
      </c>
      <c r="I276" s="37">
        <f>(G276-H276)*'16-PlantAdditions'!$E$103</f>
        <v>0</v>
      </c>
      <c r="J276" s="37">
        <f t="shared" si="55"/>
        <v>0</v>
      </c>
      <c r="K276" s="37">
        <f t="shared" si="53"/>
        <v>0</v>
      </c>
    </row>
    <row r="277" spans="1:11" s="474" customFormat="1">
      <c r="A277" s="64">
        <f t="shared" si="50"/>
        <v>209</v>
      </c>
      <c r="B277" s="439" t="s">
        <v>350</v>
      </c>
      <c r="C277" s="437">
        <v>2020</v>
      </c>
      <c r="D277" s="787">
        <v>0</v>
      </c>
      <c r="E277" s="37">
        <f>D277*'16-PlantAdditions'!$E$103</f>
        <v>0</v>
      </c>
      <c r="F277" s="37">
        <f t="shared" si="54"/>
        <v>0</v>
      </c>
      <c r="G277" s="787">
        <v>0</v>
      </c>
      <c r="H277" s="787">
        <v>0</v>
      </c>
      <c r="I277" s="37">
        <f>(G277-H277)*'16-PlantAdditions'!$E$103</f>
        <v>0</v>
      </c>
      <c r="J277" s="37">
        <f t="shared" si="55"/>
        <v>0</v>
      </c>
      <c r="K277" s="65">
        <f t="shared" si="53"/>
        <v>0</v>
      </c>
    </row>
    <row r="278" spans="1:11" s="474" customFormat="1">
      <c r="A278" s="64">
        <f t="shared" si="50"/>
        <v>210</v>
      </c>
      <c r="B278" s="768"/>
      <c r="C278" s="473" t="s">
        <v>1096</v>
      </c>
      <c r="D278" s="768"/>
      <c r="E278" s="768"/>
      <c r="F278" s="768"/>
      <c r="G278" s="768"/>
      <c r="H278" s="768"/>
      <c r="I278" s="768"/>
      <c r="J278" s="768"/>
      <c r="K278" s="43">
        <f>AVERAGE(K265:K277)</f>
        <v>0</v>
      </c>
    </row>
    <row r="279" spans="1:11" s="474" customFormat="1" ht="12.75" customHeight="1">
      <c r="A279" s="64"/>
      <c r="B279" s="768"/>
      <c r="C279" s="473"/>
      <c r="D279" s="768"/>
      <c r="E279" s="768"/>
      <c r="F279" s="768"/>
      <c r="G279" s="768"/>
      <c r="H279" s="768"/>
      <c r="I279" s="768"/>
      <c r="J279" s="768"/>
      <c r="K279" s="43"/>
    </row>
    <row r="280" spans="1:11" s="474" customFormat="1">
      <c r="B280" s="475" t="s">
        <v>1114</v>
      </c>
      <c r="D280" s="1135" t="s">
        <v>1115</v>
      </c>
      <c r="E280" s="1135"/>
    </row>
    <row r="281" spans="1:11" s="474" customFormat="1">
      <c r="B281" s="475"/>
      <c r="D281" s="469" t="s">
        <v>307</v>
      </c>
      <c r="E281" s="469" t="s">
        <v>308</v>
      </c>
      <c r="F281" s="469" t="s">
        <v>309</v>
      </c>
      <c r="G281" s="469" t="s">
        <v>310</v>
      </c>
      <c r="H281" s="469" t="s">
        <v>311</v>
      </c>
      <c r="I281" s="469" t="s">
        <v>312</v>
      </c>
      <c r="J281" s="469" t="s">
        <v>313</v>
      </c>
      <c r="K281" s="469" t="s">
        <v>314</v>
      </c>
    </row>
    <row r="282" spans="1:11" s="474" customFormat="1" ht="38.25">
      <c r="B282" s="475"/>
      <c r="D282" s="476"/>
      <c r="E282" s="477" t="s">
        <v>1099</v>
      </c>
      <c r="F282" s="478" t="s">
        <v>1100</v>
      </c>
      <c r="G282" s="354"/>
      <c r="H282" s="476"/>
      <c r="I282" s="477" t="s">
        <v>1101</v>
      </c>
      <c r="J282" s="477" t="s">
        <v>1102</v>
      </c>
      <c r="K282" s="477" t="s">
        <v>1103</v>
      </c>
    </row>
    <row r="283" spans="1:11" s="474" customFormat="1">
      <c r="D283" s="476"/>
      <c r="E283" s="477"/>
      <c r="F283" s="478"/>
      <c r="G283" s="471" t="str">
        <f>G51</f>
        <v>Unloaded</v>
      </c>
      <c r="H283" s="476"/>
      <c r="I283" s="477"/>
      <c r="J283" s="477"/>
      <c r="K283" s="477"/>
    </row>
    <row r="284" spans="1:11" s="474" customFormat="1">
      <c r="A284" s="471"/>
      <c r="B284" s="471"/>
      <c r="C284" s="471"/>
      <c r="D284" s="471" t="str">
        <f>D$52</f>
        <v>Forecast</v>
      </c>
      <c r="E284" s="471" t="str">
        <f t="shared" ref="E284:J284" si="56">E$52</f>
        <v>Corporate</v>
      </c>
      <c r="F284" s="471" t="str">
        <f t="shared" si="56"/>
        <v xml:space="preserve">Total </v>
      </c>
      <c r="G284" s="471" t="str">
        <f>G52</f>
        <v>Total</v>
      </c>
      <c r="H284" s="471" t="str">
        <f t="shared" si="56"/>
        <v>Prior Period</v>
      </c>
      <c r="I284" s="471" t="str">
        <f t="shared" si="56"/>
        <v>Over Heads</v>
      </c>
      <c r="J284" s="471" t="str">
        <f t="shared" si="56"/>
        <v>Forecast</v>
      </c>
      <c r="K284" s="379" t="str">
        <f>K$52</f>
        <v>Forecast Period</v>
      </c>
    </row>
    <row r="285" spans="1:11" s="474" customFormat="1">
      <c r="A285" s="663" t="s">
        <v>243</v>
      </c>
      <c r="B285" s="435" t="s">
        <v>342</v>
      </c>
      <c r="C285" s="435" t="s">
        <v>343</v>
      </c>
      <c r="D285" s="469" t="str">
        <f>D$53</f>
        <v>Expenditures</v>
      </c>
      <c r="E285" s="469" t="str">
        <f t="shared" ref="E285:J285" si="57">E$53</f>
        <v>Overheads</v>
      </c>
      <c r="F285" s="469" t="str">
        <f t="shared" si="57"/>
        <v>CWIP Exp</v>
      </c>
      <c r="G285" s="469" t="str">
        <f>G53</f>
        <v>Plant Adds</v>
      </c>
      <c r="H285" s="469" t="str">
        <f t="shared" si="57"/>
        <v>CWIP Closed</v>
      </c>
      <c r="I285" s="469" t="str">
        <f t="shared" si="57"/>
        <v>Closed to PIS</v>
      </c>
      <c r="J285" s="469" t="str">
        <f t="shared" si="57"/>
        <v>Period CWIP</v>
      </c>
      <c r="K285" s="469" t="str">
        <f>K$53</f>
        <v>Incremental CWIP</v>
      </c>
    </row>
    <row r="286" spans="1:11" s="474" customFormat="1">
      <c r="A286" s="64">
        <f>A278+1</f>
        <v>211</v>
      </c>
      <c r="B286" s="436" t="s">
        <v>350</v>
      </c>
      <c r="C286" s="437">
        <v>2018</v>
      </c>
      <c r="D286" s="478" t="s">
        <v>351</v>
      </c>
      <c r="E286" s="478" t="s">
        <v>351</v>
      </c>
      <c r="F286" s="478" t="s">
        <v>351</v>
      </c>
      <c r="G286" s="478" t="s">
        <v>351</v>
      </c>
      <c r="H286" s="478" t="s">
        <v>351</v>
      </c>
      <c r="I286" s="478" t="s">
        <v>351</v>
      </c>
      <c r="J286" s="37">
        <f>E45</f>
        <v>0</v>
      </c>
      <c r="K286" s="478" t="s">
        <v>351</v>
      </c>
    </row>
    <row r="287" spans="1:11" s="474" customFormat="1">
      <c r="A287" s="64">
        <f>A286+1</f>
        <v>212</v>
      </c>
      <c r="B287" s="436" t="s">
        <v>352</v>
      </c>
      <c r="C287" s="437">
        <v>2019</v>
      </c>
      <c r="D287" s="787">
        <v>2068.5600000000004</v>
      </c>
      <c r="E287" s="37">
        <f>D287*'16-PlantAdditions'!$E$103</f>
        <v>155.14200000000002</v>
      </c>
      <c r="F287" s="37">
        <f>E287+D287</f>
        <v>2223.7020000000002</v>
      </c>
      <c r="G287" s="787">
        <v>0</v>
      </c>
      <c r="H287" s="787">
        <v>0</v>
      </c>
      <c r="I287" s="37">
        <f>(G287-H287)*'16-PlantAdditions'!$E$103</f>
        <v>0</v>
      </c>
      <c r="J287" s="37">
        <f>J286+F287-G287-I287</f>
        <v>2223.7020000000002</v>
      </c>
      <c r="K287" s="37">
        <f>J287-$J$286</f>
        <v>2223.7020000000002</v>
      </c>
    </row>
    <row r="288" spans="1:11" s="474" customFormat="1">
      <c r="A288" s="64">
        <f t="shared" ref="A288:A311" si="58">A287+1</f>
        <v>213</v>
      </c>
      <c r="B288" s="439" t="s">
        <v>353</v>
      </c>
      <c r="C288" s="437">
        <v>2019</v>
      </c>
      <c r="D288" s="787">
        <v>1119</v>
      </c>
      <c r="E288" s="37">
        <f>D288*'16-PlantAdditions'!$E$103</f>
        <v>83.924999999999997</v>
      </c>
      <c r="F288" s="37">
        <f t="shared" ref="F288:F307" si="59">E288+D288</f>
        <v>1202.925</v>
      </c>
      <c r="G288" s="787">
        <v>0</v>
      </c>
      <c r="H288" s="787">
        <v>0</v>
      </c>
      <c r="I288" s="37">
        <f>(G288-H288)*'16-PlantAdditions'!$E$103</f>
        <v>0</v>
      </c>
      <c r="J288" s="37">
        <f t="shared" ref="J288:J307" si="60">J287+F288-G288-I288</f>
        <v>3426.6270000000004</v>
      </c>
      <c r="K288" s="37">
        <f t="shared" ref="K288:K310" si="61">J288-$J$286</f>
        <v>3426.6270000000004</v>
      </c>
    </row>
    <row r="289" spans="1:13" s="474" customFormat="1">
      <c r="A289" s="64">
        <f t="shared" si="58"/>
        <v>214</v>
      </c>
      <c r="B289" s="439" t="s">
        <v>354</v>
      </c>
      <c r="C289" s="437">
        <v>2019</v>
      </c>
      <c r="D289" s="787">
        <v>3700.32</v>
      </c>
      <c r="E289" s="37">
        <f>D289*'16-PlantAdditions'!$E$103</f>
        <v>277.524</v>
      </c>
      <c r="F289" s="37">
        <f t="shared" si="59"/>
        <v>3977.8440000000001</v>
      </c>
      <c r="G289" s="787">
        <v>0</v>
      </c>
      <c r="H289" s="787">
        <v>0</v>
      </c>
      <c r="I289" s="37">
        <f>(G289-H289)*'16-PlantAdditions'!$E$103</f>
        <v>0</v>
      </c>
      <c r="J289" s="37">
        <f t="shared" si="60"/>
        <v>7404.4710000000005</v>
      </c>
      <c r="K289" s="37">
        <f t="shared" si="61"/>
        <v>7404.4710000000005</v>
      </c>
    </row>
    <row r="290" spans="1:13" s="474" customFormat="1">
      <c r="A290" s="64">
        <f t="shared" si="58"/>
        <v>215</v>
      </c>
      <c r="B290" s="436" t="s">
        <v>355</v>
      </c>
      <c r="C290" s="437">
        <v>2019</v>
      </c>
      <c r="D290" s="787">
        <v>43679.124444444446</v>
      </c>
      <c r="E290" s="37">
        <f>D290*'16-PlantAdditions'!$E$103</f>
        <v>3275.9343333333331</v>
      </c>
      <c r="F290" s="37">
        <f t="shared" si="59"/>
        <v>46955.058777777776</v>
      </c>
      <c r="G290" s="787">
        <v>0</v>
      </c>
      <c r="H290" s="787">
        <v>0</v>
      </c>
      <c r="I290" s="37">
        <f>(G290-H290)*'16-PlantAdditions'!$E$103</f>
        <v>0</v>
      </c>
      <c r="J290" s="37">
        <f t="shared" si="60"/>
        <v>54359.529777777774</v>
      </c>
      <c r="K290" s="37">
        <f t="shared" si="61"/>
        <v>54359.529777777774</v>
      </c>
    </row>
    <row r="291" spans="1:13" s="474" customFormat="1">
      <c r="A291" s="64">
        <f t="shared" si="58"/>
        <v>216</v>
      </c>
      <c r="B291" s="439" t="s">
        <v>356</v>
      </c>
      <c r="C291" s="437">
        <v>2019</v>
      </c>
      <c r="D291" s="787">
        <v>43679.124444444446</v>
      </c>
      <c r="E291" s="37">
        <f>D291*'16-PlantAdditions'!$E$103</f>
        <v>3275.9343333333331</v>
      </c>
      <c r="F291" s="37">
        <f t="shared" si="59"/>
        <v>46955.058777777776</v>
      </c>
      <c r="G291" s="787">
        <v>0</v>
      </c>
      <c r="H291" s="787">
        <v>0</v>
      </c>
      <c r="I291" s="37">
        <f>(G291-H291)*'16-PlantAdditions'!$E$103</f>
        <v>0</v>
      </c>
      <c r="J291" s="37">
        <f t="shared" si="60"/>
        <v>101314.58855555556</v>
      </c>
      <c r="K291" s="37">
        <f t="shared" si="61"/>
        <v>101314.58855555556</v>
      </c>
      <c r="L291" s="471"/>
      <c r="M291" s="471"/>
    </row>
    <row r="292" spans="1:13" s="474" customFormat="1">
      <c r="A292" s="64">
        <f t="shared" si="58"/>
        <v>217</v>
      </c>
      <c r="B292" s="439" t="s">
        <v>540</v>
      </c>
      <c r="C292" s="437">
        <v>2019</v>
      </c>
      <c r="D292" s="787">
        <v>43679.124444444446</v>
      </c>
      <c r="E292" s="37">
        <f>D292*'16-PlantAdditions'!$E$103</f>
        <v>3275.9343333333331</v>
      </c>
      <c r="F292" s="37">
        <f t="shared" si="59"/>
        <v>46955.058777777776</v>
      </c>
      <c r="G292" s="787">
        <v>0</v>
      </c>
      <c r="H292" s="787">
        <v>0</v>
      </c>
      <c r="I292" s="37">
        <f>(G292-H292)*'16-PlantAdditions'!$E$103</f>
        <v>0</v>
      </c>
      <c r="J292" s="37">
        <f t="shared" si="60"/>
        <v>148269.64733333333</v>
      </c>
      <c r="K292" s="37">
        <f t="shared" si="61"/>
        <v>148269.64733333333</v>
      </c>
      <c r="L292" s="469"/>
      <c r="M292" s="469"/>
    </row>
    <row r="293" spans="1:13" s="474" customFormat="1">
      <c r="A293" s="64">
        <f t="shared" si="58"/>
        <v>218</v>
      </c>
      <c r="B293" s="436" t="s">
        <v>358</v>
      </c>
      <c r="C293" s="437">
        <v>2019</v>
      </c>
      <c r="D293" s="787">
        <v>43679.124444444446</v>
      </c>
      <c r="E293" s="37">
        <f>D293*'16-PlantAdditions'!$E$103</f>
        <v>3275.9343333333331</v>
      </c>
      <c r="F293" s="37">
        <f t="shared" si="59"/>
        <v>46955.058777777776</v>
      </c>
      <c r="G293" s="787">
        <v>0</v>
      </c>
      <c r="H293" s="787">
        <v>0</v>
      </c>
      <c r="I293" s="37">
        <f>(G293-H293)*'16-PlantAdditions'!$E$103</f>
        <v>0</v>
      </c>
      <c r="J293" s="37">
        <f t="shared" si="60"/>
        <v>195224.7061111111</v>
      </c>
      <c r="K293" s="37">
        <f t="shared" si="61"/>
        <v>195224.7061111111</v>
      </c>
    </row>
    <row r="294" spans="1:13" s="474" customFormat="1">
      <c r="A294" s="64">
        <f t="shared" si="58"/>
        <v>219</v>
      </c>
      <c r="B294" s="439" t="s">
        <v>359</v>
      </c>
      <c r="C294" s="437">
        <v>2019</v>
      </c>
      <c r="D294" s="787">
        <v>43679.124444444446</v>
      </c>
      <c r="E294" s="37">
        <f>D294*'16-PlantAdditions'!$E$103</f>
        <v>3275.9343333333331</v>
      </c>
      <c r="F294" s="37">
        <f t="shared" si="59"/>
        <v>46955.058777777776</v>
      </c>
      <c r="G294" s="787">
        <v>0</v>
      </c>
      <c r="H294" s="787">
        <v>0</v>
      </c>
      <c r="I294" s="37">
        <f>(G294-H294)*'16-PlantAdditions'!$E$103</f>
        <v>0</v>
      </c>
      <c r="J294" s="37">
        <f t="shared" si="60"/>
        <v>242179.76488888887</v>
      </c>
      <c r="K294" s="37">
        <f t="shared" si="61"/>
        <v>242179.76488888887</v>
      </c>
    </row>
    <row r="295" spans="1:13" s="474" customFormat="1">
      <c r="A295" s="64">
        <f t="shared" si="58"/>
        <v>220</v>
      </c>
      <c r="B295" s="439" t="s">
        <v>360</v>
      </c>
      <c r="C295" s="437">
        <v>2019</v>
      </c>
      <c r="D295" s="787">
        <v>43679.124444444446</v>
      </c>
      <c r="E295" s="37">
        <f>D295*'16-PlantAdditions'!$E$103</f>
        <v>3275.9343333333331</v>
      </c>
      <c r="F295" s="37">
        <f t="shared" si="59"/>
        <v>46955.058777777776</v>
      </c>
      <c r="G295" s="787">
        <v>0</v>
      </c>
      <c r="H295" s="787">
        <v>0</v>
      </c>
      <c r="I295" s="37">
        <f>(G295-H295)*'16-PlantAdditions'!$E$103</f>
        <v>0</v>
      </c>
      <c r="J295" s="37">
        <f t="shared" si="60"/>
        <v>289134.82366666663</v>
      </c>
      <c r="K295" s="37">
        <f t="shared" si="61"/>
        <v>289134.82366666663</v>
      </c>
    </row>
    <row r="296" spans="1:13" s="474" customFormat="1">
      <c r="A296" s="64">
        <f t="shared" si="58"/>
        <v>221</v>
      </c>
      <c r="B296" s="436" t="s">
        <v>361</v>
      </c>
      <c r="C296" s="437">
        <v>2019</v>
      </c>
      <c r="D296" s="787">
        <v>43679.124444444446</v>
      </c>
      <c r="E296" s="37">
        <f>D296*'16-PlantAdditions'!$E$103</f>
        <v>3275.9343333333331</v>
      </c>
      <c r="F296" s="37">
        <f t="shared" si="59"/>
        <v>46955.058777777776</v>
      </c>
      <c r="G296" s="787">
        <v>0</v>
      </c>
      <c r="H296" s="787">
        <v>0</v>
      </c>
      <c r="I296" s="37">
        <f>(G296-H296)*'16-PlantAdditions'!$E$103</f>
        <v>0</v>
      </c>
      <c r="J296" s="37">
        <f t="shared" si="60"/>
        <v>336089.8824444444</v>
      </c>
      <c r="K296" s="37">
        <f t="shared" si="61"/>
        <v>336089.8824444444</v>
      </c>
    </row>
    <row r="297" spans="1:13" s="474" customFormat="1">
      <c r="A297" s="64">
        <f t="shared" si="58"/>
        <v>222</v>
      </c>
      <c r="B297" s="436" t="s">
        <v>362</v>
      </c>
      <c r="C297" s="437">
        <v>2019</v>
      </c>
      <c r="D297" s="787">
        <v>43679.124444444446</v>
      </c>
      <c r="E297" s="37">
        <f>D297*'16-PlantAdditions'!$E$103</f>
        <v>3275.9343333333331</v>
      </c>
      <c r="F297" s="37">
        <f t="shared" si="59"/>
        <v>46955.058777777776</v>
      </c>
      <c r="G297" s="787">
        <v>0</v>
      </c>
      <c r="H297" s="787">
        <v>0</v>
      </c>
      <c r="I297" s="37">
        <f>(G297-H297)*'16-PlantAdditions'!$E$103</f>
        <v>0</v>
      </c>
      <c r="J297" s="37">
        <f t="shared" si="60"/>
        <v>383044.94122222217</v>
      </c>
      <c r="K297" s="37">
        <f t="shared" si="61"/>
        <v>383044.94122222217</v>
      </c>
    </row>
    <row r="298" spans="1:13" s="474" customFormat="1">
      <c r="A298" s="64">
        <f t="shared" si="58"/>
        <v>223</v>
      </c>
      <c r="B298" s="436" t="s">
        <v>350</v>
      </c>
      <c r="C298" s="437">
        <v>2019</v>
      </c>
      <c r="D298" s="787">
        <v>43679.124444444446</v>
      </c>
      <c r="E298" s="37">
        <f>D298*'16-PlantAdditions'!$E$103</f>
        <v>3275.9343333333331</v>
      </c>
      <c r="F298" s="37">
        <f t="shared" si="59"/>
        <v>46955.058777777776</v>
      </c>
      <c r="G298" s="787">
        <v>0</v>
      </c>
      <c r="H298" s="787">
        <v>0</v>
      </c>
      <c r="I298" s="37">
        <f>(G298-H298)*'16-PlantAdditions'!$E$103</f>
        <v>0</v>
      </c>
      <c r="J298" s="37">
        <f t="shared" si="60"/>
        <v>429999.99999999994</v>
      </c>
      <c r="K298" s="37">
        <f t="shared" si="61"/>
        <v>429999.99999999994</v>
      </c>
    </row>
    <row r="299" spans="1:13" s="474" customFormat="1">
      <c r="A299" s="64">
        <f t="shared" si="58"/>
        <v>224</v>
      </c>
      <c r="B299" s="436" t="s">
        <v>352</v>
      </c>
      <c r="C299" s="437">
        <v>2020</v>
      </c>
      <c r="D299" s="787">
        <v>1326373.75</v>
      </c>
      <c r="E299" s="37">
        <f>D299*'16-PlantAdditions'!$E$103</f>
        <v>99478.03125</v>
      </c>
      <c r="F299" s="37">
        <f t="shared" si="59"/>
        <v>1425851.78125</v>
      </c>
      <c r="G299" s="787">
        <v>0</v>
      </c>
      <c r="H299" s="787">
        <v>0</v>
      </c>
      <c r="I299" s="37">
        <f>(G299-H299)*'16-PlantAdditions'!$E$103</f>
        <v>0</v>
      </c>
      <c r="J299" s="37">
        <f t="shared" si="60"/>
        <v>1855851.78125</v>
      </c>
      <c r="K299" s="37">
        <f t="shared" si="61"/>
        <v>1855851.78125</v>
      </c>
    </row>
    <row r="300" spans="1:13" s="474" customFormat="1">
      <c r="A300" s="64">
        <f t="shared" si="58"/>
        <v>225</v>
      </c>
      <c r="B300" s="439" t="s">
        <v>353</v>
      </c>
      <c r="C300" s="437">
        <v>2020</v>
      </c>
      <c r="D300" s="787">
        <v>1326373.75</v>
      </c>
      <c r="E300" s="37">
        <f>D300*'16-PlantAdditions'!$E$103</f>
        <v>99478.03125</v>
      </c>
      <c r="F300" s="37">
        <f t="shared" si="59"/>
        <v>1425851.78125</v>
      </c>
      <c r="G300" s="787">
        <v>0</v>
      </c>
      <c r="H300" s="787">
        <v>0</v>
      </c>
      <c r="I300" s="37">
        <f>(G300-H300)*'16-PlantAdditions'!$E$103</f>
        <v>0</v>
      </c>
      <c r="J300" s="37">
        <f t="shared" si="60"/>
        <v>3281703.5625</v>
      </c>
      <c r="K300" s="37">
        <f t="shared" si="61"/>
        <v>3281703.5625</v>
      </c>
    </row>
    <row r="301" spans="1:13" s="474" customFormat="1">
      <c r="A301" s="64">
        <f t="shared" si="58"/>
        <v>226</v>
      </c>
      <c r="B301" s="439" t="s">
        <v>354</v>
      </c>
      <c r="C301" s="437">
        <v>2020</v>
      </c>
      <c r="D301" s="787">
        <v>1326373.75</v>
      </c>
      <c r="E301" s="37">
        <f>D301*'16-PlantAdditions'!$E$103</f>
        <v>99478.03125</v>
      </c>
      <c r="F301" s="37">
        <f t="shared" si="59"/>
        <v>1425851.78125</v>
      </c>
      <c r="G301" s="787">
        <v>0</v>
      </c>
      <c r="H301" s="787">
        <v>0</v>
      </c>
      <c r="I301" s="37">
        <f>(G301-H301)*'16-PlantAdditions'!$E$103</f>
        <v>0</v>
      </c>
      <c r="J301" s="37">
        <f t="shared" si="60"/>
        <v>4707555.34375</v>
      </c>
      <c r="K301" s="37">
        <f t="shared" si="61"/>
        <v>4707555.34375</v>
      </c>
    </row>
    <row r="302" spans="1:13" s="474" customFormat="1">
      <c r="A302" s="64">
        <f t="shared" si="58"/>
        <v>227</v>
      </c>
      <c r="B302" s="436" t="s">
        <v>355</v>
      </c>
      <c r="C302" s="437">
        <v>2020</v>
      </c>
      <c r="D302" s="787">
        <v>1326373.75</v>
      </c>
      <c r="E302" s="37">
        <f>D302*'16-PlantAdditions'!$E$103</f>
        <v>99478.03125</v>
      </c>
      <c r="F302" s="37">
        <f t="shared" si="59"/>
        <v>1425851.78125</v>
      </c>
      <c r="G302" s="787">
        <v>0</v>
      </c>
      <c r="H302" s="787">
        <v>0</v>
      </c>
      <c r="I302" s="37">
        <f>(G302-H302)*'16-PlantAdditions'!$E$103</f>
        <v>0</v>
      </c>
      <c r="J302" s="37">
        <f t="shared" si="60"/>
        <v>6133407.125</v>
      </c>
      <c r="K302" s="37">
        <f t="shared" si="61"/>
        <v>6133407.125</v>
      </c>
    </row>
    <row r="303" spans="1:13" s="474" customFormat="1">
      <c r="A303" s="64">
        <f t="shared" si="58"/>
        <v>228</v>
      </c>
      <c r="B303" s="439" t="s">
        <v>356</v>
      </c>
      <c r="C303" s="437">
        <v>2020</v>
      </c>
      <c r="D303" s="787">
        <v>1326373.75</v>
      </c>
      <c r="E303" s="37">
        <f>D303*'16-PlantAdditions'!$E$103</f>
        <v>99478.03125</v>
      </c>
      <c r="F303" s="37">
        <f t="shared" si="59"/>
        <v>1425851.78125</v>
      </c>
      <c r="G303" s="787">
        <v>0</v>
      </c>
      <c r="H303" s="787">
        <v>0</v>
      </c>
      <c r="I303" s="37">
        <f>(G303-H303)*'16-PlantAdditions'!$E$103</f>
        <v>0</v>
      </c>
      <c r="J303" s="37">
        <f t="shared" si="60"/>
        <v>7559258.90625</v>
      </c>
      <c r="K303" s="37">
        <f t="shared" si="61"/>
        <v>7559258.90625</v>
      </c>
    </row>
    <row r="304" spans="1:13" s="474" customFormat="1">
      <c r="A304" s="64">
        <f t="shared" si="58"/>
        <v>229</v>
      </c>
      <c r="B304" s="439" t="s">
        <v>540</v>
      </c>
      <c r="C304" s="437">
        <v>2020</v>
      </c>
      <c r="D304" s="787">
        <v>1326373.75</v>
      </c>
      <c r="E304" s="37">
        <f>D304*'16-PlantAdditions'!$E$103</f>
        <v>99478.03125</v>
      </c>
      <c r="F304" s="37">
        <f t="shared" si="59"/>
        <v>1425851.78125</v>
      </c>
      <c r="G304" s="787">
        <v>0</v>
      </c>
      <c r="H304" s="787">
        <v>0</v>
      </c>
      <c r="I304" s="37">
        <f>(G304-H304)*'16-PlantAdditions'!$E$103</f>
        <v>0</v>
      </c>
      <c r="J304" s="37">
        <f t="shared" si="60"/>
        <v>8985110.6875</v>
      </c>
      <c r="K304" s="37">
        <f t="shared" si="61"/>
        <v>8985110.6875</v>
      </c>
    </row>
    <row r="305" spans="1:12" s="474" customFormat="1">
      <c r="A305" s="64">
        <f t="shared" si="58"/>
        <v>230</v>
      </c>
      <c r="B305" s="436" t="s">
        <v>358</v>
      </c>
      <c r="C305" s="437">
        <v>2020</v>
      </c>
      <c r="D305" s="787">
        <v>1326373.75</v>
      </c>
      <c r="E305" s="37">
        <f>D305*'16-PlantAdditions'!$E$103</f>
        <v>99478.03125</v>
      </c>
      <c r="F305" s="37">
        <f t="shared" si="59"/>
        <v>1425851.78125</v>
      </c>
      <c r="G305" s="787">
        <v>0</v>
      </c>
      <c r="H305" s="787">
        <v>0</v>
      </c>
      <c r="I305" s="37">
        <f>(G305-H305)*'16-PlantAdditions'!$E$103</f>
        <v>0</v>
      </c>
      <c r="J305" s="37">
        <f t="shared" si="60"/>
        <v>10410962.46875</v>
      </c>
      <c r="K305" s="37">
        <f t="shared" si="61"/>
        <v>10410962.46875</v>
      </c>
    </row>
    <row r="306" spans="1:12" s="474" customFormat="1">
      <c r="A306" s="64">
        <f t="shared" si="58"/>
        <v>231</v>
      </c>
      <c r="B306" s="439" t="s">
        <v>359</v>
      </c>
      <c r="C306" s="437">
        <v>2020</v>
      </c>
      <c r="D306" s="787">
        <v>1326373.75</v>
      </c>
      <c r="E306" s="37">
        <f>D306*'16-PlantAdditions'!$E$103</f>
        <v>99478.03125</v>
      </c>
      <c r="F306" s="37">
        <f t="shared" si="59"/>
        <v>1425851.78125</v>
      </c>
      <c r="G306" s="787">
        <v>0</v>
      </c>
      <c r="H306" s="787">
        <v>0</v>
      </c>
      <c r="I306" s="37">
        <f>(G306-H306)*'16-PlantAdditions'!$E$103</f>
        <v>0</v>
      </c>
      <c r="J306" s="37">
        <f t="shared" si="60"/>
        <v>11836814.25</v>
      </c>
      <c r="K306" s="37">
        <f t="shared" si="61"/>
        <v>11836814.25</v>
      </c>
    </row>
    <row r="307" spans="1:12" s="474" customFormat="1">
      <c r="A307" s="64">
        <f t="shared" si="58"/>
        <v>232</v>
      </c>
      <c r="B307" s="439" t="s">
        <v>360</v>
      </c>
      <c r="C307" s="437">
        <v>2020</v>
      </c>
      <c r="D307" s="787">
        <v>1326373.75</v>
      </c>
      <c r="E307" s="37">
        <f>D307*'16-PlantAdditions'!$E$103</f>
        <v>99478.03125</v>
      </c>
      <c r="F307" s="37">
        <f t="shared" si="59"/>
        <v>1425851.78125</v>
      </c>
      <c r="G307" s="787">
        <v>0</v>
      </c>
      <c r="H307" s="787">
        <v>0</v>
      </c>
      <c r="I307" s="37">
        <f>(G307-H307)*'16-PlantAdditions'!$E$103</f>
        <v>0</v>
      </c>
      <c r="J307" s="37">
        <f t="shared" si="60"/>
        <v>13262666.03125</v>
      </c>
      <c r="K307" s="37">
        <f t="shared" si="61"/>
        <v>13262666.03125</v>
      </c>
    </row>
    <row r="308" spans="1:12" s="474" customFormat="1">
      <c r="A308" s="64">
        <f t="shared" si="58"/>
        <v>233</v>
      </c>
      <c r="B308" s="439" t="s">
        <v>361</v>
      </c>
      <c r="C308" s="437">
        <v>2020</v>
      </c>
      <c r="D308" s="787">
        <v>1326373.75</v>
      </c>
      <c r="E308" s="37">
        <f>D308*'16-PlantAdditions'!$E$103</f>
        <v>99478.03125</v>
      </c>
      <c r="F308" s="37">
        <f t="shared" ref="F308:F310" si="62">E308+D308</f>
        <v>1425851.78125</v>
      </c>
      <c r="G308" s="787">
        <v>0</v>
      </c>
      <c r="H308" s="787">
        <v>0</v>
      </c>
      <c r="I308" s="37">
        <f>(G308-H308)*'16-PlantAdditions'!$E$103</f>
        <v>0</v>
      </c>
      <c r="J308" s="37">
        <f t="shared" ref="J308:J310" si="63">J307+F308-G308-I308</f>
        <v>14688517.8125</v>
      </c>
      <c r="K308" s="37">
        <f t="shared" si="61"/>
        <v>14688517.8125</v>
      </c>
    </row>
    <row r="309" spans="1:12" s="474" customFormat="1">
      <c r="A309" s="64">
        <f t="shared" si="58"/>
        <v>234</v>
      </c>
      <c r="B309" s="439" t="s">
        <v>362</v>
      </c>
      <c r="C309" s="437">
        <v>2020</v>
      </c>
      <c r="D309" s="787">
        <v>1326373.75</v>
      </c>
      <c r="E309" s="37">
        <f>D309*'16-PlantAdditions'!$E$103</f>
        <v>99478.03125</v>
      </c>
      <c r="F309" s="37">
        <f t="shared" si="62"/>
        <v>1425851.78125</v>
      </c>
      <c r="G309" s="787">
        <v>0</v>
      </c>
      <c r="H309" s="787">
        <v>0</v>
      </c>
      <c r="I309" s="37">
        <f>(G309-H309)*'16-PlantAdditions'!$E$103</f>
        <v>0</v>
      </c>
      <c r="J309" s="37">
        <f t="shared" si="63"/>
        <v>16114369.59375</v>
      </c>
      <c r="K309" s="37">
        <f t="shared" si="61"/>
        <v>16114369.59375</v>
      </c>
    </row>
    <row r="310" spans="1:12" s="474" customFormat="1">
      <c r="A310" s="64">
        <f t="shared" si="58"/>
        <v>235</v>
      </c>
      <c r="B310" s="439" t="s">
        <v>350</v>
      </c>
      <c r="C310" s="437">
        <v>2020</v>
      </c>
      <c r="D310" s="787">
        <v>1326373.75</v>
      </c>
      <c r="E310" s="37">
        <f>D310*'16-PlantAdditions'!$E$103</f>
        <v>99478.03125</v>
      </c>
      <c r="F310" s="37">
        <f t="shared" si="62"/>
        <v>1425851.78125</v>
      </c>
      <c r="G310" s="787">
        <v>0</v>
      </c>
      <c r="H310" s="787">
        <v>0</v>
      </c>
      <c r="I310" s="37">
        <f>(G310-H310)*'16-PlantAdditions'!$E$103</f>
        <v>0</v>
      </c>
      <c r="J310" s="37">
        <f t="shared" si="63"/>
        <v>17540221.375</v>
      </c>
      <c r="K310" s="65">
        <f t="shared" si="61"/>
        <v>17540221.375</v>
      </c>
    </row>
    <row r="311" spans="1:12" s="474" customFormat="1">
      <c r="A311" s="64">
        <f t="shared" si="58"/>
        <v>236</v>
      </c>
      <c r="B311" s="768"/>
      <c r="C311" s="473" t="s">
        <v>1096</v>
      </c>
      <c r="D311" s="768"/>
      <c r="E311" s="768"/>
      <c r="F311" s="768"/>
      <c r="G311" s="768"/>
      <c r="H311" s="768"/>
      <c r="I311" s="768"/>
      <c r="J311" s="768"/>
      <c r="K311" s="43">
        <f>AVERAGE(K298:K310)</f>
        <v>8985110.6875</v>
      </c>
    </row>
    <row r="312" spans="1:12" s="474" customFormat="1">
      <c r="A312" s="64"/>
      <c r="B312" s="768"/>
      <c r="C312" s="473"/>
      <c r="D312" s="768"/>
      <c r="E312" s="768"/>
      <c r="F312" s="768"/>
      <c r="G312" s="768"/>
      <c r="H312" s="768"/>
      <c r="I312" s="768"/>
      <c r="J312" s="768"/>
      <c r="K312" s="43"/>
    </row>
    <row r="313" spans="1:12" s="474" customFormat="1">
      <c r="B313" s="475" t="s">
        <v>1116</v>
      </c>
      <c r="D313" s="1135" t="s">
        <v>1077</v>
      </c>
      <c r="E313" s="1135"/>
    </row>
    <row r="314" spans="1:12" s="474" customFormat="1">
      <c r="A314" s="469"/>
      <c r="B314" s="469"/>
      <c r="C314" s="469"/>
      <c r="D314" s="469" t="s">
        <v>307</v>
      </c>
      <c r="E314" s="469" t="s">
        <v>308</v>
      </c>
      <c r="F314" s="469" t="s">
        <v>309</v>
      </c>
      <c r="G314" s="469" t="s">
        <v>310</v>
      </c>
      <c r="H314" s="469" t="s">
        <v>311</v>
      </c>
      <c r="I314" s="469" t="s">
        <v>312</v>
      </c>
      <c r="J314" s="469" t="s">
        <v>313</v>
      </c>
      <c r="K314" s="469" t="s">
        <v>314</v>
      </c>
    </row>
    <row r="315" spans="1:12" s="474" customFormat="1" ht="38.25">
      <c r="D315" s="476"/>
      <c r="E315" s="477" t="s">
        <v>1099</v>
      </c>
      <c r="F315" s="478" t="s">
        <v>1100</v>
      </c>
      <c r="G315" s="354"/>
      <c r="H315" s="476"/>
      <c r="I315" s="477" t="s">
        <v>1101</v>
      </c>
      <c r="J315" s="477" t="s">
        <v>1102</v>
      </c>
      <c r="K315" s="477" t="s">
        <v>1103</v>
      </c>
    </row>
    <row r="316" spans="1:12" s="474" customFormat="1">
      <c r="D316" s="476"/>
      <c r="E316" s="476"/>
      <c r="F316" s="476"/>
      <c r="G316" s="379" t="str">
        <f>G51</f>
        <v>Unloaded</v>
      </c>
      <c r="H316" s="476"/>
      <c r="I316" s="476"/>
    </row>
    <row r="317" spans="1:12" s="474" customFormat="1">
      <c r="A317" s="471"/>
      <c r="B317" s="471"/>
      <c r="C317" s="471"/>
      <c r="D317" s="471" t="str">
        <f>D$52</f>
        <v>Forecast</v>
      </c>
      <c r="E317" s="471" t="str">
        <f t="shared" ref="E317:J317" si="64">E$52</f>
        <v>Corporate</v>
      </c>
      <c r="F317" s="471" t="str">
        <f t="shared" si="64"/>
        <v xml:space="preserve">Total </v>
      </c>
      <c r="G317" s="379" t="str">
        <f>G52</f>
        <v>Total</v>
      </c>
      <c r="H317" s="471" t="str">
        <f t="shared" si="64"/>
        <v>Prior Period</v>
      </c>
      <c r="I317" s="471" t="str">
        <f t="shared" si="64"/>
        <v>Over Heads</v>
      </c>
      <c r="J317" s="471" t="str">
        <f t="shared" si="64"/>
        <v>Forecast</v>
      </c>
      <c r="K317" s="379" t="str">
        <f>K$52</f>
        <v>Forecast Period</v>
      </c>
    </row>
    <row r="318" spans="1:12" s="474" customFormat="1">
      <c r="A318" s="663" t="s">
        <v>243</v>
      </c>
      <c r="B318" s="435" t="s">
        <v>342</v>
      </c>
      <c r="C318" s="435" t="s">
        <v>343</v>
      </c>
      <c r="D318" s="469" t="str">
        <f>D$53</f>
        <v>Expenditures</v>
      </c>
      <c r="E318" s="469" t="str">
        <f t="shared" ref="E318:J318" si="65">E$53</f>
        <v>Overheads</v>
      </c>
      <c r="F318" s="469" t="str">
        <f t="shared" si="65"/>
        <v>CWIP Exp</v>
      </c>
      <c r="G318" s="2" t="str">
        <f>G53</f>
        <v>Plant Adds</v>
      </c>
      <c r="H318" s="469" t="str">
        <f t="shared" si="65"/>
        <v>CWIP Closed</v>
      </c>
      <c r="I318" s="469" t="str">
        <f t="shared" si="65"/>
        <v>Closed to PIS</v>
      </c>
      <c r="J318" s="469" t="str">
        <f t="shared" si="65"/>
        <v>Period CWIP</v>
      </c>
      <c r="K318" s="469" t="str">
        <f>K$53</f>
        <v>Incremental CWIP</v>
      </c>
    </row>
    <row r="319" spans="1:12" s="474" customFormat="1">
      <c r="A319" s="64">
        <f>A311+1</f>
        <v>237</v>
      </c>
      <c r="B319" s="436" t="s">
        <v>350</v>
      </c>
      <c r="C319" s="437">
        <v>2018</v>
      </c>
      <c r="D319" s="478" t="s">
        <v>351</v>
      </c>
      <c r="E319" s="478" t="s">
        <v>351</v>
      </c>
      <c r="F319" s="478" t="s">
        <v>351</v>
      </c>
      <c r="G319" s="478" t="s">
        <v>351</v>
      </c>
      <c r="H319" s="478" t="s">
        <v>351</v>
      </c>
      <c r="I319" s="478" t="s">
        <v>351</v>
      </c>
      <c r="J319" s="37">
        <f>F45</f>
        <v>123208373.91</v>
      </c>
      <c r="K319" s="478" t="s">
        <v>351</v>
      </c>
    </row>
    <row r="320" spans="1:12" s="474" customFormat="1">
      <c r="A320" s="64">
        <f>A319+1</f>
        <v>238</v>
      </c>
      <c r="B320" s="436" t="s">
        <v>352</v>
      </c>
      <c r="C320" s="437">
        <v>2019</v>
      </c>
      <c r="D320" s="787">
        <v>4789816.4470000006</v>
      </c>
      <c r="E320" s="37">
        <f>D320*'16-PlantAdditions'!$E$103</f>
        <v>359236.23352500005</v>
      </c>
      <c r="F320" s="37">
        <f>E320+D320</f>
        <v>5149052.6805250011</v>
      </c>
      <c r="G320" s="787">
        <v>0</v>
      </c>
      <c r="H320" s="787">
        <v>0</v>
      </c>
      <c r="I320" s="37">
        <f>(G320-H320)*'16-PlantAdditions'!$E$103</f>
        <v>0</v>
      </c>
      <c r="J320" s="37">
        <f>J319+F320-G320-I320</f>
        <v>128357426.590525</v>
      </c>
      <c r="K320" s="37">
        <f>J320-$J$319</f>
        <v>5149052.6805250049</v>
      </c>
      <c r="L320" s="471"/>
    </row>
    <row r="321" spans="1:12" s="474" customFormat="1">
      <c r="A321" s="64">
        <f t="shared" ref="A321:A344" si="66">A320+1</f>
        <v>239</v>
      </c>
      <c r="B321" s="439" t="s">
        <v>353</v>
      </c>
      <c r="C321" s="437">
        <v>2019</v>
      </c>
      <c r="D321" s="787">
        <v>234953.34640000056</v>
      </c>
      <c r="E321" s="37">
        <f>D321*'16-PlantAdditions'!$E$103</f>
        <v>17621.500980000041</v>
      </c>
      <c r="F321" s="37">
        <f t="shared" ref="F321:F340" si="67">E321+D321</f>
        <v>252574.8473800006</v>
      </c>
      <c r="G321" s="787">
        <v>0</v>
      </c>
      <c r="H321" s="787">
        <v>0</v>
      </c>
      <c r="I321" s="37">
        <f>(G321-H321)*'16-PlantAdditions'!$E$103</f>
        <v>0</v>
      </c>
      <c r="J321" s="37">
        <f t="shared" ref="J321:J340" si="68">J320+F321-G321-I321</f>
        <v>128610001.437905</v>
      </c>
      <c r="K321" s="37">
        <f t="shared" ref="K321:K343" si="69">J321-$J$319</f>
        <v>5401627.5279050022</v>
      </c>
      <c r="L321" s="471"/>
    </row>
    <row r="322" spans="1:12" s="474" customFormat="1">
      <c r="A322" s="64">
        <f t="shared" si="66"/>
        <v>240</v>
      </c>
      <c r="B322" s="439" t="s">
        <v>354</v>
      </c>
      <c r="C322" s="437">
        <v>2019</v>
      </c>
      <c r="D322" s="787">
        <v>-106248.17420000005</v>
      </c>
      <c r="E322" s="37">
        <f>D322*'16-PlantAdditions'!$E$103</f>
        <v>-7968.6130650000032</v>
      </c>
      <c r="F322" s="37">
        <f t="shared" si="67"/>
        <v>-114216.78726500005</v>
      </c>
      <c r="G322" s="787">
        <v>0</v>
      </c>
      <c r="H322" s="787">
        <v>0</v>
      </c>
      <c r="I322" s="37">
        <f>(G322-H322)*'16-PlantAdditions'!$E$103</f>
        <v>0</v>
      </c>
      <c r="J322" s="37">
        <f t="shared" si="68"/>
        <v>128495784.65064</v>
      </c>
      <c r="K322" s="37">
        <f t="shared" si="69"/>
        <v>5287410.7406399995</v>
      </c>
      <c r="L322" s="471"/>
    </row>
    <row r="323" spans="1:12" s="474" customFormat="1">
      <c r="A323" s="64">
        <f t="shared" si="66"/>
        <v>241</v>
      </c>
      <c r="B323" s="436" t="s">
        <v>355</v>
      </c>
      <c r="C323" s="437">
        <v>2019</v>
      </c>
      <c r="D323" s="787">
        <v>6590834.3905999996</v>
      </c>
      <c r="E323" s="37">
        <f>D323*'16-PlantAdditions'!$E$103</f>
        <v>494312.57929499994</v>
      </c>
      <c r="F323" s="37">
        <f t="shared" si="67"/>
        <v>7085146.9698949996</v>
      </c>
      <c r="G323" s="787">
        <v>0</v>
      </c>
      <c r="H323" s="787">
        <v>0</v>
      </c>
      <c r="I323" s="37">
        <f>(G323-H323)*'16-PlantAdditions'!$E$103</f>
        <v>0</v>
      </c>
      <c r="J323" s="37">
        <f t="shared" si="68"/>
        <v>135580931.62053499</v>
      </c>
      <c r="K323" s="37">
        <f t="shared" si="69"/>
        <v>12372557.71053499</v>
      </c>
      <c r="L323" s="469"/>
    </row>
    <row r="324" spans="1:12" s="474" customFormat="1">
      <c r="A324" s="64">
        <f t="shared" si="66"/>
        <v>242</v>
      </c>
      <c r="B324" s="439" t="s">
        <v>356</v>
      </c>
      <c r="C324" s="437">
        <v>2019</v>
      </c>
      <c r="D324" s="787">
        <v>7486034.3475999981</v>
      </c>
      <c r="E324" s="37">
        <f>D324*'16-PlantAdditions'!$E$103</f>
        <v>561452.57606999984</v>
      </c>
      <c r="F324" s="37">
        <f t="shared" si="67"/>
        <v>8047486.9236699976</v>
      </c>
      <c r="G324" s="787">
        <v>0</v>
      </c>
      <c r="H324" s="787">
        <v>0</v>
      </c>
      <c r="I324" s="37">
        <f>(G324-H324)*'16-PlantAdditions'!$E$103</f>
        <v>0</v>
      </c>
      <c r="J324" s="37">
        <f t="shared" si="68"/>
        <v>143628418.54420498</v>
      </c>
      <c r="K324" s="37">
        <f t="shared" si="69"/>
        <v>20420044.634204984</v>
      </c>
    </row>
    <row r="325" spans="1:12" s="474" customFormat="1">
      <c r="A325" s="64">
        <f t="shared" si="66"/>
        <v>243</v>
      </c>
      <c r="B325" s="439" t="s">
        <v>540</v>
      </c>
      <c r="C325" s="437">
        <v>2019</v>
      </c>
      <c r="D325" s="787">
        <v>4489600.061999999</v>
      </c>
      <c r="E325" s="37">
        <f>D325*'16-PlantAdditions'!$E$103</f>
        <v>336720.0046499999</v>
      </c>
      <c r="F325" s="37">
        <f t="shared" si="67"/>
        <v>4826320.0666499985</v>
      </c>
      <c r="G325" s="787">
        <v>1207494.17</v>
      </c>
      <c r="H325" s="787">
        <v>691910.17</v>
      </c>
      <c r="I325" s="37">
        <f>(G325-H325)*'16-PlantAdditions'!$E$103</f>
        <v>38668.799999999988</v>
      </c>
      <c r="J325" s="37">
        <f t="shared" si="68"/>
        <v>147208575.64085498</v>
      </c>
      <c r="K325" s="37">
        <f t="shared" si="69"/>
        <v>24000201.730854988</v>
      </c>
    </row>
    <row r="326" spans="1:12" s="474" customFormat="1">
      <c r="A326" s="64">
        <f t="shared" si="66"/>
        <v>244</v>
      </c>
      <c r="B326" s="436" t="s">
        <v>358</v>
      </c>
      <c r="C326" s="437">
        <v>2019</v>
      </c>
      <c r="D326" s="787">
        <v>10179603.577799998</v>
      </c>
      <c r="E326" s="37">
        <f>D326*'16-PlantAdditions'!$E$103</f>
        <v>763470.2683349998</v>
      </c>
      <c r="F326" s="37">
        <f t="shared" si="67"/>
        <v>10943073.846134998</v>
      </c>
      <c r="G326" s="787">
        <v>342</v>
      </c>
      <c r="H326" s="787">
        <v>0</v>
      </c>
      <c r="I326" s="37">
        <f>(G326-H326)*'16-PlantAdditions'!$E$103</f>
        <v>25.65</v>
      </c>
      <c r="J326" s="37">
        <f t="shared" si="68"/>
        <v>158151281.83698997</v>
      </c>
      <c r="K326" s="37">
        <f t="shared" si="69"/>
        <v>34942907.926989973</v>
      </c>
    </row>
    <row r="327" spans="1:12" s="474" customFormat="1">
      <c r="A327" s="64">
        <f t="shared" si="66"/>
        <v>245</v>
      </c>
      <c r="B327" s="439" t="s">
        <v>359</v>
      </c>
      <c r="C327" s="437">
        <v>2019</v>
      </c>
      <c r="D327" s="787">
        <v>3856108.7118000016</v>
      </c>
      <c r="E327" s="37">
        <f>D327*'16-PlantAdditions'!$E$103</f>
        <v>289208.15338500013</v>
      </c>
      <c r="F327" s="37">
        <f t="shared" si="67"/>
        <v>4145316.8651850019</v>
      </c>
      <c r="G327" s="787">
        <v>342</v>
      </c>
      <c r="H327" s="787">
        <v>0</v>
      </c>
      <c r="I327" s="37">
        <f>(G327-H327)*'16-PlantAdditions'!$E$103</f>
        <v>25.65</v>
      </c>
      <c r="J327" s="37">
        <f t="shared" si="68"/>
        <v>162296231.05217496</v>
      </c>
      <c r="K327" s="37">
        <f t="shared" si="69"/>
        <v>39087857.142174959</v>
      </c>
    </row>
    <row r="328" spans="1:12" s="474" customFormat="1">
      <c r="A328" s="64">
        <f t="shared" si="66"/>
        <v>246</v>
      </c>
      <c r="B328" s="439" t="s">
        <v>360</v>
      </c>
      <c r="C328" s="437">
        <v>2019</v>
      </c>
      <c r="D328" s="787">
        <v>14565954.171800001</v>
      </c>
      <c r="E328" s="37">
        <f>D328*'16-PlantAdditions'!$E$103</f>
        <v>1092446.5628849999</v>
      </c>
      <c r="F328" s="37">
        <f t="shared" si="67"/>
        <v>15658400.734685</v>
      </c>
      <c r="G328" s="787">
        <v>342</v>
      </c>
      <c r="H328" s="787">
        <v>0</v>
      </c>
      <c r="I328" s="37">
        <f>(G328-H328)*'16-PlantAdditions'!$E$103</f>
        <v>25.65</v>
      </c>
      <c r="J328" s="37">
        <f t="shared" si="68"/>
        <v>177954264.13685995</v>
      </c>
      <c r="K328" s="37">
        <f t="shared" si="69"/>
        <v>54745890.226859957</v>
      </c>
    </row>
    <row r="329" spans="1:12" s="474" customFormat="1">
      <c r="A329" s="64">
        <f t="shared" si="66"/>
        <v>247</v>
      </c>
      <c r="B329" s="436" t="s">
        <v>361</v>
      </c>
      <c r="C329" s="437">
        <v>2019</v>
      </c>
      <c r="D329" s="787">
        <v>4199628.1717999997</v>
      </c>
      <c r="E329" s="37">
        <f>D329*'16-PlantAdditions'!$E$103</f>
        <v>314972.11288499995</v>
      </c>
      <c r="F329" s="37">
        <f t="shared" si="67"/>
        <v>4514600.2846849998</v>
      </c>
      <c r="G329" s="787">
        <v>342</v>
      </c>
      <c r="H329" s="787">
        <v>0</v>
      </c>
      <c r="I329" s="37">
        <f>(G329-H329)*'16-PlantAdditions'!$E$103</f>
        <v>25.65</v>
      </c>
      <c r="J329" s="37">
        <f t="shared" si="68"/>
        <v>182468496.77154493</v>
      </c>
      <c r="K329" s="37">
        <f t="shared" si="69"/>
        <v>59260122.861544937</v>
      </c>
    </row>
    <row r="330" spans="1:12" s="474" customFormat="1">
      <c r="A330" s="64">
        <f t="shared" si="66"/>
        <v>248</v>
      </c>
      <c r="B330" s="436" t="s">
        <v>362</v>
      </c>
      <c r="C330" s="437">
        <v>2019</v>
      </c>
      <c r="D330" s="787">
        <v>7137826.1718000006</v>
      </c>
      <c r="E330" s="37">
        <f>D330*'16-PlantAdditions'!$E$103</f>
        <v>535336.96288500004</v>
      </c>
      <c r="F330" s="37">
        <f t="shared" si="67"/>
        <v>7673163.1346850004</v>
      </c>
      <c r="G330" s="787">
        <v>248571.78000000003</v>
      </c>
      <c r="H330" s="787">
        <v>212598.78</v>
      </c>
      <c r="I330" s="37">
        <f>(G330-H330)*'16-PlantAdditions'!$E$103</f>
        <v>2697.9750000000022</v>
      </c>
      <c r="J330" s="37">
        <f t="shared" si="68"/>
        <v>189890390.15122995</v>
      </c>
      <c r="K330" s="37">
        <f t="shared" si="69"/>
        <v>66682016.241229951</v>
      </c>
    </row>
    <row r="331" spans="1:12" s="474" customFormat="1">
      <c r="A331" s="64">
        <f t="shared" si="66"/>
        <v>249</v>
      </c>
      <c r="B331" s="436" t="s">
        <v>350</v>
      </c>
      <c r="C331" s="437">
        <v>2019</v>
      </c>
      <c r="D331" s="787">
        <v>19618568.390200008</v>
      </c>
      <c r="E331" s="37">
        <f>D331*'16-PlantAdditions'!$E$103</f>
        <v>1471392.6292650006</v>
      </c>
      <c r="F331" s="37">
        <f t="shared" si="67"/>
        <v>21089961.019465007</v>
      </c>
      <c r="G331" s="787">
        <v>3613229.8699999996</v>
      </c>
      <c r="H331" s="787">
        <v>2937988.8699999996</v>
      </c>
      <c r="I331" s="37">
        <f>(G331-H331)*'16-PlantAdditions'!$E$103</f>
        <v>50643.074999999997</v>
      </c>
      <c r="J331" s="37">
        <f t="shared" si="68"/>
        <v>207316478.22569495</v>
      </c>
      <c r="K331" s="37">
        <f t="shared" si="69"/>
        <v>84108104.315694958</v>
      </c>
    </row>
    <row r="332" spans="1:12" s="474" customFormat="1">
      <c r="A332" s="64">
        <f t="shared" si="66"/>
        <v>250</v>
      </c>
      <c r="B332" s="436" t="s">
        <v>352</v>
      </c>
      <c r="C332" s="437">
        <v>2020</v>
      </c>
      <c r="D332" s="787">
        <v>9643548.9910000004</v>
      </c>
      <c r="E332" s="37">
        <f>D332*'16-PlantAdditions'!$E$103</f>
        <v>723266.17432500003</v>
      </c>
      <c r="F332" s="37">
        <f t="shared" si="67"/>
        <v>10366815.165325001</v>
      </c>
      <c r="G332" s="787">
        <v>529</v>
      </c>
      <c r="H332" s="787">
        <v>0</v>
      </c>
      <c r="I332" s="37">
        <f>(G332-H332)*'16-PlantAdditions'!$E$103</f>
        <v>39.674999999999997</v>
      </c>
      <c r="J332" s="37">
        <f t="shared" si="68"/>
        <v>217682724.71601993</v>
      </c>
      <c r="K332" s="37">
        <f t="shared" si="69"/>
        <v>94474350.806019932</v>
      </c>
    </row>
    <row r="333" spans="1:12" s="474" customFormat="1">
      <c r="A333" s="64">
        <f t="shared" si="66"/>
        <v>251</v>
      </c>
      <c r="B333" s="439" t="s">
        <v>353</v>
      </c>
      <c r="C333" s="437">
        <v>2020</v>
      </c>
      <c r="D333" s="787">
        <v>9643548.9910000004</v>
      </c>
      <c r="E333" s="37">
        <f>D333*'16-PlantAdditions'!$E$103</f>
        <v>723266.17432500003</v>
      </c>
      <c r="F333" s="37">
        <f t="shared" si="67"/>
        <v>10366815.165325001</v>
      </c>
      <c r="G333" s="787">
        <v>529</v>
      </c>
      <c r="H333" s="787">
        <v>0</v>
      </c>
      <c r="I333" s="37">
        <f>(G333-H333)*'16-PlantAdditions'!$E$103</f>
        <v>39.674999999999997</v>
      </c>
      <c r="J333" s="37">
        <f t="shared" si="68"/>
        <v>228048971.2063449</v>
      </c>
      <c r="K333" s="37">
        <f t="shared" si="69"/>
        <v>104840597.29634491</v>
      </c>
    </row>
    <row r="334" spans="1:12" s="474" customFormat="1">
      <c r="A334" s="64">
        <f t="shared" si="66"/>
        <v>252</v>
      </c>
      <c r="B334" s="439" t="s">
        <v>354</v>
      </c>
      <c r="C334" s="437">
        <v>2020</v>
      </c>
      <c r="D334" s="787">
        <v>9643548.9910000004</v>
      </c>
      <c r="E334" s="37">
        <f>D334*'16-PlantAdditions'!$E$103</f>
        <v>723266.17432500003</v>
      </c>
      <c r="F334" s="37">
        <f t="shared" si="67"/>
        <v>10366815.165325001</v>
      </c>
      <c r="G334" s="787">
        <v>529</v>
      </c>
      <c r="H334" s="787">
        <v>0</v>
      </c>
      <c r="I334" s="37">
        <f>(G334-H334)*'16-PlantAdditions'!$E$103</f>
        <v>39.674999999999997</v>
      </c>
      <c r="J334" s="37">
        <f>J333+F334-G334-I334</f>
        <v>238415217.69666988</v>
      </c>
      <c r="K334" s="37">
        <f t="shared" si="69"/>
        <v>115206843.78666988</v>
      </c>
    </row>
    <row r="335" spans="1:12" s="474" customFormat="1">
      <c r="A335" s="64">
        <f t="shared" si="66"/>
        <v>253</v>
      </c>
      <c r="B335" s="436" t="s">
        <v>355</v>
      </c>
      <c r="C335" s="437">
        <v>2020</v>
      </c>
      <c r="D335" s="787">
        <v>9643548.9910000004</v>
      </c>
      <c r="E335" s="37">
        <f>D335*'16-PlantAdditions'!$E$103</f>
        <v>723266.17432500003</v>
      </c>
      <c r="F335" s="37">
        <f t="shared" si="67"/>
        <v>10366815.165325001</v>
      </c>
      <c r="G335" s="787">
        <v>529</v>
      </c>
      <c r="H335" s="787">
        <v>0</v>
      </c>
      <c r="I335" s="37">
        <f>(G335-H335)*'16-PlantAdditions'!$E$103</f>
        <v>39.674999999999997</v>
      </c>
      <c r="J335" s="37">
        <f t="shared" si="68"/>
        <v>248781464.18699485</v>
      </c>
      <c r="K335" s="37">
        <f t="shared" si="69"/>
        <v>125573090.27699485</v>
      </c>
    </row>
    <row r="336" spans="1:12" s="474" customFormat="1">
      <c r="A336" s="64">
        <f t="shared" si="66"/>
        <v>254</v>
      </c>
      <c r="B336" s="439" t="s">
        <v>356</v>
      </c>
      <c r="C336" s="437">
        <v>2020</v>
      </c>
      <c r="D336" s="787">
        <v>9643548.9910000004</v>
      </c>
      <c r="E336" s="37">
        <f>D336*'16-PlantAdditions'!$E$103</f>
        <v>723266.17432500003</v>
      </c>
      <c r="F336" s="37">
        <f t="shared" si="67"/>
        <v>10366815.165325001</v>
      </c>
      <c r="G336" s="787">
        <v>529</v>
      </c>
      <c r="H336" s="787">
        <v>0</v>
      </c>
      <c r="I336" s="37">
        <f>(G336-H336)*'16-PlantAdditions'!$E$103</f>
        <v>39.674999999999997</v>
      </c>
      <c r="J336" s="37">
        <f t="shared" si="68"/>
        <v>259147710.67731982</v>
      </c>
      <c r="K336" s="37">
        <f t="shared" si="69"/>
        <v>135939336.76731983</v>
      </c>
    </row>
    <row r="337" spans="1:11" s="474" customFormat="1">
      <c r="A337" s="64">
        <f t="shared" si="66"/>
        <v>255</v>
      </c>
      <c r="B337" s="439" t="s">
        <v>540</v>
      </c>
      <c r="C337" s="437">
        <v>2020</v>
      </c>
      <c r="D337" s="787">
        <v>9643548.9910000004</v>
      </c>
      <c r="E337" s="37">
        <f>D337*'16-PlantAdditions'!$E$103</f>
        <v>723266.17432500003</v>
      </c>
      <c r="F337" s="37">
        <f t="shared" si="67"/>
        <v>10366815.165325001</v>
      </c>
      <c r="G337" s="787">
        <v>529</v>
      </c>
      <c r="H337" s="787">
        <v>0</v>
      </c>
      <c r="I337" s="37">
        <f>(G337-H337)*'16-PlantAdditions'!$E$103</f>
        <v>39.674999999999997</v>
      </c>
      <c r="J337" s="37">
        <f t="shared" si="68"/>
        <v>269513957.1676448</v>
      </c>
      <c r="K337" s="37">
        <f t="shared" si="69"/>
        <v>146305583.2576448</v>
      </c>
    </row>
    <row r="338" spans="1:11" s="474" customFormat="1">
      <c r="A338" s="64">
        <f t="shared" si="66"/>
        <v>256</v>
      </c>
      <c r="B338" s="436" t="s">
        <v>358</v>
      </c>
      <c r="C338" s="437">
        <v>2020</v>
      </c>
      <c r="D338" s="787">
        <v>9643548.9910000004</v>
      </c>
      <c r="E338" s="37">
        <f>D338*'16-PlantAdditions'!$E$103</f>
        <v>723266.17432500003</v>
      </c>
      <c r="F338" s="37">
        <f t="shared" si="67"/>
        <v>10366815.165325001</v>
      </c>
      <c r="G338" s="787">
        <v>529</v>
      </c>
      <c r="H338" s="787">
        <v>0</v>
      </c>
      <c r="I338" s="37">
        <f>(G338-H338)*'16-PlantAdditions'!$E$103</f>
        <v>39.674999999999997</v>
      </c>
      <c r="J338" s="37">
        <f t="shared" si="68"/>
        <v>279880203.65796977</v>
      </c>
      <c r="K338" s="37">
        <f t="shared" si="69"/>
        <v>156671829.74796978</v>
      </c>
    </row>
    <row r="339" spans="1:11" s="474" customFormat="1">
      <c r="A339" s="64">
        <f t="shared" si="66"/>
        <v>257</v>
      </c>
      <c r="B339" s="439" t="s">
        <v>359</v>
      </c>
      <c r="C339" s="437">
        <v>2020</v>
      </c>
      <c r="D339" s="787">
        <v>9643548.9910000004</v>
      </c>
      <c r="E339" s="37">
        <f>D339*'16-PlantAdditions'!$E$103</f>
        <v>723266.17432500003</v>
      </c>
      <c r="F339" s="37">
        <f t="shared" si="67"/>
        <v>10366815.165325001</v>
      </c>
      <c r="G339" s="787">
        <v>529</v>
      </c>
      <c r="H339" s="787">
        <v>0</v>
      </c>
      <c r="I339" s="37">
        <f>(G339-H339)*'16-PlantAdditions'!$E$103</f>
        <v>39.674999999999997</v>
      </c>
      <c r="J339" s="37">
        <f t="shared" si="68"/>
        <v>290246450.14829475</v>
      </c>
      <c r="K339" s="37">
        <f t="shared" si="69"/>
        <v>167038076.23829475</v>
      </c>
    </row>
    <row r="340" spans="1:11" s="474" customFormat="1">
      <c r="A340" s="64">
        <f t="shared" si="66"/>
        <v>258</v>
      </c>
      <c r="B340" s="439" t="s">
        <v>360</v>
      </c>
      <c r="C340" s="437">
        <v>2020</v>
      </c>
      <c r="D340" s="787">
        <v>9643548.9910000004</v>
      </c>
      <c r="E340" s="37">
        <f>D340*'16-PlantAdditions'!$E$103</f>
        <v>723266.17432500003</v>
      </c>
      <c r="F340" s="37">
        <f t="shared" si="67"/>
        <v>10366815.165325001</v>
      </c>
      <c r="G340" s="787">
        <v>529</v>
      </c>
      <c r="H340" s="787">
        <v>0</v>
      </c>
      <c r="I340" s="37">
        <f>(G340-H340)*'16-PlantAdditions'!$E$103</f>
        <v>39.674999999999997</v>
      </c>
      <c r="J340" s="37">
        <f t="shared" si="68"/>
        <v>300612696.63861972</v>
      </c>
      <c r="K340" s="37">
        <f t="shared" si="69"/>
        <v>177404322.72861972</v>
      </c>
    </row>
    <row r="341" spans="1:11" s="474" customFormat="1">
      <c r="A341" s="64">
        <f t="shared" si="66"/>
        <v>259</v>
      </c>
      <c r="B341" s="439" t="s">
        <v>361</v>
      </c>
      <c r="C341" s="437">
        <v>2020</v>
      </c>
      <c r="D341" s="787">
        <v>9643548.9910000004</v>
      </c>
      <c r="E341" s="37">
        <f>D341*'16-PlantAdditions'!$E$103</f>
        <v>723266.17432500003</v>
      </c>
      <c r="F341" s="37">
        <f t="shared" ref="F341:F343" si="70">E341+D341</f>
        <v>10366815.165325001</v>
      </c>
      <c r="G341" s="787">
        <v>529</v>
      </c>
      <c r="H341" s="787">
        <v>0</v>
      </c>
      <c r="I341" s="37">
        <f>(G341-H341)*'16-PlantAdditions'!$E$103</f>
        <v>39.674999999999997</v>
      </c>
      <c r="J341" s="37">
        <f t="shared" ref="J341:J343" si="71">J340+F341-G341-I341</f>
        <v>310978943.12894469</v>
      </c>
      <c r="K341" s="37">
        <f t="shared" si="69"/>
        <v>187770569.2189447</v>
      </c>
    </row>
    <row r="342" spans="1:11" s="474" customFormat="1">
      <c r="A342" s="64">
        <f t="shared" si="66"/>
        <v>260</v>
      </c>
      <c r="B342" s="439" t="s">
        <v>362</v>
      </c>
      <c r="C342" s="437">
        <v>2020</v>
      </c>
      <c r="D342" s="787">
        <v>9643548.9910000004</v>
      </c>
      <c r="E342" s="37">
        <f>D342*'16-PlantAdditions'!$E$103</f>
        <v>723266.17432500003</v>
      </c>
      <c r="F342" s="37">
        <f t="shared" si="70"/>
        <v>10366815.165325001</v>
      </c>
      <c r="G342" s="787">
        <v>529</v>
      </c>
      <c r="H342" s="787">
        <v>0</v>
      </c>
      <c r="I342" s="37">
        <f>(G342-H342)*'16-PlantAdditions'!$E$103</f>
        <v>39.674999999999997</v>
      </c>
      <c r="J342" s="37">
        <f t="shared" si="71"/>
        <v>321345189.61926967</v>
      </c>
      <c r="K342" s="37">
        <f t="shared" si="69"/>
        <v>198136815.70926967</v>
      </c>
    </row>
    <row r="343" spans="1:11" s="474" customFormat="1">
      <c r="A343" s="64">
        <f t="shared" si="66"/>
        <v>261</v>
      </c>
      <c r="B343" s="439" t="s">
        <v>350</v>
      </c>
      <c r="C343" s="437">
        <v>2020</v>
      </c>
      <c r="D343" s="787">
        <v>12302833.991</v>
      </c>
      <c r="E343" s="37">
        <f>D343*'16-PlantAdditions'!$E$103</f>
        <v>922712.54932500003</v>
      </c>
      <c r="F343" s="37">
        <f t="shared" si="70"/>
        <v>13225546.540325001</v>
      </c>
      <c r="G343" s="787">
        <v>42910404.120000005</v>
      </c>
      <c r="H343" s="787">
        <v>16523166.119999997</v>
      </c>
      <c r="I343" s="37">
        <f>(G343-H343)*'16-PlantAdditions'!$E$103</f>
        <v>1979042.8500000006</v>
      </c>
      <c r="J343" s="37">
        <f t="shared" si="71"/>
        <v>289681289.18959463</v>
      </c>
      <c r="K343" s="65">
        <f t="shared" si="69"/>
        <v>166472915.27959463</v>
      </c>
    </row>
    <row r="344" spans="1:11" s="474" customFormat="1">
      <c r="A344" s="64">
        <f t="shared" si="66"/>
        <v>262</v>
      </c>
      <c r="B344" s="768"/>
      <c r="C344" s="473" t="s">
        <v>1096</v>
      </c>
      <c r="D344" s="768"/>
      <c r="E344" s="768"/>
      <c r="F344" s="768"/>
      <c r="G344" s="768"/>
      <c r="H344" s="768"/>
      <c r="I344" s="768"/>
      <c r="J344" s="768"/>
      <c r="K344" s="43">
        <f>AVERAGE(K331:K343)</f>
        <v>143072495.03302944</v>
      </c>
    </row>
    <row r="345" spans="1:11" s="474" customFormat="1">
      <c r="A345" s="64"/>
      <c r="B345" s="768"/>
      <c r="C345" s="473"/>
      <c r="D345" s="768"/>
      <c r="E345" s="768"/>
      <c r="F345" s="768"/>
      <c r="G345" s="768"/>
      <c r="H345" s="768"/>
      <c r="I345" s="768"/>
      <c r="J345" s="768"/>
      <c r="K345" s="43"/>
    </row>
    <row r="346" spans="1:11" s="474" customFormat="1">
      <c r="B346" s="475" t="s">
        <v>1117</v>
      </c>
      <c r="D346" s="1135" t="s">
        <v>1078</v>
      </c>
      <c r="E346" s="1135"/>
    </row>
    <row r="347" spans="1:11" s="474" customFormat="1">
      <c r="B347" s="475"/>
      <c r="D347" s="469" t="s">
        <v>307</v>
      </c>
      <c r="E347" s="469" t="s">
        <v>308</v>
      </c>
      <c r="F347" s="469" t="s">
        <v>309</v>
      </c>
      <c r="G347" s="469" t="s">
        <v>310</v>
      </c>
      <c r="H347" s="469" t="s">
        <v>311</v>
      </c>
      <c r="I347" s="469" t="s">
        <v>312</v>
      </c>
      <c r="J347" s="469" t="s">
        <v>313</v>
      </c>
      <c r="K347" s="469" t="s">
        <v>314</v>
      </c>
    </row>
    <row r="348" spans="1:11" s="474" customFormat="1" ht="38.25">
      <c r="B348" s="475"/>
      <c r="D348" s="476"/>
      <c r="E348" s="477" t="s">
        <v>1099</v>
      </c>
      <c r="F348" s="478" t="s">
        <v>1100</v>
      </c>
      <c r="G348" s="354"/>
      <c r="H348" s="476"/>
      <c r="I348" s="477" t="s">
        <v>1101</v>
      </c>
      <c r="J348" s="477" t="s">
        <v>1102</v>
      </c>
      <c r="K348" s="477" t="s">
        <v>1103</v>
      </c>
    </row>
    <row r="349" spans="1:11" s="474" customFormat="1">
      <c r="D349" s="476"/>
      <c r="E349" s="476"/>
      <c r="F349" s="476"/>
      <c r="G349" s="379" t="str">
        <f>G51</f>
        <v>Unloaded</v>
      </c>
      <c r="H349" s="476"/>
      <c r="I349" s="476"/>
    </row>
    <row r="350" spans="1:11" s="474" customFormat="1">
      <c r="A350" s="471"/>
      <c r="B350" s="471"/>
      <c r="C350" s="471"/>
      <c r="D350" s="471" t="str">
        <f>D$52</f>
        <v>Forecast</v>
      </c>
      <c r="E350" s="471" t="str">
        <f t="shared" ref="E350:J350" si="72">E$52</f>
        <v>Corporate</v>
      </c>
      <c r="F350" s="471" t="str">
        <f t="shared" si="72"/>
        <v xml:space="preserve">Total </v>
      </c>
      <c r="G350" s="379" t="str">
        <f>G52</f>
        <v>Total</v>
      </c>
      <c r="H350" s="471" t="str">
        <f t="shared" si="72"/>
        <v>Prior Period</v>
      </c>
      <c r="I350" s="471" t="str">
        <f t="shared" si="72"/>
        <v>Over Heads</v>
      </c>
      <c r="J350" s="471" t="str">
        <f t="shared" si="72"/>
        <v>Forecast</v>
      </c>
      <c r="K350" s="379" t="str">
        <f>K$52</f>
        <v>Forecast Period</v>
      </c>
    </row>
    <row r="351" spans="1:11" s="474" customFormat="1">
      <c r="A351" s="663" t="s">
        <v>243</v>
      </c>
      <c r="B351" s="435" t="s">
        <v>342</v>
      </c>
      <c r="C351" s="435" t="s">
        <v>343</v>
      </c>
      <c r="D351" s="469" t="str">
        <f>D$53</f>
        <v>Expenditures</v>
      </c>
      <c r="E351" s="469" t="str">
        <f t="shared" ref="E351:J351" si="73">E$53</f>
        <v>Overheads</v>
      </c>
      <c r="F351" s="469" t="str">
        <f t="shared" si="73"/>
        <v>CWIP Exp</v>
      </c>
      <c r="G351" s="74" t="str">
        <f>G53</f>
        <v>Plant Adds</v>
      </c>
      <c r="H351" s="469" t="str">
        <f t="shared" si="73"/>
        <v>CWIP Closed</v>
      </c>
      <c r="I351" s="469" t="str">
        <f t="shared" si="73"/>
        <v>Closed to PIS</v>
      </c>
      <c r="J351" s="469" t="str">
        <f t="shared" si="73"/>
        <v>Period CWIP</v>
      </c>
      <c r="K351" s="469" t="str">
        <f>K$53</f>
        <v>Incremental CWIP</v>
      </c>
    </row>
    <row r="352" spans="1:11" s="474" customFormat="1">
      <c r="A352" s="64">
        <f>A344+1</f>
        <v>263</v>
      </c>
      <c r="B352" s="436" t="s">
        <v>350</v>
      </c>
      <c r="C352" s="437">
        <v>2018</v>
      </c>
      <c r="D352" s="478" t="s">
        <v>351</v>
      </c>
      <c r="E352" s="478" t="s">
        <v>351</v>
      </c>
      <c r="F352" s="478" t="s">
        <v>351</v>
      </c>
      <c r="G352" s="478" t="s">
        <v>351</v>
      </c>
      <c r="H352" s="478" t="s">
        <v>351</v>
      </c>
      <c r="I352" s="478" t="s">
        <v>351</v>
      </c>
      <c r="J352" s="37">
        <f>G45</f>
        <v>20101220.48</v>
      </c>
      <c r="K352" s="478" t="s">
        <v>351</v>
      </c>
    </row>
    <row r="353" spans="1:11" s="474" customFormat="1">
      <c r="A353" s="64">
        <f>A352+1</f>
        <v>264</v>
      </c>
      <c r="B353" s="436" t="s">
        <v>352</v>
      </c>
      <c r="C353" s="437">
        <v>2019</v>
      </c>
      <c r="D353" s="787">
        <v>104966.632</v>
      </c>
      <c r="E353" s="37">
        <f>D353*'16-PlantAdditions'!$E$103</f>
        <v>7872.4973999999993</v>
      </c>
      <c r="F353" s="37">
        <f>E353+D353</f>
        <v>112839.12939999999</v>
      </c>
      <c r="G353" s="787">
        <v>0</v>
      </c>
      <c r="H353" s="787">
        <v>0</v>
      </c>
      <c r="I353" s="37">
        <f>(G353-H353)*'16-PlantAdditions'!$E$103</f>
        <v>0</v>
      </c>
      <c r="J353" s="37">
        <f>J352+F353-G353-I353</f>
        <v>20214059.6094</v>
      </c>
      <c r="K353" s="37">
        <f>J353-$J$352</f>
        <v>112839.12939999998</v>
      </c>
    </row>
    <row r="354" spans="1:11" s="474" customFormat="1">
      <c r="A354" s="64">
        <f t="shared" ref="A354:A377" si="74">A353+1</f>
        <v>265</v>
      </c>
      <c r="B354" s="439" t="s">
        <v>353</v>
      </c>
      <c r="C354" s="437">
        <v>2019</v>
      </c>
      <c r="D354" s="787">
        <v>62895.72</v>
      </c>
      <c r="E354" s="37">
        <f>D354*'16-PlantAdditions'!$E$103</f>
        <v>4717.1790000000001</v>
      </c>
      <c r="F354" s="37">
        <f t="shared" ref="F354:F373" si="75">E354+D354</f>
        <v>67612.899000000005</v>
      </c>
      <c r="G354" s="787">
        <v>0</v>
      </c>
      <c r="H354" s="787">
        <v>0</v>
      </c>
      <c r="I354" s="37">
        <f>(G354-H354)*'16-PlantAdditions'!$E$103</f>
        <v>0</v>
      </c>
      <c r="J354" s="37">
        <f t="shared" ref="J354:J373" si="76">J353+F354-G354-I354</f>
        <v>20281672.508400001</v>
      </c>
      <c r="K354" s="37">
        <f t="shared" ref="K354:K376" si="77">J354-$J$352</f>
        <v>180452.02840000018</v>
      </c>
    </row>
    <row r="355" spans="1:11" s="474" customFormat="1">
      <c r="A355" s="64">
        <f t="shared" si="74"/>
        <v>266</v>
      </c>
      <c r="B355" s="439" t="s">
        <v>354</v>
      </c>
      <c r="C355" s="437">
        <v>2019</v>
      </c>
      <c r="D355" s="787">
        <v>33044.487999999998</v>
      </c>
      <c r="E355" s="37">
        <f>D355*'16-PlantAdditions'!$E$103</f>
        <v>2478.3365999999996</v>
      </c>
      <c r="F355" s="37">
        <f t="shared" si="75"/>
        <v>35522.8246</v>
      </c>
      <c r="G355" s="787">
        <v>0</v>
      </c>
      <c r="H355" s="787">
        <v>0</v>
      </c>
      <c r="I355" s="37">
        <f>(G355-H355)*'16-PlantAdditions'!$E$103</f>
        <v>0</v>
      </c>
      <c r="J355" s="37">
        <f t="shared" si="76"/>
        <v>20317195.333000001</v>
      </c>
      <c r="K355" s="37">
        <f t="shared" si="77"/>
        <v>215974.85300000012</v>
      </c>
    </row>
    <row r="356" spans="1:11" s="474" customFormat="1">
      <c r="A356" s="64">
        <f t="shared" si="74"/>
        <v>267</v>
      </c>
      <c r="B356" s="436" t="s">
        <v>355</v>
      </c>
      <c r="C356" s="437">
        <v>2019</v>
      </c>
      <c r="D356" s="787">
        <v>103038.31200000001</v>
      </c>
      <c r="E356" s="37">
        <f>D356*'16-PlantAdditions'!$E$103</f>
        <v>7727.8734000000004</v>
      </c>
      <c r="F356" s="37">
        <f t="shared" si="75"/>
        <v>110766.1854</v>
      </c>
      <c r="G356" s="787">
        <v>0</v>
      </c>
      <c r="H356" s="787">
        <v>0</v>
      </c>
      <c r="I356" s="37">
        <f>(G356-H356)*'16-PlantAdditions'!$E$103</f>
        <v>0</v>
      </c>
      <c r="J356" s="37">
        <f t="shared" si="76"/>
        <v>20427961.518400002</v>
      </c>
      <c r="K356" s="37">
        <f t="shared" si="77"/>
        <v>326741.03840000182</v>
      </c>
    </row>
    <row r="357" spans="1:11" s="474" customFormat="1">
      <c r="A357" s="64">
        <f t="shared" si="74"/>
        <v>268</v>
      </c>
      <c r="B357" s="439" t="s">
        <v>356</v>
      </c>
      <c r="C357" s="437">
        <v>2019</v>
      </c>
      <c r="D357" s="787">
        <v>67947.08</v>
      </c>
      <c r="E357" s="37">
        <f>D357*'16-PlantAdditions'!$E$103</f>
        <v>5096.0309999999999</v>
      </c>
      <c r="F357" s="37">
        <f t="shared" si="75"/>
        <v>73043.111000000004</v>
      </c>
      <c r="G357" s="787">
        <v>0</v>
      </c>
      <c r="H357" s="787">
        <v>0</v>
      </c>
      <c r="I357" s="37">
        <f>(G357-H357)*'16-PlantAdditions'!$E$103</f>
        <v>0</v>
      </c>
      <c r="J357" s="37">
        <f t="shared" si="76"/>
        <v>20501004.629400004</v>
      </c>
      <c r="K357" s="37">
        <f t="shared" si="77"/>
        <v>399784.14940000325</v>
      </c>
    </row>
    <row r="358" spans="1:11" s="474" customFormat="1">
      <c r="A358" s="64">
        <f t="shared" si="74"/>
        <v>269</v>
      </c>
      <c r="B358" s="439" t="s">
        <v>540</v>
      </c>
      <c r="C358" s="437">
        <v>2019</v>
      </c>
      <c r="D358" s="787">
        <v>70661.399999999994</v>
      </c>
      <c r="E358" s="37">
        <f>D358*'16-PlantAdditions'!$E$103</f>
        <v>5299.6049999999996</v>
      </c>
      <c r="F358" s="37">
        <f t="shared" si="75"/>
        <v>75961.00499999999</v>
      </c>
      <c r="G358" s="787">
        <v>0</v>
      </c>
      <c r="H358" s="787">
        <v>0</v>
      </c>
      <c r="I358" s="37">
        <f>(G358-H358)*'16-PlantAdditions'!$E$103</f>
        <v>0</v>
      </c>
      <c r="J358" s="37">
        <f t="shared" si="76"/>
        <v>20576965.634400003</v>
      </c>
      <c r="K358" s="37">
        <f t="shared" si="77"/>
        <v>475745.15440000221</v>
      </c>
    </row>
    <row r="359" spans="1:11" s="474" customFormat="1">
      <c r="A359" s="64">
        <f t="shared" si="74"/>
        <v>270</v>
      </c>
      <c r="B359" s="436" t="s">
        <v>358</v>
      </c>
      <c r="C359" s="437">
        <v>2019</v>
      </c>
      <c r="D359" s="787">
        <v>65421.400000000009</v>
      </c>
      <c r="E359" s="37">
        <f>D359*'16-PlantAdditions'!$E$103</f>
        <v>4906.6050000000005</v>
      </c>
      <c r="F359" s="37">
        <f t="shared" si="75"/>
        <v>70328.005000000005</v>
      </c>
      <c r="G359" s="787">
        <v>0</v>
      </c>
      <c r="H359" s="787">
        <v>0</v>
      </c>
      <c r="I359" s="37">
        <f>(G359-H359)*'16-PlantAdditions'!$E$103</f>
        <v>0</v>
      </c>
      <c r="J359" s="37">
        <f t="shared" si="76"/>
        <v>20647293.639400002</v>
      </c>
      <c r="K359" s="37">
        <f t="shared" si="77"/>
        <v>546073.15940000117</v>
      </c>
    </row>
    <row r="360" spans="1:11" s="474" customFormat="1">
      <c r="A360" s="64">
        <f t="shared" si="74"/>
        <v>271</v>
      </c>
      <c r="B360" s="439" t="s">
        <v>359</v>
      </c>
      <c r="C360" s="437">
        <v>2019</v>
      </c>
      <c r="D360" s="787">
        <v>70661.399999999994</v>
      </c>
      <c r="E360" s="37">
        <f>D360*'16-PlantAdditions'!$E$103</f>
        <v>5299.6049999999996</v>
      </c>
      <c r="F360" s="37">
        <f t="shared" si="75"/>
        <v>75961.00499999999</v>
      </c>
      <c r="G360" s="787">
        <v>0</v>
      </c>
      <c r="H360" s="787">
        <v>0</v>
      </c>
      <c r="I360" s="37">
        <f>(G360-H360)*'16-PlantAdditions'!$E$103</f>
        <v>0</v>
      </c>
      <c r="J360" s="37">
        <f t="shared" si="76"/>
        <v>20723254.644400001</v>
      </c>
      <c r="K360" s="37">
        <f t="shared" si="77"/>
        <v>622034.16440000013</v>
      </c>
    </row>
    <row r="361" spans="1:11" s="474" customFormat="1">
      <c r="A361" s="64">
        <f t="shared" si="74"/>
        <v>272</v>
      </c>
      <c r="B361" s="439" t="s">
        <v>360</v>
      </c>
      <c r="C361" s="437">
        <v>2019</v>
      </c>
      <c r="D361" s="787">
        <v>65421.400000000009</v>
      </c>
      <c r="E361" s="37">
        <f>D361*'16-PlantAdditions'!$E$103</f>
        <v>4906.6050000000005</v>
      </c>
      <c r="F361" s="37">
        <f t="shared" si="75"/>
        <v>70328.005000000005</v>
      </c>
      <c r="G361" s="787">
        <v>0</v>
      </c>
      <c r="H361" s="787">
        <v>0</v>
      </c>
      <c r="I361" s="37">
        <f>(G361-H361)*'16-PlantAdditions'!$E$103</f>
        <v>0</v>
      </c>
      <c r="J361" s="37">
        <f t="shared" si="76"/>
        <v>20793582.6494</v>
      </c>
      <c r="K361" s="37">
        <f t="shared" si="77"/>
        <v>692362.16939999908</v>
      </c>
    </row>
    <row r="362" spans="1:11" s="474" customFormat="1">
      <c r="A362" s="64">
        <f t="shared" si="74"/>
        <v>273</v>
      </c>
      <c r="B362" s="436" t="s">
        <v>361</v>
      </c>
      <c r="C362" s="437">
        <v>2019</v>
      </c>
      <c r="D362" s="787">
        <v>70661.399999999994</v>
      </c>
      <c r="E362" s="37">
        <f>D362*'16-PlantAdditions'!$E$103</f>
        <v>5299.6049999999996</v>
      </c>
      <c r="F362" s="37">
        <f t="shared" si="75"/>
        <v>75961.00499999999</v>
      </c>
      <c r="G362" s="787">
        <v>0</v>
      </c>
      <c r="H362" s="787">
        <v>0</v>
      </c>
      <c r="I362" s="37">
        <f>(G362-H362)*'16-PlantAdditions'!$E$103</f>
        <v>0</v>
      </c>
      <c r="J362" s="37">
        <f t="shared" si="76"/>
        <v>20869543.654399998</v>
      </c>
      <c r="K362" s="37">
        <f t="shared" si="77"/>
        <v>768323.17439999804</v>
      </c>
    </row>
    <row r="363" spans="1:11" s="474" customFormat="1">
      <c r="A363" s="64">
        <f t="shared" si="74"/>
        <v>274</v>
      </c>
      <c r="B363" s="436" t="s">
        <v>362</v>
      </c>
      <c r="C363" s="437">
        <v>2019</v>
      </c>
      <c r="D363" s="787">
        <v>44463.495999999999</v>
      </c>
      <c r="E363" s="37">
        <f>D363*'16-PlantAdditions'!$E$103</f>
        <v>3334.7621999999997</v>
      </c>
      <c r="F363" s="37">
        <f t="shared" si="75"/>
        <v>47798.258199999997</v>
      </c>
      <c r="G363" s="787">
        <v>0</v>
      </c>
      <c r="H363" s="787">
        <v>0</v>
      </c>
      <c r="I363" s="37">
        <f>(G363-H363)*'16-PlantAdditions'!$E$103</f>
        <v>0</v>
      </c>
      <c r="J363" s="37">
        <f t="shared" si="76"/>
        <v>20917341.912599999</v>
      </c>
      <c r="K363" s="37">
        <f t="shared" si="77"/>
        <v>816121.43259999901</v>
      </c>
    </row>
    <row r="364" spans="1:11" s="474" customFormat="1">
      <c r="A364" s="64">
        <f t="shared" si="74"/>
        <v>275</v>
      </c>
      <c r="B364" s="436" t="s">
        <v>350</v>
      </c>
      <c r="C364" s="437">
        <v>2019</v>
      </c>
      <c r="D364" s="787">
        <v>26042.800000000003</v>
      </c>
      <c r="E364" s="37">
        <f>D364*'16-PlantAdditions'!$E$103</f>
        <v>1953.21</v>
      </c>
      <c r="F364" s="37">
        <f t="shared" si="75"/>
        <v>27996.010000000002</v>
      </c>
      <c r="G364" s="787">
        <v>0</v>
      </c>
      <c r="H364" s="787">
        <v>0</v>
      </c>
      <c r="I364" s="37">
        <f>(G364-H364)*'16-PlantAdditions'!$E$103</f>
        <v>0</v>
      </c>
      <c r="J364" s="37">
        <f t="shared" si="76"/>
        <v>20945337.922600001</v>
      </c>
      <c r="K364" s="37">
        <f t="shared" si="77"/>
        <v>844117.44260000065</v>
      </c>
    </row>
    <row r="365" spans="1:11" s="474" customFormat="1">
      <c r="A365" s="64">
        <f t="shared" si="74"/>
        <v>276</v>
      </c>
      <c r="B365" s="436" t="s">
        <v>352</v>
      </c>
      <c r="C365" s="437">
        <v>2020</v>
      </c>
      <c r="D365" s="787">
        <v>65423.495999999999</v>
      </c>
      <c r="E365" s="37">
        <f>D365*'16-PlantAdditions'!$E$103</f>
        <v>4906.7622000000001</v>
      </c>
      <c r="F365" s="37">
        <f t="shared" si="75"/>
        <v>70330.258199999997</v>
      </c>
      <c r="G365" s="787">
        <v>0</v>
      </c>
      <c r="H365" s="787">
        <v>0</v>
      </c>
      <c r="I365" s="37">
        <f>(G365-H365)*'16-PlantAdditions'!$E$103</f>
        <v>0</v>
      </c>
      <c r="J365" s="37">
        <f t="shared" si="76"/>
        <v>21015668.180800002</v>
      </c>
      <c r="K365" s="37">
        <f t="shared" si="77"/>
        <v>914447.70080000162</v>
      </c>
    </row>
    <row r="366" spans="1:11" s="474" customFormat="1">
      <c r="A366" s="64">
        <f t="shared" si="74"/>
        <v>277</v>
      </c>
      <c r="B366" s="439" t="s">
        <v>353</v>
      </c>
      <c r="C366" s="437">
        <v>2020</v>
      </c>
      <c r="D366" s="787">
        <v>65421.400000000009</v>
      </c>
      <c r="E366" s="37">
        <f>D366*'16-PlantAdditions'!$E$103</f>
        <v>4906.6050000000005</v>
      </c>
      <c r="F366" s="37">
        <f t="shared" si="75"/>
        <v>70328.005000000005</v>
      </c>
      <c r="G366" s="787">
        <v>0</v>
      </c>
      <c r="H366" s="787">
        <v>0</v>
      </c>
      <c r="I366" s="37">
        <f>(G366-H366)*'16-PlantAdditions'!$E$103</f>
        <v>0</v>
      </c>
      <c r="J366" s="37">
        <f t="shared" si="76"/>
        <v>21085996.185800001</v>
      </c>
      <c r="K366" s="37">
        <f t="shared" si="77"/>
        <v>984775.70580000058</v>
      </c>
    </row>
    <row r="367" spans="1:11" s="474" customFormat="1">
      <c r="A367" s="64">
        <f t="shared" si="74"/>
        <v>278</v>
      </c>
      <c r="B367" s="439" t="s">
        <v>354</v>
      </c>
      <c r="C367" s="437">
        <v>2020</v>
      </c>
      <c r="D367" s="787">
        <v>65421.400000000009</v>
      </c>
      <c r="E367" s="37">
        <f>D367*'16-PlantAdditions'!$E$103</f>
        <v>4906.6050000000005</v>
      </c>
      <c r="F367" s="37">
        <f t="shared" si="75"/>
        <v>70328.005000000005</v>
      </c>
      <c r="G367" s="787">
        <v>0</v>
      </c>
      <c r="H367" s="787">
        <v>0</v>
      </c>
      <c r="I367" s="37">
        <f>(G367-H367)*'16-PlantAdditions'!$E$103</f>
        <v>0</v>
      </c>
      <c r="J367" s="37">
        <f t="shared" si="76"/>
        <v>21156324.1908</v>
      </c>
      <c r="K367" s="37">
        <f t="shared" si="77"/>
        <v>1055103.7107999995</v>
      </c>
    </row>
    <row r="368" spans="1:11" s="474" customFormat="1">
      <c r="A368" s="64">
        <f t="shared" si="74"/>
        <v>279</v>
      </c>
      <c r="B368" s="436" t="s">
        <v>355</v>
      </c>
      <c r="C368" s="437">
        <v>2020</v>
      </c>
      <c r="D368" s="787">
        <v>65421.400000000009</v>
      </c>
      <c r="E368" s="37">
        <f>D368*'16-PlantAdditions'!$E$103</f>
        <v>4906.6050000000005</v>
      </c>
      <c r="F368" s="37">
        <f t="shared" si="75"/>
        <v>70328.005000000005</v>
      </c>
      <c r="G368" s="787">
        <v>0</v>
      </c>
      <c r="H368" s="787">
        <v>0</v>
      </c>
      <c r="I368" s="37">
        <f>(G368-H368)*'16-PlantAdditions'!$E$103</f>
        <v>0</v>
      </c>
      <c r="J368" s="37">
        <f t="shared" si="76"/>
        <v>21226652.195799999</v>
      </c>
      <c r="K368" s="37">
        <f t="shared" si="77"/>
        <v>1125431.7157999985</v>
      </c>
    </row>
    <row r="369" spans="1:11" s="474" customFormat="1">
      <c r="A369" s="64">
        <f t="shared" si="74"/>
        <v>280</v>
      </c>
      <c r="B369" s="439" t="s">
        <v>356</v>
      </c>
      <c r="C369" s="437">
        <v>2020</v>
      </c>
      <c r="D369" s="787">
        <v>65421.400000000009</v>
      </c>
      <c r="E369" s="37">
        <f>D369*'16-PlantAdditions'!$E$103</f>
        <v>4906.6050000000005</v>
      </c>
      <c r="F369" s="37">
        <f t="shared" si="75"/>
        <v>70328.005000000005</v>
      </c>
      <c r="G369" s="787">
        <v>0</v>
      </c>
      <c r="H369" s="787">
        <v>0</v>
      </c>
      <c r="I369" s="37">
        <f>(G369-H369)*'16-PlantAdditions'!$E$103</f>
        <v>0</v>
      </c>
      <c r="J369" s="37">
        <f t="shared" si="76"/>
        <v>21296980.200799998</v>
      </c>
      <c r="K369" s="37">
        <f t="shared" si="77"/>
        <v>1195759.7207999974</v>
      </c>
    </row>
    <row r="370" spans="1:11" s="474" customFormat="1">
      <c r="A370" s="64">
        <f t="shared" si="74"/>
        <v>281</v>
      </c>
      <c r="B370" s="439" t="s">
        <v>540</v>
      </c>
      <c r="C370" s="437">
        <v>2020</v>
      </c>
      <c r="D370" s="787">
        <v>65421.400000000009</v>
      </c>
      <c r="E370" s="37">
        <f>D370*'16-PlantAdditions'!$E$103</f>
        <v>4906.6050000000005</v>
      </c>
      <c r="F370" s="37">
        <f t="shared" si="75"/>
        <v>70328.005000000005</v>
      </c>
      <c r="G370" s="787">
        <v>0</v>
      </c>
      <c r="H370" s="787">
        <v>0</v>
      </c>
      <c r="I370" s="37">
        <f>(G370-H370)*'16-PlantAdditions'!$E$103</f>
        <v>0</v>
      </c>
      <c r="J370" s="37">
        <f t="shared" si="76"/>
        <v>21367308.205799997</v>
      </c>
      <c r="K370" s="37">
        <f t="shared" si="77"/>
        <v>1266087.7257999964</v>
      </c>
    </row>
    <row r="371" spans="1:11" s="474" customFormat="1">
      <c r="A371" s="64">
        <f t="shared" si="74"/>
        <v>282</v>
      </c>
      <c r="B371" s="436" t="s">
        <v>358</v>
      </c>
      <c r="C371" s="437">
        <v>2020</v>
      </c>
      <c r="D371" s="787">
        <v>65421.400000000009</v>
      </c>
      <c r="E371" s="37">
        <f>D371*'16-PlantAdditions'!$E$103</f>
        <v>4906.6050000000005</v>
      </c>
      <c r="F371" s="37">
        <f t="shared" si="75"/>
        <v>70328.005000000005</v>
      </c>
      <c r="G371" s="787">
        <v>0</v>
      </c>
      <c r="H371" s="787">
        <v>0</v>
      </c>
      <c r="I371" s="37">
        <f>(G371-H371)*'16-PlantAdditions'!$E$103</f>
        <v>0</v>
      </c>
      <c r="J371" s="37">
        <f t="shared" si="76"/>
        <v>21437636.210799996</v>
      </c>
      <c r="K371" s="37">
        <f t="shared" si="77"/>
        <v>1336415.7307999954</v>
      </c>
    </row>
    <row r="372" spans="1:11" s="474" customFormat="1">
      <c r="A372" s="64">
        <f t="shared" si="74"/>
        <v>283</v>
      </c>
      <c r="B372" s="439" t="s">
        <v>359</v>
      </c>
      <c r="C372" s="437">
        <v>2020</v>
      </c>
      <c r="D372" s="787">
        <v>65421.400000000009</v>
      </c>
      <c r="E372" s="37">
        <f>D372*'16-PlantAdditions'!$E$103</f>
        <v>4906.6050000000005</v>
      </c>
      <c r="F372" s="37">
        <f t="shared" si="75"/>
        <v>70328.005000000005</v>
      </c>
      <c r="G372" s="787">
        <v>0</v>
      </c>
      <c r="H372" s="787">
        <v>0</v>
      </c>
      <c r="I372" s="37">
        <f>(G372-H372)*'16-PlantAdditions'!$E$103</f>
        <v>0</v>
      </c>
      <c r="J372" s="37">
        <f t="shared" si="76"/>
        <v>21507964.215799995</v>
      </c>
      <c r="K372" s="37">
        <f t="shared" si="77"/>
        <v>1406743.7357999943</v>
      </c>
    </row>
    <row r="373" spans="1:11" s="474" customFormat="1">
      <c r="A373" s="64">
        <f t="shared" si="74"/>
        <v>284</v>
      </c>
      <c r="B373" s="439" t="s">
        <v>360</v>
      </c>
      <c r="C373" s="437">
        <v>2020</v>
      </c>
      <c r="D373" s="787">
        <v>65421.400000000009</v>
      </c>
      <c r="E373" s="37">
        <f>D373*'16-PlantAdditions'!$E$103</f>
        <v>4906.6050000000005</v>
      </c>
      <c r="F373" s="37">
        <f t="shared" si="75"/>
        <v>70328.005000000005</v>
      </c>
      <c r="G373" s="787">
        <v>0</v>
      </c>
      <c r="H373" s="787">
        <v>0</v>
      </c>
      <c r="I373" s="37">
        <f>(G373-H373)*'16-PlantAdditions'!$E$103</f>
        <v>0</v>
      </c>
      <c r="J373" s="37">
        <f t="shared" si="76"/>
        <v>21578292.220799994</v>
      </c>
      <c r="K373" s="37">
        <f t="shared" si="77"/>
        <v>1477071.7407999933</v>
      </c>
    </row>
    <row r="374" spans="1:11" s="474" customFormat="1">
      <c r="A374" s="64">
        <f t="shared" si="74"/>
        <v>285</v>
      </c>
      <c r="B374" s="439" t="s">
        <v>361</v>
      </c>
      <c r="C374" s="437">
        <v>2020</v>
      </c>
      <c r="D374" s="787">
        <v>65421.400000000009</v>
      </c>
      <c r="E374" s="37">
        <f>D374*'16-PlantAdditions'!$E$103</f>
        <v>4906.6050000000005</v>
      </c>
      <c r="F374" s="37">
        <f t="shared" ref="F374:F376" si="78">E374+D374</f>
        <v>70328.005000000005</v>
      </c>
      <c r="G374" s="787">
        <v>0</v>
      </c>
      <c r="H374" s="787">
        <v>0</v>
      </c>
      <c r="I374" s="37">
        <f>(G374-H374)*'16-PlantAdditions'!$E$103</f>
        <v>0</v>
      </c>
      <c r="J374" s="37">
        <f t="shared" ref="J374:J376" si="79">J373+F374-G374-I374</f>
        <v>21648620.225799993</v>
      </c>
      <c r="K374" s="37">
        <f t="shared" si="77"/>
        <v>1547399.7457999922</v>
      </c>
    </row>
    <row r="375" spans="1:11" s="474" customFormat="1">
      <c r="A375" s="64">
        <f t="shared" si="74"/>
        <v>286</v>
      </c>
      <c r="B375" s="439" t="s">
        <v>362</v>
      </c>
      <c r="C375" s="437">
        <v>2020</v>
      </c>
      <c r="D375" s="787">
        <v>65421.400000000009</v>
      </c>
      <c r="E375" s="37">
        <f>D375*'16-PlantAdditions'!$E$103</f>
        <v>4906.6050000000005</v>
      </c>
      <c r="F375" s="37">
        <f t="shared" si="78"/>
        <v>70328.005000000005</v>
      </c>
      <c r="G375" s="787">
        <v>0</v>
      </c>
      <c r="H375" s="787">
        <v>0</v>
      </c>
      <c r="I375" s="37">
        <f>(G375-H375)*'16-PlantAdditions'!$E$103</f>
        <v>0</v>
      </c>
      <c r="J375" s="37">
        <f t="shared" si="79"/>
        <v>21718948.230799992</v>
      </c>
      <c r="K375" s="37">
        <f t="shared" si="77"/>
        <v>1617727.7507999912</v>
      </c>
    </row>
    <row r="376" spans="1:11" s="474" customFormat="1">
      <c r="A376" s="64">
        <f t="shared" si="74"/>
        <v>287</v>
      </c>
      <c r="B376" s="439" t="s">
        <v>350</v>
      </c>
      <c r="C376" s="437">
        <v>2020</v>
      </c>
      <c r="D376" s="787">
        <v>65421.400000000009</v>
      </c>
      <c r="E376" s="37">
        <f>D376*'16-PlantAdditions'!$E$103</f>
        <v>4906.6050000000005</v>
      </c>
      <c r="F376" s="37">
        <f t="shared" si="78"/>
        <v>70328.005000000005</v>
      </c>
      <c r="G376" s="787">
        <v>0</v>
      </c>
      <c r="H376" s="787">
        <v>0</v>
      </c>
      <c r="I376" s="37">
        <f>(G376-H376)*'16-PlantAdditions'!$E$103</f>
        <v>0</v>
      </c>
      <c r="J376" s="37">
        <f t="shared" si="79"/>
        <v>21789276.235799991</v>
      </c>
      <c r="K376" s="608">
        <f t="shared" si="77"/>
        <v>1688055.7557999901</v>
      </c>
    </row>
    <row r="377" spans="1:11" s="474" customFormat="1">
      <c r="A377" s="64">
        <f t="shared" si="74"/>
        <v>288</v>
      </c>
      <c r="B377" s="768"/>
      <c r="C377" s="473" t="s">
        <v>1096</v>
      </c>
      <c r="D377" s="768"/>
      <c r="E377" s="768"/>
      <c r="F377" s="768"/>
      <c r="G377" s="768"/>
      <c r="H377" s="768"/>
      <c r="I377" s="768"/>
      <c r="J377" s="768"/>
      <c r="K377" s="43">
        <f>AVERAGE(K364:K376)</f>
        <v>1266087.5524769193</v>
      </c>
    </row>
    <row r="378" spans="1:11" s="474" customFormat="1">
      <c r="A378" s="64"/>
      <c r="B378" s="768"/>
      <c r="C378" s="473"/>
      <c r="D378" s="768"/>
      <c r="E378" s="768"/>
      <c r="F378" s="768"/>
      <c r="G378" s="768"/>
      <c r="H378" s="768"/>
      <c r="I378" s="768"/>
      <c r="J378" s="768"/>
      <c r="K378" s="43"/>
    </row>
    <row r="379" spans="1:11" s="474" customFormat="1">
      <c r="B379" s="475" t="s">
        <v>1118</v>
      </c>
      <c r="D379" s="1135" t="s">
        <v>1119</v>
      </c>
      <c r="E379" s="1135"/>
      <c r="F379" s="1134"/>
      <c r="G379" s="1134"/>
    </row>
    <row r="380" spans="1:11" s="474" customFormat="1">
      <c r="A380" s="469"/>
      <c r="B380" s="469"/>
      <c r="C380" s="469"/>
      <c r="D380" s="469" t="s">
        <v>307</v>
      </c>
      <c r="E380" s="469" t="s">
        <v>308</v>
      </c>
      <c r="F380" s="469" t="s">
        <v>309</v>
      </c>
      <c r="G380" s="469" t="s">
        <v>310</v>
      </c>
      <c r="H380" s="469" t="s">
        <v>311</v>
      </c>
      <c r="I380" s="469" t="s">
        <v>312</v>
      </c>
      <c r="J380" s="469" t="s">
        <v>313</v>
      </c>
      <c r="K380" s="469" t="s">
        <v>314</v>
      </c>
    </row>
    <row r="381" spans="1:11" s="474" customFormat="1" ht="38.25">
      <c r="D381" s="476"/>
      <c r="E381" s="477" t="s">
        <v>1099</v>
      </c>
      <c r="F381" s="478" t="s">
        <v>1100</v>
      </c>
      <c r="G381" s="354"/>
      <c r="H381" s="476"/>
      <c r="I381" s="477" t="s">
        <v>1101</v>
      </c>
      <c r="J381" s="477" t="s">
        <v>1102</v>
      </c>
      <c r="K381" s="477" t="s">
        <v>1103</v>
      </c>
    </row>
    <row r="382" spans="1:11" s="474" customFormat="1">
      <c r="D382" s="476"/>
      <c r="E382" s="477"/>
      <c r="F382" s="478"/>
      <c r="G382" s="680" t="str">
        <f>G51</f>
        <v>Unloaded</v>
      </c>
      <c r="H382" s="476"/>
      <c r="I382" s="477"/>
      <c r="J382" s="477"/>
      <c r="K382" s="477"/>
    </row>
    <row r="383" spans="1:11" s="474" customFormat="1">
      <c r="A383" s="471"/>
      <c r="B383" s="471"/>
      <c r="C383" s="471"/>
      <c r="D383" s="471" t="str">
        <f>D$52</f>
        <v>Forecast</v>
      </c>
      <c r="E383" s="471" t="str">
        <f t="shared" ref="E383:J383" si="80">E$52</f>
        <v>Corporate</v>
      </c>
      <c r="F383" s="471" t="str">
        <f t="shared" si="80"/>
        <v xml:space="preserve">Total </v>
      </c>
      <c r="G383" s="3" t="str">
        <f>G52</f>
        <v>Total</v>
      </c>
      <c r="H383" s="471" t="str">
        <f t="shared" si="80"/>
        <v>Prior Period</v>
      </c>
      <c r="I383" s="471" t="str">
        <f t="shared" si="80"/>
        <v>Over Heads</v>
      </c>
      <c r="J383" s="471" t="str">
        <f t="shared" si="80"/>
        <v>Forecast</v>
      </c>
      <c r="K383" s="471" t="str">
        <f>K$52</f>
        <v>Forecast Period</v>
      </c>
    </row>
    <row r="384" spans="1:11" s="474" customFormat="1">
      <c r="A384" s="663" t="s">
        <v>243</v>
      </c>
      <c r="B384" s="435" t="s">
        <v>342</v>
      </c>
      <c r="C384" s="435" t="s">
        <v>343</v>
      </c>
      <c r="D384" s="469" t="str">
        <f>D$53</f>
        <v>Expenditures</v>
      </c>
      <c r="E384" s="469" t="str">
        <f t="shared" ref="E384:J384" si="81">E$53</f>
        <v>Overheads</v>
      </c>
      <c r="F384" s="469" t="str">
        <f t="shared" si="81"/>
        <v>CWIP Exp</v>
      </c>
      <c r="G384" s="52" t="str">
        <f>G53</f>
        <v>Plant Adds</v>
      </c>
      <c r="H384" s="469" t="str">
        <f t="shared" si="81"/>
        <v>CWIP Closed</v>
      </c>
      <c r="I384" s="469" t="str">
        <f t="shared" si="81"/>
        <v>Closed to PIS</v>
      </c>
      <c r="J384" s="469" t="str">
        <f t="shared" si="81"/>
        <v>Period CWIP</v>
      </c>
      <c r="K384" s="469" t="str">
        <f>K$53</f>
        <v>Incremental CWIP</v>
      </c>
    </row>
    <row r="385" spans="1:11" s="474" customFormat="1">
      <c r="A385" s="64">
        <f>A377+1</f>
        <v>289</v>
      </c>
      <c r="B385" s="436" t="s">
        <v>350</v>
      </c>
      <c r="C385" s="437">
        <v>2018</v>
      </c>
      <c r="D385" s="478" t="s">
        <v>351</v>
      </c>
      <c r="E385" s="478" t="s">
        <v>351</v>
      </c>
      <c r="F385" s="478" t="s">
        <v>351</v>
      </c>
      <c r="G385" s="478" t="s">
        <v>351</v>
      </c>
      <c r="H385" s="478" t="s">
        <v>351</v>
      </c>
      <c r="I385" s="478" t="s">
        <v>351</v>
      </c>
      <c r="J385" s="37">
        <f>H45</f>
        <v>65187846.759999998</v>
      </c>
      <c r="K385" s="478" t="s">
        <v>351</v>
      </c>
    </row>
    <row r="386" spans="1:11" s="474" customFormat="1">
      <c r="A386" s="64">
        <f>A385+1</f>
        <v>290</v>
      </c>
      <c r="B386" s="436" t="s">
        <v>352</v>
      </c>
      <c r="C386" s="437">
        <v>2019</v>
      </c>
      <c r="D386" s="787">
        <v>-443999</v>
      </c>
      <c r="E386" s="37">
        <f>D386*'16-PlantAdditions'!$E$103</f>
        <v>-33299.924999999996</v>
      </c>
      <c r="F386" s="37">
        <f>E386+D386</f>
        <v>-477298.92499999999</v>
      </c>
      <c r="G386" s="787">
        <v>0</v>
      </c>
      <c r="H386" s="787">
        <v>0</v>
      </c>
      <c r="I386" s="37">
        <f>(G386-H386)*'16-PlantAdditions'!$E$103</f>
        <v>0</v>
      </c>
      <c r="J386" s="37">
        <f>J385+F386-G386-I386</f>
        <v>64710547.835000001</v>
      </c>
      <c r="K386" s="37">
        <f>J386-$J$385</f>
        <v>-477298.92499999702</v>
      </c>
    </row>
    <row r="387" spans="1:11" s="474" customFormat="1">
      <c r="A387" s="64">
        <f t="shared" ref="A387:A410" si="82">A386+1</f>
        <v>291</v>
      </c>
      <c r="B387" s="439" t="s">
        <v>353</v>
      </c>
      <c r="C387" s="437">
        <v>2019</v>
      </c>
      <c r="D387" s="787">
        <v>552103</v>
      </c>
      <c r="E387" s="37">
        <f>D387*'16-PlantAdditions'!$E$103</f>
        <v>41407.724999999999</v>
      </c>
      <c r="F387" s="37">
        <f>E387+D387</f>
        <v>593510.72499999998</v>
      </c>
      <c r="G387" s="787">
        <v>0</v>
      </c>
      <c r="H387" s="787">
        <v>0</v>
      </c>
      <c r="I387" s="37">
        <f>(G387-H387)*'16-PlantAdditions'!$E$103</f>
        <v>0</v>
      </c>
      <c r="J387" s="37">
        <f t="shared" ref="J387:J406" si="83">J386+F387-G387-I387</f>
        <v>65304058.560000002</v>
      </c>
      <c r="K387" s="37">
        <f t="shared" ref="K387:K409" si="84">J387-$J$385</f>
        <v>116211.80000000447</v>
      </c>
    </row>
    <row r="388" spans="1:11" s="474" customFormat="1">
      <c r="A388" s="64">
        <f t="shared" si="82"/>
        <v>292</v>
      </c>
      <c r="B388" s="439" t="s">
        <v>354</v>
      </c>
      <c r="C388" s="437">
        <v>2019</v>
      </c>
      <c r="D388" s="787">
        <v>1526498.9999999998</v>
      </c>
      <c r="E388" s="37">
        <f>D388*'16-PlantAdditions'!$E$103</f>
        <v>114487.42499999997</v>
      </c>
      <c r="F388" s="37">
        <f t="shared" ref="F388:F406" si="85">E388+D388</f>
        <v>1640986.4249999998</v>
      </c>
      <c r="G388" s="787">
        <v>0</v>
      </c>
      <c r="H388" s="787">
        <v>0</v>
      </c>
      <c r="I388" s="37">
        <f>(G388-H388)*'16-PlantAdditions'!$E$103</f>
        <v>0</v>
      </c>
      <c r="J388" s="37">
        <f t="shared" si="83"/>
        <v>66945044.984999999</v>
      </c>
      <c r="K388" s="37">
        <f t="shared" si="84"/>
        <v>1757198.2250000015</v>
      </c>
    </row>
    <row r="389" spans="1:11" s="474" customFormat="1">
      <c r="A389" s="64">
        <f t="shared" si="82"/>
        <v>293</v>
      </c>
      <c r="B389" s="436" t="s">
        <v>355</v>
      </c>
      <c r="C389" s="437">
        <v>2019</v>
      </c>
      <c r="D389" s="787">
        <v>433000</v>
      </c>
      <c r="E389" s="37">
        <f>D389*'16-PlantAdditions'!$E$103</f>
        <v>32475</v>
      </c>
      <c r="F389" s="37">
        <f t="shared" si="85"/>
        <v>465475</v>
      </c>
      <c r="G389" s="787">
        <v>0</v>
      </c>
      <c r="H389" s="787">
        <v>0</v>
      </c>
      <c r="I389" s="37">
        <f>(G389-H389)*'16-PlantAdditions'!$E$103</f>
        <v>0</v>
      </c>
      <c r="J389" s="37">
        <f t="shared" si="83"/>
        <v>67410519.984999999</v>
      </c>
      <c r="K389" s="37">
        <f t="shared" si="84"/>
        <v>2222673.2250000015</v>
      </c>
    </row>
    <row r="390" spans="1:11" s="474" customFormat="1">
      <c r="A390" s="64">
        <f t="shared" si="82"/>
        <v>294</v>
      </c>
      <c r="B390" s="439" t="s">
        <v>356</v>
      </c>
      <c r="C390" s="437">
        <v>2019</v>
      </c>
      <c r="D390" s="787">
        <v>643000</v>
      </c>
      <c r="E390" s="37">
        <f>D390*'16-PlantAdditions'!$E$103</f>
        <v>48225</v>
      </c>
      <c r="F390" s="37">
        <f t="shared" si="85"/>
        <v>691225</v>
      </c>
      <c r="G390" s="787">
        <v>0</v>
      </c>
      <c r="H390" s="787">
        <v>0</v>
      </c>
      <c r="I390" s="37">
        <f>(G390-H390)*'16-PlantAdditions'!$E$103</f>
        <v>0</v>
      </c>
      <c r="J390" s="37">
        <f t="shared" si="83"/>
        <v>68101744.984999999</v>
      </c>
      <c r="K390" s="37">
        <f t="shared" si="84"/>
        <v>2913898.2250000015</v>
      </c>
    </row>
    <row r="391" spans="1:11" s="474" customFormat="1">
      <c r="A391" s="64">
        <f t="shared" si="82"/>
        <v>295</v>
      </c>
      <c r="B391" s="439" t="s">
        <v>540</v>
      </c>
      <c r="C391" s="437">
        <v>2019</v>
      </c>
      <c r="D391" s="787">
        <v>5281916</v>
      </c>
      <c r="E391" s="37">
        <f>D391*'16-PlantAdditions'!$E$103</f>
        <v>396143.7</v>
      </c>
      <c r="F391" s="37">
        <f t="shared" si="85"/>
        <v>5678059.7000000002</v>
      </c>
      <c r="G391" s="787">
        <v>0</v>
      </c>
      <c r="H391" s="787">
        <v>0</v>
      </c>
      <c r="I391" s="37">
        <f>(G391-H391)*'16-PlantAdditions'!$E$103</f>
        <v>0</v>
      </c>
      <c r="J391" s="37">
        <f t="shared" si="83"/>
        <v>73779804.685000002</v>
      </c>
      <c r="K391" s="37">
        <f t="shared" si="84"/>
        <v>8591957.9250000045</v>
      </c>
    </row>
    <row r="392" spans="1:11" s="474" customFormat="1">
      <c r="A392" s="64">
        <f t="shared" si="82"/>
        <v>296</v>
      </c>
      <c r="B392" s="436" t="s">
        <v>358</v>
      </c>
      <c r="C392" s="437">
        <v>2019</v>
      </c>
      <c r="D392" s="787">
        <v>1858819</v>
      </c>
      <c r="E392" s="37">
        <f>D392*'16-PlantAdditions'!$E$103</f>
        <v>139411.42499999999</v>
      </c>
      <c r="F392" s="37">
        <f t="shared" si="85"/>
        <v>1998230.425</v>
      </c>
      <c r="G392" s="787">
        <v>0</v>
      </c>
      <c r="H392" s="787">
        <v>0</v>
      </c>
      <c r="I392" s="37">
        <f>(G392-H392)*'16-PlantAdditions'!$E$103</f>
        <v>0</v>
      </c>
      <c r="J392" s="37">
        <f t="shared" si="83"/>
        <v>75778035.109999999</v>
      </c>
      <c r="K392" s="37">
        <f t="shared" si="84"/>
        <v>10590188.350000001</v>
      </c>
    </row>
    <row r="393" spans="1:11" s="474" customFormat="1">
      <c r="A393" s="64">
        <f t="shared" si="82"/>
        <v>297</v>
      </c>
      <c r="B393" s="439" t="s">
        <v>359</v>
      </c>
      <c r="C393" s="437">
        <v>2019</v>
      </c>
      <c r="D393" s="787">
        <v>12669040</v>
      </c>
      <c r="E393" s="37">
        <f>D393*'16-PlantAdditions'!$E$103</f>
        <v>950178</v>
      </c>
      <c r="F393" s="37">
        <f t="shared" si="85"/>
        <v>13619218</v>
      </c>
      <c r="G393" s="787">
        <v>0</v>
      </c>
      <c r="H393" s="787">
        <v>0</v>
      </c>
      <c r="I393" s="37">
        <f>(G393-H393)*'16-PlantAdditions'!$E$103</f>
        <v>0</v>
      </c>
      <c r="J393" s="37">
        <f t="shared" si="83"/>
        <v>89397253.109999999</v>
      </c>
      <c r="K393" s="37">
        <f t="shared" si="84"/>
        <v>24209406.350000001</v>
      </c>
    </row>
    <row r="394" spans="1:11" s="474" customFormat="1">
      <c r="A394" s="64">
        <f t="shared" si="82"/>
        <v>298</v>
      </c>
      <c r="B394" s="439" t="s">
        <v>360</v>
      </c>
      <c r="C394" s="437">
        <v>2019</v>
      </c>
      <c r="D394" s="787">
        <v>4463498</v>
      </c>
      <c r="E394" s="37">
        <f>D394*'16-PlantAdditions'!$E$103</f>
        <v>334762.34999999998</v>
      </c>
      <c r="F394" s="37">
        <f t="shared" si="85"/>
        <v>4798260.3499999996</v>
      </c>
      <c r="G394" s="787">
        <v>0</v>
      </c>
      <c r="H394" s="787">
        <v>0</v>
      </c>
      <c r="I394" s="37">
        <f>(G394-H394)*'16-PlantAdditions'!$E$103</f>
        <v>0</v>
      </c>
      <c r="J394" s="37">
        <f t="shared" si="83"/>
        <v>94195513.459999993</v>
      </c>
      <c r="K394" s="37">
        <f t="shared" si="84"/>
        <v>29007666.699999996</v>
      </c>
    </row>
    <row r="395" spans="1:11" s="474" customFormat="1">
      <c r="A395" s="64">
        <f t="shared" si="82"/>
        <v>299</v>
      </c>
      <c r="B395" s="436" t="s">
        <v>361</v>
      </c>
      <c r="C395" s="437">
        <v>2019</v>
      </c>
      <c r="D395" s="787">
        <v>2662000</v>
      </c>
      <c r="E395" s="37">
        <f>D395*'16-PlantAdditions'!$E$103</f>
        <v>199650</v>
      </c>
      <c r="F395" s="37">
        <f t="shared" si="85"/>
        <v>2861650</v>
      </c>
      <c r="G395" s="787">
        <v>0</v>
      </c>
      <c r="H395" s="787">
        <v>0</v>
      </c>
      <c r="I395" s="37">
        <f>(G395-H395)*'16-PlantAdditions'!$E$103</f>
        <v>0</v>
      </c>
      <c r="J395" s="37">
        <f t="shared" si="83"/>
        <v>97057163.459999993</v>
      </c>
      <c r="K395" s="37">
        <f t="shared" si="84"/>
        <v>31869316.699999996</v>
      </c>
    </row>
    <row r="396" spans="1:11" s="474" customFormat="1">
      <c r="A396" s="64">
        <f t="shared" si="82"/>
        <v>300</v>
      </c>
      <c r="B396" s="436" t="s">
        <v>362</v>
      </c>
      <c r="C396" s="437">
        <v>2019</v>
      </c>
      <c r="D396" s="787">
        <v>7878000</v>
      </c>
      <c r="E396" s="37">
        <f>D396*'16-PlantAdditions'!$E$103</f>
        <v>590850</v>
      </c>
      <c r="F396" s="37">
        <f t="shared" si="85"/>
        <v>8468850</v>
      </c>
      <c r="G396" s="787">
        <v>0</v>
      </c>
      <c r="H396" s="787">
        <v>0</v>
      </c>
      <c r="I396" s="37">
        <f>(G396-H396)*'16-PlantAdditions'!$E$103</f>
        <v>0</v>
      </c>
      <c r="J396" s="37">
        <f t="shared" si="83"/>
        <v>105526013.45999999</v>
      </c>
      <c r="K396" s="37">
        <f t="shared" si="84"/>
        <v>40338166.699999996</v>
      </c>
    </row>
    <row r="397" spans="1:11" s="474" customFormat="1">
      <c r="A397" s="64">
        <f t="shared" si="82"/>
        <v>301</v>
      </c>
      <c r="B397" s="436" t="s">
        <v>350</v>
      </c>
      <c r="C397" s="437">
        <v>2019</v>
      </c>
      <c r="D397" s="787">
        <v>915000</v>
      </c>
      <c r="E397" s="37">
        <f>D397*'16-PlantAdditions'!$E$103</f>
        <v>68625</v>
      </c>
      <c r="F397" s="37">
        <f t="shared" si="85"/>
        <v>983625</v>
      </c>
      <c r="G397" s="787">
        <v>0</v>
      </c>
      <c r="H397" s="787">
        <v>0</v>
      </c>
      <c r="I397" s="37">
        <f>(G397-H397)*'16-PlantAdditions'!$E$103</f>
        <v>0</v>
      </c>
      <c r="J397" s="37">
        <f t="shared" si="83"/>
        <v>106509638.45999999</v>
      </c>
      <c r="K397" s="37">
        <f t="shared" si="84"/>
        <v>41321791.699999996</v>
      </c>
    </row>
    <row r="398" spans="1:11" s="474" customFormat="1">
      <c r="A398" s="64">
        <f t="shared" si="82"/>
        <v>302</v>
      </c>
      <c r="B398" s="436" t="s">
        <v>352</v>
      </c>
      <c r="C398" s="437">
        <v>2020</v>
      </c>
      <c r="D398" s="787">
        <v>2143000</v>
      </c>
      <c r="E398" s="37">
        <f>D398*'16-PlantAdditions'!$E$103</f>
        <v>160725</v>
      </c>
      <c r="F398" s="37">
        <f t="shared" si="85"/>
        <v>2303725</v>
      </c>
      <c r="G398" s="787">
        <v>0</v>
      </c>
      <c r="H398" s="787">
        <v>0</v>
      </c>
      <c r="I398" s="37">
        <f>(G398-H398)*'16-PlantAdditions'!$E$103</f>
        <v>0</v>
      </c>
      <c r="J398" s="37">
        <f t="shared" si="83"/>
        <v>108813363.45999999</v>
      </c>
      <c r="K398" s="37">
        <f t="shared" si="84"/>
        <v>43625516.699999996</v>
      </c>
    </row>
    <row r="399" spans="1:11" s="474" customFormat="1">
      <c r="A399" s="64">
        <f t="shared" si="82"/>
        <v>303</v>
      </c>
      <c r="B399" s="439" t="s">
        <v>353</v>
      </c>
      <c r="C399" s="437">
        <v>2020</v>
      </c>
      <c r="D399" s="787">
        <v>8579241</v>
      </c>
      <c r="E399" s="37">
        <f>D399*'16-PlantAdditions'!$E$103</f>
        <v>643443.07499999995</v>
      </c>
      <c r="F399" s="37">
        <f t="shared" si="85"/>
        <v>9222684.0749999993</v>
      </c>
      <c r="G399" s="787">
        <v>0</v>
      </c>
      <c r="H399" s="787">
        <v>0</v>
      </c>
      <c r="I399" s="37">
        <f>(G399-H399)*'16-PlantAdditions'!$E$103</f>
        <v>0</v>
      </c>
      <c r="J399" s="37">
        <f t="shared" si="83"/>
        <v>118036047.535</v>
      </c>
      <c r="K399" s="37">
        <f t="shared" si="84"/>
        <v>52848200.774999999</v>
      </c>
    </row>
    <row r="400" spans="1:11" s="474" customFormat="1">
      <c r="A400" s="64">
        <f t="shared" si="82"/>
        <v>304</v>
      </c>
      <c r="B400" s="439" t="s">
        <v>354</v>
      </c>
      <c r="C400" s="437">
        <v>2020</v>
      </c>
      <c r="D400" s="787">
        <v>6514652</v>
      </c>
      <c r="E400" s="37">
        <f>D400*'16-PlantAdditions'!$E$103</f>
        <v>488598.89999999997</v>
      </c>
      <c r="F400" s="37">
        <f t="shared" si="85"/>
        <v>7003250.9000000004</v>
      </c>
      <c r="G400" s="787">
        <v>0</v>
      </c>
      <c r="H400" s="787">
        <v>0</v>
      </c>
      <c r="I400" s="37">
        <f>(G400-H400)*'16-PlantAdditions'!$E$103</f>
        <v>0</v>
      </c>
      <c r="J400" s="37">
        <f t="shared" si="83"/>
        <v>125039298.435</v>
      </c>
      <c r="K400" s="37">
        <f t="shared" si="84"/>
        <v>59851451.675000004</v>
      </c>
    </row>
    <row r="401" spans="1:11" s="474" customFormat="1">
      <c r="A401" s="64">
        <f t="shared" si="82"/>
        <v>305</v>
      </c>
      <c r="B401" s="436" t="s">
        <v>355</v>
      </c>
      <c r="C401" s="437">
        <v>2020</v>
      </c>
      <c r="D401" s="787">
        <v>4540288</v>
      </c>
      <c r="E401" s="37">
        <f>D401*'16-PlantAdditions'!$E$103</f>
        <v>340521.6</v>
      </c>
      <c r="F401" s="37">
        <f t="shared" si="85"/>
        <v>4880809.5999999996</v>
      </c>
      <c r="G401" s="787">
        <v>0</v>
      </c>
      <c r="H401" s="787">
        <v>0</v>
      </c>
      <c r="I401" s="37">
        <f>(G401-H401)*'16-PlantAdditions'!$E$103</f>
        <v>0</v>
      </c>
      <c r="J401" s="37">
        <f t="shared" si="83"/>
        <v>129920108.035</v>
      </c>
      <c r="K401" s="37">
        <f t="shared" si="84"/>
        <v>64732261.274999999</v>
      </c>
    </row>
    <row r="402" spans="1:11" s="474" customFormat="1">
      <c r="A402" s="64">
        <f t="shared" si="82"/>
        <v>306</v>
      </c>
      <c r="B402" s="439" t="s">
        <v>356</v>
      </c>
      <c r="C402" s="437">
        <v>2020</v>
      </c>
      <c r="D402" s="787">
        <v>7891000</v>
      </c>
      <c r="E402" s="37">
        <f>D402*'16-PlantAdditions'!$E$103</f>
        <v>591825</v>
      </c>
      <c r="F402" s="37">
        <f t="shared" si="85"/>
        <v>8482825</v>
      </c>
      <c r="G402" s="787">
        <v>0</v>
      </c>
      <c r="H402" s="787">
        <v>0</v>
      </c>
      <c r="I402" s="37">
        <f>(G402-H402)*'16-PlantAdditions'!$E$103</f>
        <v>0</v>
      </c>
      <c r="J402" s="37">
        <f t="shared" si="83"/>
        <v>138402933.035</v>
      </c>
      <c r="K402" s="37">
        <f t="shared" si="84"/>
        <v>73215086.275000006</v>
      </c>
    </row>
    <row r="403" spans="1:11" s="474" customFormat="1">
      <c r="A403" s="64">
        <f t="shared" si="82"/>
        <v>307</v>
      </c>
      <c r="B403" s="439" t="s">
        <v>540</v>
      </c>
      <c r="C403" s="437">
        <v>2020</v>
      </c>
      <c r="D403" s="787">
        <v>5229829</v>
      </c>
      <c r="E403" s="37">
        <f>D403*'16-PlantAdditions'!$E$103</f>
        <v>392237.17499999999</v>
      </c>
      <c r="F403" s="37">
        <f t="shared" si="85"/>
        <v>5622066.1749999998</v>
      </c>
      <c r="G403" s="787">
        <v>0</v>
      </c>
      <c r="H403" s="787">
        <v>0</v>
      </c>
      <c r="I403" s="37">
        <f>(G403-H403)*'16-PlantAdditions'!$E$103</f>
        <v>0</v>
      </c>
      <c r="J403" s="37">
        <f t="shared" si="83"/>
        <v>144024999.21000001</v>
      </c>
      <c r="K403" s="37">
        <f t="shared" si="84"/>
        <v>78837152.450000018</v>
      </c>
    </row>
    <row r="404" spans="1:11" s="474" customFormat="1">
      <c r="A404" s="64">
        <f t="shared" si="82"/>
        <v>308</v>
      </c>
      <c r="B404" s="436" t="s">
        <v>358</v>
      </c>
      <c r="C404" s="437">
        <v>2020</v>
      </c>
      <c r="D404" s="787">
        <v>3452000</v>
      </c>
      <c r="E404" s="37">
        <f>D404*'16-PlantAdditions'!$E$103</f>
        <v>258900</v>
      </c>
      <c r="F404" s="37">
        <f t="shared" si="85"/>
        <v>3710900</v>
      </c>
      <c r="G404" s="787">
        <v>0</v>
      </c>
      <c r="H404" s="787">
        <v>0</v>
      </c>
      <c r="I404" s="37">
        <f>(G404-H404)*'16-PlantAdditions'!$E$103</f>
        <v>0</v>
      </c>
      <c r="J404" s="37">
        <f t="shared" si="83"/>
        <v>147735899.21000001</v>
      </c>
      <c r="K404" s="37">
        <f t="shared" si="84"/>
        <v>82548052.450000018</v>
      </c>
    </row>
    <row r="405" spans="1:11" s="474" customFormat="1">
      <c r="A405" s="64">
        <f t="shared" si="82"/>
        <v>309</v>
      </c>
      <c r="B405" s="439" t="s">
        <v>359</v>
      </c>
      <c r="C405" s="437">
        <v>2020</v>
      </c>
      <c r="D405" s="787">
        <v>3269000</v>
      </c>
      <c r="E405" s="37">
        <f>D405*'16-PlantAdditions'!$E$103</f>
        <v>245175</v>
      </c>
      <c r="F405" s="37">
        <f t="shared" si="85"/>
        <v>3514175</v>
      </c>
      <c r="G405" s="787">
        <v>0</v>
      </c>
      <c r="H405" s="787">
        <v>0</v>
      </c>
      <c r="I405" s="37">
        <f>(G405-H405)*'16-PlantAdditions'!$E$103</f>
        <v>0</v>
      </c>
      <c r="J405" s="37">
        <f t="shared" si="83"/>
        <v>151250074.21000001</v>
      </c>
      <c r="K405" s="37">
        <f t="shared" si="84"/>
        <v>86062227.450000018</v>
      </c>
    </row>
    <row r="406" spans="1:11" s="474" customFormat="1">
      <c r="A406" s="64">
        <f t="shared" si="82"/>
        <v>310</v>
      </c>
      <c r="B406" s="439" t="s">
        <v>360</v>
      </c>
      <c r="C406" s="437">
        <v>2020</v>
      </c>
      <c r="D406" s="787">
        <v>3135000</v>
      </c>
      <c r="E406" s="37">
        <f>D406*'16-PlantAdditions'!$E$103</f>
        <v>235125</v>
      </c>
      <c r="F406" s="37">
        <f t="shared" si="85"/>
        <v>3370125</v>
      </c>
      <c r="G406" s="787">
        <v>0</v>
      </c>
      <c r="H406" s="787">
        <v>0</v>
      </c>
      <c r="I406" s="37">
        <f>(G406-H406)*'16-PlantAdditions'!$E$103</f>
        <v>0</v>
      </c>
      <c r="J406" s="37">
        <f t="shared" si="83"/>
        <v>154620199.21000001</v>
      </c>
      <c r="K406" s="37">
        <f t="shared" si="84"/>
        <v>89432352.450000018</v>
      </c>
    </row>
    <row r="407" spans="1:11" s="474" customFormat="1">
      <c r="A407" s="64">
        <f t="shared" si="82"/>
        <v>311</v>
      </c>
      <c r="B407" s="439" t="s">
        <v>361</v>
      </c>
      <c r="C407" s="437">
        <v>2020</v>
      </c>
      <c r="D407" s="787">
        <v>4696830</v>
      </c>
      <c r="E407" s="37">
        <f>D407*'16-PlantAdditions'!$E$103</f>
        <v>352262.25</v>
      </c>
      <c r="F407" s="37">
        <f t="shared" ref="F407:F409" si="86">E407+D407</f>
        <v>5049092.25</v>
      </c>
      <c r="G407" s="787">
        <v>0</v>
      </c>
      <c r="H407" s="787">
        <v>0</v>
      </c>
      <c r="I407" s="37">
        <f>(G407-H407)*'16-PlantAdditions'!$E$103</f>
        <v>0</v>
      </c>
      <c r="J407" s="37">
        <f t="shared" ref="J407:J409" si="87">J406+F407-G407-I407</f>
        <v>159669291.46000001</v>
      </c>
      <c r="K407" s="37">
        <f t="shared" si="84"/>
        <v>94481444.700000018</v>
      </c>
    </row>
    <row r="408" spans="1:11" s="474" customFormat="1">
      <c r="A408" s="64">
        <f t="shared" si="82"/>
        <v>312</v>
      </c>
      <c r="B408" s="439" t="s">
        <v>362</v>
      </c>
      <c r="C408" s="437">
        <v>2020</v>
      </c>
      <c r="D408" s="787">
        <v>7090206</v>
      </c>
      <c r="E408" s="37">
        <f>D408*'16-PlantAdditions'!$E$103</f>
        <v>531765.44999999995</v>
      </c>
      <c r="F408" s="37">
        <f t="shared" si="86"/>
        <v>7621971.4500000002</v>
      </c>
      <c r="G408" s="787">
        <v>0</v>
      </c>
      <c r="H408" s="787">
        <v>0</v>
      </c>
      <c r="I408" s="37">
        <f>(G408-H408)*'16-PlantAdditions'!$E$103</f>
        <v>0</v>
      </c>
      <c r="J408" s="37">
        <f t="shared" si="87"/>
        <v>167291262.91</v>
      </c>
      <c r="K408" s="37">
        <f t="shared" si="84"/>
        <v>102103416.15000001</v>
      </c>
    </row>
    <row r="409" spans="1:11" s="474" customFormat="1">
      <c r="A409" s="64">
        <f t="shared" si="82"/>
        <v>313</v>
      </c>
      <c r="B409" s="439" t="s">
        <v>350</v>
      </c>
      <c r="C409" s="437">
        <v>2020</v>
      </c>
      <c r="D409" s="787">
        <v>9102555</v>
      </c>
      <c r="E409" s="37">
        <f>D409*'16-PlantAdditions'!$E$103</f>
        <v>682691.625</v>
      </c>
      <c r="F409" s="37">
        <f t="shared" si="86"/>
        <v>9785246.625</v>
      </c>
      <c r="G409" s="787">
        <v>0</v>
      </c>
      <c r="H409" s="787">
        <v>0</v>
      </c>
      <c r="I409" s="37">
        <f>(G409-H409)*'16-PlantAdditions'!$E$103</f>
        <v>0</v>
      </c>
      <c r="J409" s="37">
        <f t="shared" si="87"/>
        <v>177076509.535</v>
      </c>
      <c r="K409" s="65">
        <f t="shared" si="84"/>
        <v>111888662.77500001</v>
      </c>
    </row>
    <row r="410" spans="1:11" s="474" customFormat="1">
      <c r="A410" s="64">
        <f t="shared" si="82"/>
        <v>314</v>
      </c>
      <c r="B410" s="768"/>
      <c r="C410" s="473" t="s">
        <v>1096</v>
      </c>
      <c r="H410" s="478"/>
      <c r="I410" s="478"/>
      <c r="K410" s="43">
        <f>AVERAGE(K397:K409)</f>
        <v>75457508.98653847</v>
      </c>
    </row>
    <row r="411" spans="1:11" s="474" customFormat="1">
      <c r="A411" s="64"/>
      <c r="B411" s="768"/>
      <c r="C411" s="473"/>
      <c r="H411" s="478"/>
      <c r="I411" s="478"/>
      <c r="K411" s="43"/>
    </row>
    <row r="412" spans="1:11" s="474" customFormat="1">
      <c r="B412" s="475" t="s">
        <v>1120</v>
      </c>
      <c r="D412" s="853"/>
      <c r="E412" s="853"/>
      <c r="F412" s="58"/>
      <c r="G412" s="58"/>
    </row>
    <row r="413" spans="1:11" s="474" customFormat="1">
      <c r="A413" s="469"/>
      <c r="B413" s="469"/>
      <c r="C413" s="469"/>
      <c r="D413" s="469" t="s">
        <v>307</v>
      </c>
      <c r="E413" s="469" t="s">
        <v>308</v>
      </c>
      <c r="F413" s="469" t="s">
        <v>309</v>
      </c>
      <c r="G413" s="469" t="s">
        <v>310</v>
      </c>
      <c r="H413" s="469" t="s">
        <v>311</v>
      </c>
      <c r="I413" s="469" t="s">
        <v>312</v>
      </c>
      <c r="J413" s="469" t="s">
        <v>313</v>
      </c>
      <c r="K413" s="469" t="s">
        <v>314</v>
      </c>
    </row>
    <row r="414" spans="1:11" s="474" customFormat="1" ht="38.25">
      <c r="D414" s="476"/>
      <c r="E414" s="477" t="s">
        <v>1099</v>
      </c>
      <c r="F414" s="478" t="s">
        <v>1100</v>
      </c>
      <c r="G414" s="307"/>
      <c r="H414" s="476"/>
      <c r="I414" s="477" t="s">
        <v>1101</v>
      </c>
      <c r="J414" s="477" t="s">
        <v>1102</v>
      </c>
      <c r="K414" s="477" t="s">
        <v>1103</v>
      </c>
    </row>
    <row r="415" spans="1:11" s="474" customFormat="1">
      <c r="D415" s="476"/>
      <c r="E415" s="477"/>
      <c r="F415" s="478"/>
      <c r="G415" s="3" t="str">
        <f>G85</f>
        <v>Unloaded</v>
      </c>
      <c r="H415" s="476"/>
      <c r="I415" s="477"/>
      <c r="J415" s="477"/>
      <c r="K415" s="477"/>
    </row>
    <row r="416" spans="1:11" s="474" customFormat="1">
      <c r="A416" s="471"/>
      <c r="B416" s="471"/>
      <c r="C416" s="471"/>
      <c r="D416" s="471" t="str">
        <f>D$52</f>
        <v>Forecast</v>
      </c>
      <c r="E416" s="471" t="str">
        <f t="shared" ref="E416:J416" si="88">E$52</f>
        <v>Corporate</v>
      </c>
      <c r="F416" s="471" t="str">
        <f t="shared" si="88"/>
        <v xml:space="preserve">Total </v>
      </c>
      <c r="G416" s="3" t="str">
        <f>G86</f>
        <v>Total</v>
      </c>
      <c r="H416" s="471" t="str">
        <f t="shared" si="88"/>
        <v>Prior Period</v>
      </c>
      <c r="I416" s="471" t="str">
        <f t="shared" si="88"/>
        <v>Over Heads</v>
      </c>
      <c r="J416" s="471" t="str">
        <f t="shared" si="88"/>
        <v>Forecast</v>
      </c>
      <c r="K416" s="471" t="str">
        <f>K$52</f>
        <v>Forecast Period</v>
      </c>
    </row>
    <row r="417" spans="1:11" s="474" customFormat="1">
      <c r="A417" s="663" t="s">
        <v>243</v>
      </c>
      <c r="B417" s="435" t="s">
        <v>342</v>
      </c>
      <c r="C417" s="435" t="s">
        <v>343</v>
      </c>
      <c r="D417" s="469" t="str">
        <f>D$53</f>
        <v>Expenditures</v>
      </c>
      <c r="E417" s="469" t="str">
        <f t="shared" ref="E417:J417" si="89">E$53</f>
        <v>Overheads</v>
      </c>
      <c r="F417" s="469" t="str">
        <f t="shared" si="89"/>
        <v>CWIP Exp</v>
      </c>
      <c r="G417" s="52" t="str">
        <f>G87</f>
        <v>Plant Adds</v>
      </c>
      <c r="H417" s="469" t="str">
        <f t="shared" si="89"/>
        <v>CWIP Closed</v>
      </c>
      <c r="I417" s="469" t="str">
        <f t="shared" si="89"/>
        <v>Closed to PIS</v>
      </c>
      <c r="J417" s="469" t="str">
        <f t="shared" si="89"/>
        <v>Period CWIP</v>
      </c>
      <c r="K417" s="469" t="str">
        <f>K$53</f>
        <v>Incremental CWIP</v>
      </c>
    </row>
    <row r="418" spans="1:11" s="474" customFormat="1">
      <c r="A418" s="64">
        <f>A410+1</f>
        <v>315</v>
      </c>
      <c r="B418" s="436" t="s">
        <v>350</v>
      </c>
      <c r="C418" s="437">
        <v>2018</v>
      </c>
      <c r="D418" s="478" t="s">
        <v>351</v>
      </c>
      <c r="E418" s="478" t="s">
        <v>351</v>
      </c>
      <c r="F418" s="478" t="s">
        <v>351</v>
      </c>
      <c r="G418" s="478" t="s">
        <v>351</v>
      </c>
      <c r="H418" s="478" t="s">
        <v>351</v>
      </c>
      <c r="I418" s="478" t="s">
        <v>351</v>
      </c>
      <c r="J418" s="37">
        <v>0</v>
      </c>
      <c r="K418" s="478" t="s">
        <v>351</v>
      </c>
    </row>
    <row r="419" spans="1:11" s="474" customFormat="1">
      <c r="A419" s="64">
        <f>A418+1</f>
        <v>316</v>
      </c>
      <c r="B419" s="436" t="s">
        <v>352</v>
      </c>
      <c r="C419" s="437">
        <v>2019</v>
      </c>
      <c r="D419" s="787"/>
      <c r="E419" s="37">
        <f>D419*'16-PlantAdditions'!$E$103</f>
        <v>0</v>
      </c>
      <c r="F419" s="37">
        <f>E419+D419</f>
        <v>0</v>
      </c>
      <c r="G419" s="787"/>
      <c r="H419" s="787"/>
      <c r="I419" s="37">
        <f>(G419-H419)*'16-PlantAdditions'!$E$103</f>
        <v>0</v>
      </c>
      <c r="J419" s="37">
        <f>J418+F419-G419-I419</f>
        <v>0</v>
      </c>
      <c r="K419" s="37">
        <f>J419-$J$418</f>
        <v>0</v>
      </c>
    </row>
    <row r="420" spans="1:11" s="474" customFormat="1">
      <c r="A420" s="64">
        <f t="shared" ref="A420:A443" si="90">A419+1</f>
        <v>317</v>
      </c>
      <c r="B420" s="439" t="s">
        <v>353</v>
      </c>
      <c r="C420" s="437">
        <v>2019</v>
      </c>
      <c r="D420" s="787"/>
      <c r="E420" s="37">
        <f>D420*'16-PlantAdditions'!$E$103</f>
        <v>0</v>
      </c>
      <c r="F420" s="37">
        <f t="shared" ref="F420:F442" si="91">E420+D420</f>
        <v>0</v>
      </c>
      <c r="G420" s="787"/>
      <c r="H420" s="787"/>
      <c r="I420" s="37">
        <f>(G420-H420)*'16-PlantAdditions'!$E$103</f>
        <v>0</v>
      </c>
      <c r="J420" s="37">
        <f t="shared" ref="J420:J442" si="92">J419+F420-G420-I420</f>
        <v>0</v>
      </c>
      <c r="K420" s="37">
        <f t="shared" ref="K420:K442" si="93">J420-$J$418</f>
        <v>0</v>
      </c>
    </row>
    <row r="421" spans="1:11" s="474" customFormat="1">
      <c r="A421" s="64">
        <f t="shared" si="90"/>
        <v>318</v>
      </c>
      <c r="B421" s="439" t="s">
        <v>354</v>
      </c>
      <c r="C421" s="437">
        <v>2019</v>
      </c>
      <c r="D421" s="787"/>
      <c r="E421" s="37">
        <f>D421*'16-PlantAdditions'!$E$103</f>
        <v>0</v>
      </c>
      <c r="F421" s="37">
        <f t="shared" si="91"/>
        <v>0</v>
      </c>
      <c r="G421" s="787"/>
      <c r="H421" s="787"/>
      <c r="I421" s="37">
        <f>(G421-H421)*'16-PlantAdditions'!$E$103</f>
        <v>0</v>
      </c>
      <c r="J421" s="37">
        <f t="shared" si="92"/>
        <v>0</v>
      </c>
      <c r="K421" s="37">
        <f t="shared" si="93"/>
        <v>0</v>
      </c>
    </row>
    <row r="422" spans="1:11" s="474" customFormat="1">
      <c r="A422" s="64">
        <f t="shared" si="90"/>
        <v>319</v>
      </c>
      <c r="B422" s="436" t="s">
        <v>355</v>
      </c>
      <c r="C422" s="437">
        <v>2019</v>
      </c>
      <c r="D422" s="787"/>
      <c r="E422" s="37">
        <f>D422*'16-PlantAdditions'!$E$103</f>
        <v>0</v>
      </c>
      <c r="F422" s="37">
        <f t="shared" si="91"/>
        <v>0</v>
      </c>
      <c r="G422" s="787"/>
      <c r="H422" s="787"/>
      <c r="I422" s="37">
        <f>(G422-H422)*'16-PlantAdditions'!$E$103</f>
        <v>0</v>
      </c>
      <c r="J422" s="37">
        <f t="shared" si="92"/>
        <v>0</v>
      </c>
      <c r="K422" s="37">
        <f t="shared" si="93"/>
        <v>0</v>
      </c>
    </row>
    <row r="423" spans="1:11" s="474" customFormat="1">
      <c r="A423" s="64">
        <f t="shared" si="90"/>
        <v>320</v>
      </c>
      <c r="B423" s="439" t="s">
        <v>356</v>
      </c>
      <c r="C423" s="437">
        <v>2019</v>
      </c>
      <c r="D423" s="787"/>
      <c r="E423" s="37">
        <f>D423*'16-PlantAdditions'!$E$103</f>
        <v>0</v>
      </c>
      <c r="F423" s="37">
        <f t="shared" si="91"/>
        <v>0</v>
      </c>
      <c r="G423" s="787"/>
      <c r="H423" s="787"/>
      <c r="I423" s="37">
        <f>(G423-H423)*'16-PlantAdditions'!$E$103</f>
        <v>0</v>
      </c>
      <c r="J423" s="37">
        <f t="shared" si="92"/>
        <v>0</v>
      </c>
      <c r="K423" s="37">
        <f t="shared" si="93"/>
        <v>0</v>
      </c>
    </row>
    <row r="424" spans="1:11" s="474" customFormat="1">
      <c r="A424" s="64">
        <f t="shared" si="90"/>
        <v>321</v>
      </c>
      <c r="B424" s="439" t="s">
        <v>540</v>
      </c>
      <c r="C424" s="437">
        <v>2019</v>
      </c>
      <c r="D424" s="787"/>
      <c r="E424" s="37">
        <f>D424*'16-PlantAdditions'!$E$103</f>
        <v>0</v>
      </c>
      <c r="F424" s="37">
        <f t="shared" si="91"/>
        <v>0</v>
      </c>
      <c r="G424" s="787"/>
      <c r="H424" s="787"/>
      <c r="I424" s="37">
        <f>(G424-H424)*'16-PlantAdditions'!$E$103</f>
        <v>0</v>
      </c>
      <c r="J424" s="37">
        <f t="shared" si="92"/>
        <v>0</v>
      </c>
      <c r="K424" s="37">
        <f t="shared" si="93"/>
        <v>0</v>
      </c>
    </row>
    <row r="425" spans="1:11" s="474" customFormat="1">
      <c r="A425" s="64">
        <f t="shared" si="90"/>
        <v>322</v>
      </c>
      <c r="B425" s="436" t="s">
        <v>358</v>
      </c>
      <c r="C425" s="437">
        <v>2019</v>
      </c>
      <c r="D425" s="787"/>
      <c r="E425" s="37">
        <f>D425*'16-PlantAdditions'!$E$103</f>
        <v>0</v>
      </c>
      <c r="F425" s="37">
        <f t="shared" si="91"/>
        <v>0</v>
      </c>
      <c r="G425" s="787"/>
      <c r="H425" s="787"/>
      <c r="I425" s="37">
        <f>(G425-H425)*'16-PlantAdditions'!$E$103</f>
        <v>0</v>
      </c>
      <c r="J425" s="37">
        <f t="shared" si="92"/>
        <v>0</v>
      </c>
      <c r="K425" s="37">
        <f t="shared" si="93"/>
        <v>0</v>
      </c>
    </row>
    <row r="426" spans="1:11" s="474" customFormat="1">
      <c r="A426" s="64">
        <f t="shared" si="90"/>
        <v>323</v>
      </c>
      <c r="B426" s="439" t="s">
        <v>359</v>
      </c>
      <c r="C426" s="437">
        <v>2019</v>
      </c>
      <c r="D426" s="787"/>
      <c r="E426" s="37">
        <f>D426*'16-PlantAdditions'!$E$103</f>
        <v>0</v>
      </c>
      <c r="F426" s="37">
        <f t="shared" si="91"/>
        <v>0</v>
      </c>
      <c r="G426" s="787"/>
      <c r="H426" s="787"/>
      <c r="I426" s="37">
        <f>(G426-H426)*'16-PlantAdditions'!$E$103</f>
        <v>0</v>
      </c>
      <c r="J426" s="37">
        <f t="shared" si="92"/>
        <v>0</v>
      </c>
      <c r="K426" s="37">
        <f t="shared" si="93"/>
        <v>0</v>
      </c>
    </row>
    <row r="427" spans="1:11" s="474" customFormat="1">
      <c r="A427" s="64">
        <f t="shared" si="90"/>
        <v>324</v>
      </c>
      <c r="B427" s="439" t="s">
        <v>360</v>
      </c>
      <c r="C427" s="437">
        <v>2019</v>
      </c>
      <c r="D427" s="787"/>
      <c r="E427" s="37">
        <f>D427*'16-PlantAdditions'!$E$103</f>
        <v>0</v>
      </c>
      <c r="F427" s="37">
        <f t="shared" si="91"/>
        <v>0</v>
      </c>
      <c r="G427" s="787"/>
      <c r="H427" s="787"/>
      <c r="I427" s="37">
        <f>(G427-H427)*'16-PlantAdditions'!$E$103</f>
        <v>0</v>
      </c>
      <c r="J427" s="37">
        <f t="shared" si="92"/>
        <v>0</v>
      </c>
      <c r="K427" s="37">
        <f t="shared" si="93"/>
        <v>0</v>
      </c>
    </row>
    <row r="428" spans="1:11" s="474" customFormat="1">
      <c r="A428" s="64">
        <f t="shared" si="90"/>
        <v>325</v>
      </c>
      <c r="B428" s="436" t="s">
        <v>361</v>
      </c>
      <c r="C428" s="437">
        <v>2019</v>
      </c>
      <c r="D428" s="787"/>
      <c r="E428" s="37">
        <f>D428*'16-PlantAdditions'!$E$103</f>
        <v>0</v>
      </c>
      <c r="F428" s="37">
        <f t="shared" si="91"/>
        <v>0</v>
      </c>
      <c r="G428" s="787"/>
      <c r="H428" s="787"/>
      <c r="I428" s="37">
        <f>(G428-H428)*'16-PlantAdditions'!$E$103</f>
        <v>0</v>
      </c>
      <c r="J428" s="37">
        <f t="shared" si="92"/>
        <v>0</v>
      </c>
      <c r="K428" s="37">
        <f t="shared" si="93"/>
        <v>0</v>
      </c>
    </row>
    <row r="429" spans="1:11" s="474" customFormat="1">
      <c r="A429" s="64">
        <f t="shared" si="90"/>
        <v>326</v>
      </c>
      <c r="B429" s="436" t="s">
        <v>362</v>
      </c>
      <c r="C429" s="437">
        <v>2019</v>
      </c>
      <c r="D429" s="787"/>
      <c r="E429" s="37">
        <f>D429*'16-PlantAdditions'!$E$103</f>
        <v>0</v>
      </c>
      <c r="F429" s="37">
        <f t="shared" si="91"/>
        <v>0</v>
      </c>
      <c r="G429" s="787"/>
      <c r="H429" s="787"/>
      <c r="I429" s="37">
        <f>(G429-H429)*'16-PlantAdditions'!$E$103</f>
        <v>0</v>
      </c>
      <c r="J429" s="37">
        <f t="shared" si="92"/>
        <v>0</v>
      </c>
      <c r="K429" s="37">
        <f t="shared" si="93"/>
        <v>0</v>
      </c>
    </row>
    <row r="430" spans="1:11" s="474" customFormat="1">
      <c r="A430" s="64">
        <f t="shared" si="90"/>
        <v>327</v>
      </c>
      <c r="B430" s="436" t="s">
        <v>350</v>
      </c>
      <c r="C430" s="437">
        <v>2019</v>
      </c>
      <c r="D430" s="787"/>
      <c r="E430" s="37">
        <f>D430*'16-PlantAdditions'!$E$103</f>
        <v>0</v>
      </c>
      <c r="F430" s="37">
        <f t="shared" si="91"/>
        <v>0</v>
      </c>
      <c r="G430" s="787"/>
      <c r="H430" s="787"/>
      <c r="I430" s="37">
        <f>(G430-H430)*'16-PlantAdditions'!$E$103</f>
        <v>0</v>
      </c>
      <c r="J430" s="37">
        <f t="shared" si="92"/>
        <v>0</v>
      </c>
      <c r="K430" s="37">
        <f t="shared" si="93"/>
        <v>0</v>
      </c>
    </row>
    <row r="431" spans="1:11" s="474" customFormat="1">
      <c r="A431" s="64">
        <f t="shared" si="90"/>
        <v>328</v>
      </c>
      <c r="B431" s="436" t="s">
        <v>352</v>
      </c>
      <c r="C431" s="437">
        <v>2020</v>
      </c>
      <c r="D431" s="787"/>
      <c r="E431" s="37">
        <f>D431*'16-PlantAdditions'!$E$103</f>
        <v>0</v>
      </c>
      <c r="F431" s="37">
        <f t="shared" si="91"/>
        <v>0</v>
      </c>
      <c r="G431" s="787"/>
      <c r="H431" s="787"/>
      <c r="I431" s="37">
        <f>(G431-H431)*'16-PlantAdditions'!$E$103</f>
        <v>0</v>
      </c>
      <c r="J431" s="37">
        <f t="shared" si="92"/>
        <v>0</v>
      </c>
      <c r="K431" s="37">
        <f t="shared" si="93"/>
        <v>0</v>
      </c>
    </row>
    <row r="432" spans="1:11" s="474" customFormat="1">
      <c r="A432" s="64">
        <f t="shared" si="90"/>
        <v>329</v>
      </c>
      <c r="B432" s="439" t="s">
        <v>353</v>
      </c>
      <c r="C432" s="437">
        <v>2020</v>
      </c>
      <c r="D432" s="787"/>
      <c r="E432" s="37">
        <f>D432*'16-PlantAdditions'!$E$103</f>
        <v>0</v>
      </c>
      <c r="F432" s="37">
        <f t="shared" si="91"/>
        <v>0</v>
      </c>
      <c r="G432" s="787"/>
      <c r="H432" s="787"/>
      <c r="I432" s="37">
        <f>(G432-H432)*'16-PlantAdditions'!$E$103</f>
        <v>0</v>
      </c>
      <c r="J432" s="37">
        <f t="shared" si="92"/>
        <v>0</v>
      </c>
      <c r="K432" s="37">
        <f t="shared" si="93"/>
        <v>0</v>
      </c>
    </row>
    <row r="433" spans="1:11" s="474" customFormat="1">
      <c r="A433" s="64">
        <f t="shared" si="90"/>
        <v>330</v>
      </c>
      <c r="B433" s="439" t="s">
        <v>354</v>
      </c>
      <c r="C433" s="437">
        <v>2020</v>
      </c>
      <c r="D433" s="787"/>
      <c r="E433" s="37">
        <f>D433*'16-PlantAdditions'!$E$103</f>
        <v>0</v>
      </c>
      <c r="F433" s="37">
        <f t="shared" si="91"/>
        <v>0</v>
      </c>
      <c r="G433" s="787"/>
      <c r="H433" s="787"/>
      <c r="I433" s="37">
        <f>(G433-H433)*'16-PlantAdditions'!$E$103</f>
        <v>0</v>
      </c>
      <c r="J433" s="37">
        <f t="shared" si="92"/>
        <v>0</v>
      </c>
      <c r="K433" s="37">
        <f t="shared" si="93"/>
        <v>0</v>
      </c>
    </row>
    <row r="434" spans="1:11" s="474" customFormat="1">
      <c r="A434" s="64">
        <f t="shared" si="90"/>
        <v>331</v>
      </c>
      <c r="B434" s="436" t="s">
        <v>355</v>
      </c>
      <c r="C434" s="437">
        <v>2020</v>
      </c>
      <c r="D434" s="787"/>
      <c r="E434" s="37">
        <f>D434*'16-PlantAdditions'!$E$103</f>
        <v>0</v>
      </c>
      <c r="F434" s="37">
        <f t="shared" si="91"/>
        <v>0</v>
      </c>
      <c r="G434" s="787"/>
      <c r="H434" s="787"/>
      <c r="I434" s="37">
        <f>(G434-H434)*'16-PlantAdditions'!$E$103</f>
        <v>0</v>
      </c>
      <c r="J434" s="37">
        <f t="shared" si="92"/>
        <v>0</v>
      </c>
      <c r="K434" s="37">
        <f t="shared" si="93"/>
        <v>0</v>
      </c>
    </row>
    <row r="435" spans="1:11" s="474" customFormat="1">
      <c r="A435" s="64">
        <f t="shared" si="90"/>
        <v>332</v>
      </c>
      <c r="B435" s="439" t="s">
        <v>356</v>
      </c>
      <c r="C435" s="437">
        <v>2020</v>
      </c>
      <c r="D435" s="787"/>
      <c r="E435" s="37">
        <f>D435*'16-PlantAdditions'!$E$103</f>
        <v>0</v>
      </c>
      <c r="F435" s="37">
        <f t="shared" si="91"/>
        <v>0</v>
      </c>
      <c r="G435" s="787"/>
      <c r="H435" s="787"/>
      <c r="I435" s="37">
        <f>(G435-H435)*'16-PlantAdditions'!$E$103</f>
        <v>0</v>
      </c>
      <c r="J435" s="37">
        <f t="shared" si="92"/>
        <v>0</v>
      </c>
      <c r="K435" s="37">
        <f t="shared" si="93"/>
        <v>0</v>
      </c>
    </row>
    <row r="436" spans="1:11" s="474" customFormat="1">
      <c r="A436" s="64">
        <f t="shared" si="90"/>
        <v>333</v>
      </c>
      <c r="B436" s="439" t="s">
        <v>540</v>
      </c>
      <c r="C436" s="437">
        <v>2020</v>
      </c>
      <c r="D436" s="787"/>
      <c r="E436" s="37">
        <f>D436*'16-PlantAdditions'!$E$103</f>
        <v>0</v>
      </c>
      <c r="F436" s="37">
        <f t="shared" si="91"/>
        <v>0</v>
      </c>
      <c r="G436" s="787"/>
      <c r="H436" s="787"/>
      <c r="I436" s="37">
        <f>(G436-H436)*'16-PlantAdditions'!$E$103</f>
        <v>0</v>
      </c>
      <c r="J436" s="37">
        <f t="shared" si="92"/>
        <v>0</v>
      </c>
      <c r="K436" s="37">
        <f t="shared" si="93"/>
        <v>0</v>
      </c>
    </row>
    <row r="437" spans="1:11" s="474" customFormat="1">
      <c r="A437" s="64">
        <f t="shared" si="90"/>
        <v>334</v>
      </c>
      <c r="B437" s="436" t="s">
        <v>358</v>
      </c>
      <c r="C437" s="437">
        <v>2020</v>
      </c>
      <c r="D437" s="787"/>
      <c r="E437" s="37">
        <f>D437*'16-PlantAdditions'!$E$103</f>
        <v>0</v>
      </c>
      <c r="F437" s="37">
        <f t="shared" si="91"/>
        <v>0</v>
      </c>
      <c r="G437" s="787"/>
      <c r="H437" s="787"/>
      <c r="I437" s="37">
        <f>(G437-H437)*'16-PlantAdditions'!$E$103</f>
        <v>0</v>
      </c>
      <c r="J437" s="37">
        <f t="shared" si="92"/>
        <v>0</v>
      </c>
      <c r="K437" s="37">
        <f t="shared" si="93"/>
        <v>0</v>
      </c>
    </row>
    <row r="438" spans="1:11" s="474" customFormat="1">
      <c r="A438" s="64">
        <f t="shared" si="90"/>
        <v>335</v>
      </c>
      <c r="B438" s="439" t="s">
        <v>359</v>
      </c>
      <c r="C438" s="437">
        <v>2020</v>
      </c>
      <c r="D438" s="787"/>
      <c r="E438" s="37">
        <f>D438*'16-PlantAdditions'!$E$103</f>
        <v>0</v>
      </c>
      <c r="F438" s="37">
        <f t="shared" si="91"/>
        <v>0</v>
      </c>
      <c r="G438" s="787"/>
      <c r="H438" s="787"/>
      <c r="I438" s="37">
        <f>(G438-H438)*'16-PlantAdditions'!$E$103</f>
        <v>0</v>
      </c>
      <c r="J438" s="37">
        <f t="shared" si="92"/>
        <v>0</v>
      </c>
      <c r="K438" s="37">
        <f t="shared" si="93"/>
        <v>0</v>
      </c>
    </row>
    <row r="439" spans="1:11" s="474" customFormat="1">
      <c r="A439" s="64">
        <f t="shared" si="90"/>
        <v>336</v>
      </c>
      <c r="B439" s="439" t="s">
        <v>360</v>
      </c>
      <c r="C439" s="437">
        <v>2020</v>
      </c>
      <c r="D439" s="787"/>
      <c r="E439" s="37">
        <f>D439*'16-PlantAdditions'!$E$103</f>
        <v>0</v>
      </c>
      <c r="F439" s="37">
        <f t="shared" si="91"/>
        <v>0</v>
      </c>
      <c r="G439" s="787"/>
      <c r="H439" s="787"/>
      <c r="I439" s="37">
        <f>(G439-H439)*'16-PlantAdditions'!$E$103</f>
        <v>0</v>
      </c>
      <c r="J439" s="37">
        <f t="shared" si="92"/>
        <v>0</v>
      </c>
      <c r="K439" s="37">
        <f t="shared" si="93"/>
        <v>0</v>
      </c>
    </row>
    <row r="440" spans="1:11" s="474" customFormat="1">
      <c r="A440" s="64">
        <f t="shared" si="90"/>
        <v>337</v>
      </c>
      <c r="B440" s="439" t="s">
        <v>361</v>
      </c>
      <c r="C440" s="437">
        <v>2020</v>
      </c>
      <c r="D440" s="787"/>
      <c r="E440" s="37">
        <f>D440*'16-PlantAdditions'!$E$103</f>
        <v>0</v>
      </c>
      <c r="F440" s="37">
        <f t="shared" si="91"/>
        <v>0</v>
      </c>
      <c r="G440" s="787"/>
      <c r="H440" s="787"/>
      <c r="I440" s="37">
        <f>(G440-H440)*'16-PlantAdditions'!$E$103</f>
        <v>0</v>
      </c>
      <c r="J440" s="37">
        <f t="shared" si="92"/>
        <v>0</v>
      </c>
      <c r="K440" s="37">
        <f t="shared" si="93"/>
        <v>0</v>
      </c>
    </row>
    <row r="441" spans="1:11" s="474" customFormat="1">
      <c r="A441" s="64">
        <f t="shared" si="90"/>
        <v>338</v>
      </c>
      <c r="B441" s="439" t="s">
        <v>362</v>
      </c>
      <c r="C441" s="437">
        <v>2020</v>
      </c>
      <c r="D441" s="787"/>
      <c r="E441" s="37">
        <f>D441*'16-PlantAdditions'!$E$103</f>
        <v>0</v>
      </c>
      <c r="F441" s="37">
        <f t="shared" si="91"/>
        <v>0</v>
      </c>
      <c r="G441" s="787"/>
      <c r="H441" s="787"/>
      <c r="I441" s="37">
        <f>(G441-H441)*'16-PlantAdditions'!$E$103</f>
        <v>0</v>
      </c>
      <c r="J441" s="37">
        <f t="shared" si="92"/>
        <v>0</v>
      </c>
      <c r="K441" s="37">
        <f t="shared" si="93"/>
        <v>0</v>
      </c>
    </row>
    <row r="442" spans="1:11" s="474" customFormat="1">
      <c r="A442" s="64">
        <f t="shared" si="90"/>
        <v>339</v>
      </c>
      <c r="B442" s="439" t="s">
        <v>350</v>
      </c>
      <c r="C442" s="437">
        <v>2020</v>
      </c>
      <c r="D442" s="787"/>
      <c r="E442" s="37">
        <f>D442*'16-PlantAdditions'!$E$103</f>
        <v>0</v>
      </c>
      <c r="F442" s="37">
        <f t="shared" si="91"/>
        <v>0</v>
      </c>
      <c r="G442" s="787"/>
      <c r="H442" s="787"/>
      <c r="I442" s="37">
        <f>(G442-H442)*'16-PlantAdditions'!$E$103</f>
        <v>0</v>
      </c>
      <c r="J442" s="37">
        <f t="shared" si="92"/>
        <v>0</v>
      </c>
      <c r="K442" s="37">
        <f t="shared" si="93"/>
        <v>0</v>
      </c>
    </row>
    <row r="443" spans="1:11" s="474" customFormat="1">
      <c r="A443" s="64">
        <f t="shared" si="90"/>
        <v>340</v>
      </c>
      <c r="B443" s="768"/>
      <c r="C443" s="473" t="s">
        <v>1096</v>
      </c>
      <c r="H443" s="478"/>
      <c r="I443" s="478"/>
      <c r="K443" s="43">
        <f>AVERAGE(K430:K442)</f>
        <v>0</v>
      </c>
    </row>
    <row r="445" spans="1:11">
      <c r="B445" s="444" t="s">
        <v>226</v>
      </c>
      <c r="C445" s="768"/>
      <c r="D445" s="768"/>
      <c r="E445" s="768"/>
      <c r="F445" s="768"/>
      <c r="G445" s="768"/>
      <c r="H445" s="768"/>
      <c r="I445" s="768"/>
      <c r="J445" s="768"/>
      <c r="K445" s="768"/>
    </row>
    <row r="446" spans="1:11">
      <c r="B446" s="439" t="s">
        <v>1121</v>
      </c>
      <c r="C446" s="768"/>
      <c r="D446" s="768"/>
      <c r="E446" s="768"/>
      <c r="F446" s="768"/>
      <c r="G446" s="768"/>
      <c r="H446" s="768"/>
      <c r="I446" s="768"/>
      <c r="J446" s="768"/>
      <c r="K446" s="768"/>
    </row>
    <row r="447" spans="1:11">
      <c r="B447" s="439" t="s">
        <v>1122</v>
      </c>
      <c r="C447" s="768"/>
      <c r="D447" s="768"/>
      <c r="E447" s="768"/>
      <c r="F447" s="768"/>
      <c r="G447" s="768"/>
      <c r="H447" s="10"/>
      <c r="I447" s="10"/>
      <c r="J447" s="768"/>
      <c r="K447" s="768"/>
    </row>
    <row r="449" spans="2:9">
      <c r="B449" s="1" t="s">
        <v>408</v>
      </c>
      <c r="C449" s="768"/>
      <c r="D449" s="768"/>
      <c r="E449" s="768"/>
      <c r="F449" s="768"/>
      <c r="G449" s="768"/>
      <c r="H449" s="768"/>
      <c r="I449" s="768"/>
    </row>
    <row r="450" spans="2:9">
      <c r="B450" s="298" t="s">
        <v>1123</v>
      </c>
      <c r="C450" s="768"/>
      <c r="D450" s="768"/>
      <c r="E450" s="768"/>
      <c r="F450" s="768"/>
      <c r="G450" s="768"/>
      <c r="H450" s="768"/>
      <c r="I450" s="768"/>
    </row>
    <row r="451" spans="2:9">
      <c r="B451" s="298" t="s">
        <v>1124</v>
      </c>
      <c r="C451" s="768"/>
      <c r="D451" s="768"/>
      <c r="E451" s="768"/>
      <c r="F451" s="768"/>
      <c r="G451" s="768"/>
      <c r="H451" s="10"/>
      <c r="I451" s="10"/>
    </row>
    <row r="452" spans="2:9">
      <c r="B452" s="300" t="s">
        <v>1125</v>
      </c>
      <c r="C452" s="768"/>
      <c r="D452" s="768"/>
      <c r="E452" s="768"/>
      <c r="F452" s="768"/>
      <c r="G452" s="768"/>
      <c r="H452" s="768"/>
      <c r="I452" s="768"/>
    </row>
  </sheetData>
  <mergeCells count="11">
    <mergeCell ref="F379:G379"/>
    <mergeCell ref="D280:E280"/>
    <mergeCell ref="D313:E313"/>
    <mergeCell ref="D346:E346"/>
    <mergeCell ref="D82:E82"/>
    <mergeCell ref="D115:E115"/>
    <mergeCell ref="D148:E148"/>
    <mergeCell ref="D181:E181"/>
    <mergeCell ref="D214:E214"/>
    <mergeCell ref="D247:E247"/>
    <mergeCell ref="D379:E379"/>
  </mergeCells>
  <pageMargins left="0.7" right="0.7" top="0.75" bottom="0.75" header="0.3" footer="0.3"/>
  <pageSetup scale="50" fitToHeight="0" orientation="landscape" cellComments="asDisplayed" r:id="rId1"/>
  <headerFooter>
    <oddHeader>&amp;CSchedule 10
CWIP
&amp;RTO2020 Draft Annual Update 
Attachment1</oddHeader>
    <oddFooter>&amp;R&amp;A</oddFooter>
  </headerFooter>
  <rowBreaks count="6" manualBreakCount="6">
    <brk id="47" max="16383" man="1"/>
    <brk id="113" max="10" man="1"/>
    <brk id="179" max="10" man="1"/>
    <brk id="245" max="10" man="1"/>
    <brk id="311" max="10" man="1"/>
    <brk id="377"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19" t="s">
        <v>1126</v>
      </c>
      <c r="B1" s="70"/>
      <c r="C1" s="20"/>
      <c r="D1" s="20"/>
      <c r="E1" s="20"/>
      <c r="F1" s="20"/>
    </row>
    <row r="2" spans="1:6">
      <c r="A2" s="72"/>
      <c r="B2" s="10"/>
      <c r="C2" s="73"/>
      <c r="D2" s="73"/>
      <c r="E2" s="768"/>
      <c r="F2" s="24" t="s">
        <v>738</v>
      </c>
    </row>
    <row r="3" spans="1:6">
      <c r="A3" s="72"/>
      <c r="B3" s="300" t="s">
        <v>1127</v>
      </c>
      <c r="C3" s="73"/>
      <c r="D3" s="73"/>
      <c r="E3" s="73"/>
      <c r="F3" s="768"/>
    </row>
    <row r="4" spans="1:6">
      <c r="A4" s="72"/>
      <c r="B4" s="300" t="s">
        <v>1128</v>
      </c>
      <c r="C4" s="73"/>
      <c r="D4" s="73"/>
      <c r="E4" s="73"/>
      <c r="F4" s="768"/>
    </row>
    <row r="5" spans="1:6">
      <c r="A5" s="72"/>
      <c r="B5" s="300" t="s">
        <v>1129</v>
      </c>
      <c r="C5" s="73"/>
      <c r="D5" s="73"/>
      <c r="E5" s="73"/>
      <c r="F5" s="768"/>
    </row>
    <row r="6" spans="1:6">
      <c r="A6" s="72"/>
      <c r="B6" s="768"/>
      <c r="C6" s="768"/>
      <c r="D6" s="768"/>
      <c r="E6" s="768"/>
      <c r="F6" s="768"/>
    </row>
    <row r="7" spans="1:6">
      <c r="A7" s="28" t="s">
        <v>243</v>
      </c>
      <c r="B7" s="10"/>
      <c r="C7" s="73"/>
      <c r="D7" s="2" t="s">
        <v>1130</v>
      </c>
      <c r="E7" s="71" t="s">
        <v>1131</v>
      </c>
      <c r="F7" s="74" t="s">
        <v>763</v>
      </c>
    </row>
    <row r="8" spans="1:6">
      <c r="A8" s="379">
        <v>1</v>
      </c>
      <c r="B8" s="300" t="s">
        <v>1132</v>
      </c>
      <c r="C8" s="768"/>
      <c r="D8" s="4">
        <v>15781292</v>
      </c>
      <c r="E8" s="4">
        <v>30786587</v>
      </c>
      <c r="F8" s="302" t="s">
        <v>1133</v>
      </c>
    </row>
    <row r="9" spans="1:6">
      <c r="A9" s="379"/>
      <c r="B9" s="300"/>
      <c r="C9" s="768"/>
      <c r="D9" s="10"/>
      <c r="E9" s="298"/>
      <c r="F9" s="768"/>
    </row>
    <row r="10" spans="1:6">
      <c r="A10" s="379"/>
      <c r="B10" s="300" t="s">
        <v>1134</v>
      </c>
      <c r="C10" s="768"/>
      <c r="D10" s="10"/>
      <c r="E10" s="298"/>
      <c r="F10" s="768"/>
    </row>
    <row r="11" spans="1:6">
      <c r="A11" s="379"/>
      <c r="B11" s="300"/>
      <c r="C11" s="768"/>
      <c r="D11" s="10"/>
      <c r="E11" s="298"/>
      <c r="F11" s="768"/>
    </row>
    <row r="12" spans="1:6">
      <c r="A12" s="379"/>
      <c r="B12" s="52" t="s">
        <v>307</v>
      </c>
      <c r="C12" s="52" t="s">
        <v>308</v>
      </c>
      <c r="D12" s="52" t="s">
        <v>309</v>
      </c>
      <c r="E12" s="52" t="s">
        <v>310</v>
      </c>
      <c r="F12" s="52" t="s">
        <v>311</v>
      </c>
    </row>
    <row r="13" spans="1:6">
      <c r="A13" s="379"/>
      <c r="B13" s="300"/>
      <c r="C13" s="379" t="s">
        <v>1135</v>
      </c>
      <c r="D13" s="10"/>
      <c r="E13" s="298"/>
      <c r="F13" s="768"/>
    </row>
    <row r="14" spans="1:6">
      <c r="A14" s="379"/>
      <c r="B14" s="28" t="s">
        <v>926</v>
      </c>
      <c r="C14" s="2" t="s">
        <v>1136</v>
      </c>
      <c r="D14" s="2" t="s">
        <v>1130</v>
      </c>
      <c r="E14" s="71" t="s">
        <v>1131</v>
      </c>
      <c r="F14" s="71" t="s">
        <v>763</v>
      </c>
    </row>
    <row r="15" spans="1:6">
      <c r="A15" s="379" t="s">
        <v>1137</v>
      </c>
      <c r="B15" s="770" t="s">
        <v>1138</v>
      </c>
      <c r="C15" s="58" t="s">
        <v>1139</v>
      </c>
      <c r="D15" s="4">
        <v>9942155</v>
      </c>
      <c r="E15" s="4">
        <v>9942155</v>
      </c>
      <c r="F15" s="58" t="s">
        <v>1140</v>
      </c>
    </row>
    <row r="16" spans="1:6">
      <c r="A16" s="379" t="s">
        <v>1141</v>
      </c>
      <c r="B16" s="770"/>
      <c r="C16" s="58"/>
      <c r="D16" s="4"/>
      <c r="E16" s="4"/>
      <c r="F16" s="58"/>
    </row>
    <row r="17" spans="1:6">
      <c r="A17" s="379" t="s">
        <v>1142</v>
      </c>
      <c r="B17" s="770"/>
      <c r="C17" s="58"/>
      <c r="D17" s="4"/>
      <c r="E17" s="4"/>
      <c r="F17" s="58"/>
    </row>
    <row r="18" spans="1:6">
      <c r="A18" s="379" t="s">
        <v>1143</v>
      </c>
      <c r="B18" s="770"/>
      <c r="C18" s="58"/>
      <c r="D18" s="4"/>
      <c r="E18" s="4"/>
      <c r="F18" s="58"/>
    </row>
    <row r="19" spans="1:6">
      <c r="A19" s="379" t="s">
        <v>1144</v>
      </c>
      <c r="B19" s="770"/>
      <c r="C19" s="58"/>
      <c r="D19" s="4"/>
      <c r="E19" s="4"/>
      <c r="F19" s="58"/>
    </row>
    <row r="20" spans="1:6">
      <c r="A20" s="379" t="s">
        <v>1145</v>
      </c>
      <c r="B20" s="770"/>
      <c r="C20" s="58"/>
      <c r="D20" s="4"/>
      <c r="E20" s="4"/>
      <c r="F20" s="58"/>
    </row>
    <row r="21" spans="1:6">
      <c r="A21" s="379" t="s">
        <v>1146</v>
      </c>
      <c r="B21" s="770"/>
      <c r="C21" s="58"/>
      <c r="D21" s="4"/>
      <c r="E21" s="4"/>
      <c r="F21" s="58"/>
    </row>
    <row r="22" spans="1:6">
      <c r="A22" s="379" t="s">
        <v>1147</v>
      </c>
      <c r="B22" s="770"/>
      <c r="C22" s="58"/>
      <c r="D22" s="4"/>
      <c r="E22" s="4"/>
      <c r="F22" s="58"/>
    </row>
    <row r="23" spans="1:6">
      <c r="A23" s="64"/>
      <c r="B23" s="230" t="s">
        <v>661</v>
      </c>
      <c r="C23" s="58"/>
      <c r="D23" s="1203"/>
      <c r="E23" s="1203"/>
      <c r="F23" s="58"/>
    </row>
    <row r="24" spans="1:6">
      <c r="A24" s="379">
        <v>3</v>
      </c>
      <c r="B24" s="768"/>
      <c r="C24" s="298" t="s">
        <v>382</v>
      </c>
      <c r="D24" s="5">
        <f>SUM(D15:D22)</f>
        <v>9942155</v>
      </c>
      <c r="E24" s="5">
        <f>SUM(E15:E22)</f>
        <v>9942155</v>
      </c>
      <c r="F24" s="297" t="s">
        <v>1148</v>
      </c>
    </row>
    <row r="25" spans="1:6">
      <c r="A25" s="768"/>
      <c r="B25" s="768"/>
      <c r="C25" s="298"/>
      <c r="D25" s="768"/>
      <c r="E25" s="768"/>
      <c r="F25" s="768"/>
    </row>
    <row r="26" spans="1:6">
      <c r="A26" s="768"/>
      <c r="B26" s="768"/>
      <c r="C26" s="298"/>
      <c r="D26" s="2" t="s">
        <v>1130</v>
      </c>
      <c r="E26" s="71" t="s">
        <v>1131</v>
      </c>
      <c r="F26" s="74" t="s">
        <v>763</v>
      </c>
    </row>
    <row r="27" spans="1:6">
      <c r="A27" s="379">
        <v>4</v>
      </c>
      <c r="B27" s="298" t="s">
        <v>1149</v>
      </c>
      <c r="C27" s="298"/>
      <c r="D27" s="4">
        <v>0</v>
      </c>
      <c r="E27" s="4">
        <v>0</v>
      </c>
      <c r="F27" s="297" t="s">
        <v>1150</v>
      </c>
    </row>
    <row r="28" spans="1:6">
      <c r="A28" s="379">
        <v>5</v>
      </c>
      <c r="B28" s="298" t="s">
        <v>1151</v>
      </c>
      <c r="C28" s="768"/>
      <c r="D28" s="930">
        <f>'27-Allocators'!G14</f>
        <v>5.9033379723389116E-2</v>
      </c>
      <c r="E28" s="930">
        <f>'27-Allocators'!G14</f>
        <v>5.9033379723389116E-2</v>
      </c>
      <c r="F28" s="297" t="str">
        <f>"27-Allocators, L "&amp;'27-Allocators'!A14&amp;""</f>
        <v>27-Allocators, L 9</v>
      </c>
    </row>
    <row r="29" spans="1:6">
      <c r="A29" s="379">
        <v>6</v>
      </c>
      <c r="B29" s="298" t="s">
        <v>1152</v>
      </c>
      <c r="C29" s="298"/>
      <c r="D29" s="37">
        <f>D27*D28</f>
        <v>0</v>
      </c>
      <c r="E29" s="37">
        <f>E27*E28</f>
        <v>0</v>
      </c>
      <c r="F29" s="297" t="str">
        <f>"L "&amp;A27&amp;" * L "&amp;A28&amp;""</f>
        <v>L 4 * L 5</v>
      </c>
    </row>
    <row r="30" spans="1:6">
      <c r="A30" s="768"/>
      <c r="B30" s="768"/>
      <c r="C30" s="298"/>
      <c r="D30" s="768"/>
      <c r="E30" s="768"/>
      <c r="F30" s="768"/>
    </row>
    <row r="31" spans="1:6">
      <c r="A31" s="768"/>
      <c r="B31" s="298" t="s">
        <v>1153</v>
      </c>
      <c r="C31" s="768"/>
      <c r="D31" s="768"/>
      <c r="E31" s="768"/>
      <c r="F31" s="768"/>
    </row>
    <row r="32" spans="1:6">
      <c r="A32" s="768"/>
      <c r="B32" s="768"/>
      <c r="C32" s="1204"/>
      <c r="D32" s="1205"/>
      <c r="E32" s="1206"/>
      <c r="F32" s="768"/>
    </row>
    <row r="33" spans="1:6">
      <c r="A33" s="768"/>
      <c r="B33" s="768"/>
      <c r="C33" s="768"/>
      <c r="D33" s="2" t="s">
        <v>1130</v>
      </c>
      <c r="E33" s="71" t="s">
        <v>1131</v>
      </c>
      <c r="F33" s="74" t="s">
        <v>763</v>
      </c>
    </row>
    <row r="34" spans="1:6">
      <c r="A34" s="379">
        <v>7</v>
      </c>
      <c r="B34" s="768"/>
      <c r="C34" s="298"/>
      <c r="D34" s="4">
        <v>5839137</v>
      </c>
      <c r="E34" s="4">
        <v>20844432</v>
      </c>
      <c r="F34" s="302" t="s">
        <v>150</v>
      </c>
    </row>
    <row r="37" spans="1:6">
      <c r="A37" s="768"/>
      <c r="B37" s="298" t="s">
        <v>1154</v>
      </c>
      <c r="C37" s="768"/>
      <c r="D37" s="2" t="s">
        <v>1130</v>
      </c>
      <c r="E37" s="71" t="s">
        <v>1131</v>
      </c>
      <c r="F37" s="74" t="s">
        <v>763</v>
      </c>
    </row>
    <row r="38" spans="1:6">
      <c r="A38" s="379">
        <v>8</v>
      </c>
      <c r="B38" s="768"/>
      <c r="C38" s="768"/>
      <c r="D38" s="305">
        <f>D24+D29</f>
        <v>9942155</v>
      </c>
      <c r="E38" s="305">
        <f>E24+E29</f>
        <v>9942155</v>
      </c>
      <c r="F38" s="297" t="str">
        <f>"L "&amp;A24&amp;" + L "&amp;A29&amp;""</f>
        <v>L 3 + L 6</v>
      </c>
    </row>
    <row r="39" spans="1:6">
      <c r="A39" s="379"/>
      <c r="B39" s="768"/>
      <c r="C39" s="768"/>
      <c r="D39" s="305"/>
      <c r="E39" s="305"/>
      <c r="F39" s="302"/>
    </row>
    <row r="40" spans="1:6">
      <c r="A40" s="768"/>
      <c r="B40" s="768" t="s">
        <v>1155</v>
      </c>
      <c r="C40" s="768"/>
      <c r="D40" s="768"/>
      <c r="E40" s="768"/>
      <c r="F40" s="768"/>
    </row>
    <row r="41" spans="1:6">
      <c r="A41" s="379">
        <v>9</v>
      </c>
      <c r="B41" s="298" t="s">
        <v>1154</v>
      </c>
      <c r="C41" s="768"/>
      <c r="D41" s="311">
        <f>(D38+E38)/2</f>
        <v>9942155</v>
      </c>
      <c r="E41" s="305"/>
      <c r="F41" s="297" t="str">
        <f>"Sum of Line "&amp;A38&amp;" / 2"</f>
        <v>Sum of Line 8 / 2</v>
      </c>
    </row>
    <row r="42" spans="1:6">
      <c r="A42" s="768"/>
      <c r="B42" s="298"/>
      <c r="C42" s="768"/>
      <c r="D42" s="768"/>
      <c r="E42" s="768"/>
      <c r="F42" s="768"/>
    </row>
    <row r="43" spans="1:6">
      <c r="A43" s="768"/>
      <c r="B43" s="1" t="s">
        <v>1156</v>
      </c>
      <c r="C43" s="298"/>
      <c r="D43" s="768"/>
      <c r="E43" s="768"/>
      <c r="F43" s="768"/>
    </row>
    <row r="44" spans="1:6">
      <c r="A44" s="768"/>
      <c r="B44" s="768"/>
      <c r="C44" s="298"/>
      <c r="D44" s="768"/>
      <c r="E44" s="768"/>
      <c r="F44" s="768"/>
    </row>
    <row r="45" spans="1:6">
      <c r="A45" s="379"/>
      <c r="B45" s="768"/>
      <c r="C45" s="768"/>
      <c r="D45" s="768"/>
      <c r="E45" s="768"/>
      <c r="F45" s="74" t="s">
        <v>763</v>
      </c>
    </row>
    <row r="46" spans="1:6">
      <c r="A46" s="379">
        <v>10</v>
      </c>
      <c r="B46" s="298" t="s">
        <v>1157</v>
      </c>
      <c r="C46" s="768"/>
      <c r="D46" s="768"/>
      <c r="E46" s="781">
        <v>0</v>
      </c>
      <c r="F46" s="302" t="s">
        <v>199</v>
      </c>
    </row>
    <row r="49" spans="2:2">
      <c r="B49" s="1" t="s">
        <v>408</v>
      </c>
    </row>
    <row r="50" spans="2:2">
      <c r="B50" s="298" t="s">
        <v>1158</v>
      </c>
    </row>
    <row r="51" spans="2:2">
      <c r="B51" s="300" t="s">
        <v>1159</v>
      </c>
    </row>
    <row r="52" spans="2:2">
      <c r="B52" s="298" t="s">
        <v>1160</v>
      </c>
    </row>
    <row r="53" spans="2:2">
      <c r="B53" s="298" t="s">
        <v>1161</v>
      </c>
    </row>
    <row r="54" spans="2:2">
      <c r="B54" s="298" t="str">
        <f>"2) For any Electric Plant Held for Future Use classified as General note amount on Line "&amp;A27&amp;"."</f>
        <v>2) For any Electric Plant Held for Future Use classified as General note amount on Line 4.</v>
      </c>
    </row>
    <row r="55" spans="2:2">
      <c r="B55" s="300" t="s">
        <v>1162</v>
      </c>
    </row>
    <row r="56" spans="2:2">
      <c r="B56" s="298" t="s">
        <v>1163</v>
      </c>
    </row>
    <row r="57" spans="2:2">
      <c r="B57" s="298" t="s">
        <v>1164</v>
      </c>
    </row>
    <row r="58" spans="2:2">
      <c r="B58" s="298" t="s">
        <v>1165</v>
      </c>
    </row>
    <row r="59" spans="2:2">
      <c r="B59" s="298"/>
    </row>
    <row r="60" spans="2:2">
      <c r="B60" s="1" t="s">
        <v>226</v>
      </c>
    </row>
    <row r="61" spans="2:2">
      <c r="B61" s="300" t="s">
        <v>1166</v>
      </c>
    </row>
  </sheetData>
  <pageMargins left="0.7" right="0.7" top="0.75" bottom="0.75" header="0.3" footer="0.3"/>
  <pageSetup scale="80" orientation="portrait" cellComments="asDisplayed" r:id="rId1"/>
  <headerFooter>
    <oddHeader>&amp;CSchedule 11
Plant Held for Future Use
&amp;RTO2020 Draft Annual Update 
Attachment1</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6"/>
  <sheetViews>
    <sheetView zoomScaleNormal="100" workbookViewId="0"/>
  </sheetViews>
  <sheetFormatPr defaultRowHeight="12.75"/>
  <cols>
    <col min="1" max="1" width="4.7109375" customWidth="1"/>
    <col min="2" max="2" width="5.7109375" customWidth="1"/>
    <col min="3" max="10" width="12.7109375" customWidth="1"/>
    <col min="12" max="12" width="9.140625" style="10"/>
  </cols>
  <sheetData>
    <row r="1" spans="1:10">
      <c r="A1" s="1" t="s">
        <v>1167</v>
      </c>
      <c r="B1" s="768"/>
      <c r="C1" s="768"/>
      <c r="D1" s="768"/>
      <c r="E1" s="768"/>
      <c r="F1" s="768"/>
      <c r="G1" s="768"/>
      <c r="H1" s="768"/>
      <c r="I1" s="768"/>
      <c r="J1" s="768"/>
    </row>
    <row r="2" spans="1:10">
      <c r="A2" s="768"/>
      <c r="B2" s="768"/>
      <c r="C2" s="768"/>
      <c r="D2" s="768"/>
      <c r="E2" s="768"/>
      <c r="F2" s="768"/>
      <c r="G2" s="768"/>
      <c r="H2" s="768"/>
      <c r="I2" s="341" t="s">
        <v>1168</v>
      </c>
      <c r="J2" s="341"/>
    </row>
    <row r="3" spans="1:10">
      <c r="A3" s="768"/>
      <c r="B3" s="768" t="s">
        <v>1169</v>
      </c>
      <c r="C3" s="768"/>
      <c r="D3" s="768"/>
      <c r="E3" s="768"/>
      <c r="F3" s="768"/>
      <c r="G3" s="768"/>
      <c r="H3" s="768"/>
      <c r="I3" s="768"/>
      <c r="J3" s="768"/>
    </row>
    <row r="5" spans="1:10">
      <c r="A5" s="768"/>
      <c r="B5" s="768" t="s">
        <v>1170</v>
      </c>
      <c r="C5" s="768"/>
      <c r="D5" s="768"/>
      <c r="E5" s="768"/>
      <c r="F5" s="768"/>
      <c r="G5" s="768"/>
      <c r="H5" s="768"/>
      <c r="I5" s="768"/>
      <c r="J5" s="768"/>
    </row>
    <row r="6" spans="1:10">
      <c r="A6" s="768"/>
      <c r="B6" s="768" t="s">
        <v>1171</v>
      </c>
      <c r="C6" s="768"/>
      <c r="D6" s="768"/>
      <c r="E6" s="768"/>
      <c r="F6" s="768"/>
      <c r="G6" s="768"/>
      <c r="H6" s="768"/>
      <c r="I6" s="768"/>
      <c r="J6" s="768"/>
    </row>
    <row r="7" spans="1:10">
      <c r="A7" s="768"/>
      <c r="B7" s="768"/>
      <c r="C7" s="768"/>
      <c r="D7" s="768"/>
      <c r="E7" s="768"/>
      <c r="F7" s="45" t="s">
        <v>1172</v>
      </c>
      <c r="G7" s="768"/>
      <c r="H7" s="45" t="s">
        <v>1173</v>
      </c>
      <c r="I7" s="768"/>
      <c r="J7" s="768"/>
    </row>
    <row r="8" spans="1:10">
      <c r="A8" s="768"/>
      <c r="B8" s="10" t="s">
        <v>1174</v>
      </c>
      <c r="C8" s="10"/>
      <c r="D8" s="10"/>
      <c r="E8" s="10"/>
      <c r="F8" s="770"/>
      <c r="G8" s="58"/>
      <c r="H8" s="770"/>
      <c r="I8" s="58"/>
      <c r="J8" s="58"/>
    </row>
    <row r="9" spans="1:10">
      <c r="A9" s="768"/>
      <c r="B9" s="10"/>
      <c r="C9" s="10"/>
      <c r="D9" s="10"/>
      <c r="E9" s="10"/>
      <c r="F9" s="770"/>
      <c r="G9" s="58"/>
      <c r="H9" s="58"/>
      <c r="I9" s="58"/>
      <c r="J9" s="58"/>
    </row>
    <row r="10" spans="1:10">
      <c r="A10" s="768"/>
      <c r="B10" s="10"/>
      <c r="C10" s="10"/>
      <c r="D10" s="10"/>
      <c r="E10" s="10"/>
      <c r="F10" s="694" t="s">
        <v>661</v>
      </c>
      <c r="G10" s="10"/>
      <c r="H10" s="694" t="s">
        <v>661</v>
      </c>
      <c r="I10" s="10"/>
      <c r="J10" s="768"/>
    </row>
    <row r="12" spans="1:10">
      <c r="A12" s="768"/>
      <c r="B12" s="298" t="s">
        <v>1175</v>
      </c>
      <c r="C12" s="768"/>
      <c r="D12" s="768"/>
      <c r="E12" s="768"/>
      <c r="F12" s="768"/>
      <c r="G12" s="768"/>
      <c r="H12" s="768"/>
      <c r="I12" s="768"/>
      <c r="J12" s="768"/>
    </row>
    <row r="13" spans="1:10">
      <c r="A13" s="768"/>
      <c r="B13" s="298"/>
      <c r="C13" s="768"/>
      <c r="D13" s="768"/>
      <c r="E13" s="768"/>
      <c r="F13" s="768"/>
      <c r="G13" s="768"/>
      <c r="H13" s="768"/>
      <c r="I13" s="768"/>
      <c r="J13" s="768"/>
    </row>
    <row r="14" spans="1:10">
      <c r="A14" s="768"/>
      <c r="B14" s="298" t="s">
        <v>1176</v>
      </c>
      <c r="C14" s="768"/>
      <c r="D14" s="768"/>
      <c r="E14" s="768"/>
      <c r="F14" s="768"/>
      <c r="G14" s="768"/>
      <c r="H14" s="768"/>
      <c r="I14" s="768"/>
      <c r="J14" s="768"/>
    </row>
    <row r="15" spans="1:10">
      <c r="A15" s="768"/>
      <c r="B15" s="298" t="s">
        <v>1177</v>
      </c>
      <c r="C15" s="768"/>
      <c r="D15" s="768"/>
      <c r="E15" s="768"/>
      <c r="F15" s="768"/>
      <c r="G15" s="768"/>
      <c r="H15" s="768"/>
      <c r="I15" s="768"/>
      <c r="J15" s="768"/>
    </row>
    <row r="16" spans="1:10">
      <c r="A16" s="768"/>
      <c r="B16" s="298"/>
      <c r="C16" s="768"/>
      <c r="D16" s="768"/>
      <c r="E16" s="768"/>
      <c r="F16" s="768"/>
      <c r="G16" s="379" t="s">
        <v>1178</v>
      </c>
      <c r="H16" s="768"/>
      <c r="I16" s="768"/>
      <c r="J16" s="768"/>
    </row>
    <row r="17" spans="1:12">
      <c r="A17" s="28" t="s">
        <v>243</v>
      </c>
      <c r="B17" s="768"/>
      <c r="C17" s="768"/>
      <c r="D17" s="768"/>
      <c r="E17" s="768"/>
      <c r="F17" s="768"/>
      <c r="G17" s="2" t="s">
        <v>1024</v>
      </c>
      <c r="H17" s="768"/>
      <c r="I17" s="28" t="s">
        <v>380</v>
      </c>
      <c r="J17" s="768"/>
      <c r="K17" s="768"/>
    </row>
    <row r="18" spans="1:12">
      <c r="A18" s="379">
        <v>1</v>
      </c>
      <c r="B18" s="768"/>
      <c r="C18" s="768"/>
      <c r="D18" s="768"/>
      <c r="E18" s="768"/>
      <c r="F18" s="18" t="s">
        <v>1179</v>
      </c>
      <c r="G18" s="37">
        <f>SUM(IF(B31='1-BaseTRR'!$K$4,E31+I31,0),IF(B32='1-BaseTRR'!$K$4,E32+I32,0),IF(B33='1-BaseTRR'!$K$4,E33+I33,0),IF(B34='1-BaseTRR'!$K$4,E34+I34,0),IF(B35='1-BaseTRR'!$K$4,E35+I35,0),IF(B36='1-BaseTRR'!$K$4,E36+I36,0),IF(B37='1-BaseTRR'!$K$4,E37+I37,0),IF(B38='1-BaseTRR'!$K$4,E38+I38,0),IF(B39='1-BaseTRR'!$K$4,E39+I39,0),IF(B40='1-BaseTRR'!$K$4,E40+I40,0),IF(B41='1-BaseTRR'!$K$4,E41+I41,0))</f>
        <v>0</v>
      </c>
      <c r="H18" s="768"/>
      <c r="I18" s="298" t="s">
        <v>1180</v>
      </c>
      <c r="J18" s="768"/>
      <c r="K18" s="768"/>
    </row>
    <row r="19" spans="1:12">
      <c r="A19" s="379">
        <v>2</v>
      </c>
      <c r="B19" s="768"/>
      <c r="C19" s="768"/>
      <c r="D19" s="768"/>
      <c r="E19" s="768"/>
      <c r="F19" s="296" t="s">
        <v>1181</v>
      </c>
      <c r="G19" s="37">
        <f>SUM(IF(B31='1-BaseTRR'!$K$4-1,C31+G31,0),IF(B32='1-BaseTRR'!$K$4-1,C32+G32,0),IF(B33='1-BaseTRR'!$K$4-1,C33+G33,0),IF(B34='1-BaseTRR'!$K$4-1,C34+G34,0),IF(B35='1-BaseTRR'!$K$4-1,C35+G35,0),IF(B36='1-BaseTRR'!$K$4-1,C36+G36,0),IF(B37='1-BaseTRR'!$K$4-1,C37+G37,0),IF(B38='1-BaseTRR'!$K$4-1,C38+G38,0),IF(B39='1-BaseTRR'!$K$4-1,C39+G39,0),IF(B40='1-BaseTRR'!$K$4-1,C40+G40,0),IF(B41='1-BaseTRR'!$K$4-1,C41+G41,0))</f>
        <v>0</v>
      </c>
      <c r="H19" s="768"/>
      <c r="I19" s="298" t="s">
        <v>1180</v>
      </c>
      <c r="J19" s="768"/>
      <c r="K19" s="768"/>
    </row>
    <row r="20" spans="1:12">
      <c r="A20" s="379">
        <v>3</v>
      </c>
      <c r="B20" s="768"/>
      <c r="C20" s="768"/>
      <c r="D20" s="768"/>
      <c r="E20" s="768"/>
      <c r="F20" s="18" t="s">
        <v>1182</v>
      </c>
      <c r="G20" s="37">
        <f>SUM(IF(B31='1-BaseTRR'!$K$4,C31+G31,0),IF(B32='1-BaseTRR'!$K$4,C32+G32,0),IF(B33='1-BaseTRR'!$K$4,C33+G33,0),IF(B34='1-BaseTRR'!$K$4,C34+G34,0),IF(B35='1-BaseTRR'!$K$4,C35+G35,0),IF(B36='1-BaseTRR'!$K$4,C36+G36,0),IF(B37='1-BaseTRR'!$K$4,C37+G37,0),IF(B38='1-BaseTRR'!$K$4,C38+G38,0),IF(B39='1-BaseTRR'!$K$4,C39+G39,0),IF(B40='1-BaseTRR'!$K$4,C40+G40,0),IF(B41='1-BaseTRR'!$K$4,C41+G41,0))</f>
        <v>0</v>
      </c>
      <c r="H20" s="768"/>
      <c r="I20" s="298" t="s">
        <v>1180</v>
      </c>
      <c r="J20" s="768"/>
      <c r="K20" s="768"/>
    </row>
    <row r="21" spans="1:12">
      <c r="A21" s="379">
        <v>4</v>
      </c>
      <c r="B21" s="768"/>
      <c r="C21" s="768"/>
      <c r="D21" s="768"/>
      <c r="E21" s="768"/>
      <c r="F21" s="18" t="s">
        <v>1183</v>
      </c>
      <c r="G21" s="37">
        <f>(G19+G20)/2</f>
        <v>0</v>
      </c>
      <c r="H21" s="768"/>
      <c r="I21" s="300" t="str">
        <f>"Average of Lines "&amp;A19&amp;" and "&amp;A20&amp;"."</f>
        <v>Average of Lines 2 and 3.</v>
      </c>
      <c r="J21" s="768"/>
      <c r="K21" s="768"/>
    </row>
    <row r="22" spans="1:12" s="768" customFormat="1">
      <c r="A22" s="379">
        <v>5</v>
      </c>
      <c r="E22" s="300"/>
      <c r="F22" s="669" t="s">
        <v>1184</v>
      </c>
      <c r="G22" s="37">
        <f>SUM(IF(B31='1-BaseTRR'!$K$4-1,D31+H31,0),IF(B32='1-BaseTRR'!$K$4-1,D32+H32,0),IF(B33='1-BaseTRR'!$K$4-1,D33+H33,0),IF(B34='1-BaseTRR'!$K$4-1,D34+H34,0),IF(B35='1-BaseTRR'!$K$4-1,D35+H35,0),IF(B36='1-BaseTRR'!$K$4-1,D36+H36,0),IF(B37='1-BaseTRR'!$K$4-1,D37+H37,0),IF(B38='1-BaseTRR'!$K$4-1,D38+H38,0),IF(B39='1-BaseTRR'!$K$4-1,D39+H39,0),IF(B40='1-BaseTRR'!$K$4-1,D40+H40,0),IF(B41='1-BaseTRR'!$K$4-1,D41+H41,0))</f>
        <v>0</v>
      </c>
      <c r="H22" s="300"/>
      <c r="I22" s="300" t="s">
        <v>1180</v>
      </c>
      <c r="J22" s="300"/>
      <c r="L22" s="10"/>
    </row>
    <row r="23" spans="1:12">
      <c r="A23" s="768"/>
      <c r="B23" s="768"/>
      <c r="C23" s="768"/>
      <c r="D23" s="768"/>
      <c r="E23" s="768"/>
      <c r="F23" s="768"/>
      <c r="G23" s="768"/>
      <c r="H23" s="768"/>
      <c r="I23" s="298"/>
      <c r="J23" s="768"/>
      <c r="K23" s="768"/>
    </row>
    <row r="25" spans="1:12">
      <c r="A25" s="379">
        <v>6</v>
      </c>
      <c r="B25" s="768"/>
      <c r="C25" s="1" t="s">
        <v>1185</v>
      </c>
      <c r="D25" s="770" t="s">
        <v>1186</v>
      </c>
      <c r="E25" s="768"/>
      <c r="F25" s="768"/>
      <c r="G25" s="96" t="s">
        <v>1187</v>
      </c>
      <c r="H25" s="770" t="s">
        <v>1186</v>
      </c>
      <c r="I25" s="381"/>
      <c r="J25" s="300"/>
      <c r="K25" s="768"/>
    </row>
    <row r="26" spans="1:12">
      <c r="A26" s="379"/>
      <c r="B26" s="768"/>
      <c r="C26" s="1"/>
      <c r="D26" s="300"/>
      <c r="E26" s="10"/>
      <c r="F26" s="768"/>
      <c r="G26" s="381"/>
      <c r="H26" s="300"/>
      <c r="I26" s="381"/>
      <c r="J26" s="300"/>
      <c r="K26" s="768"/>
    </row>
    <row r="27" spans="1:12">
      <c r="A27" s="768"/>
      <c r="B27" s="768"/>
      <c r="C27" s="768"/>
      <c r="D27" s="64" t="s">
        <v>1188</v>
      </c>
      <c r="E27" s="64" t="s">
        <v>1189</v>
      </c>
      <c r="F27" s="10"/>
      <c r="G27" s="10"/>
      <c r="H27" s="64" t="s">
        <v>1188</v>
      </c>
      <c r="I27" s="379" t="s">
        <v>1189</v>
      </c>
      <c r="J27" s="64"/>
      <c r="K27" s="768"/>
    </row>
    <row r="28" spans="1:12">
      <c r="A28" s="768"/>
      <c r="B28" s="768"/>
      <c r="C28" s="379" t="s">
        <v>1190</v>
      </c>
      <c r="D28" s="64" t="s">
        <v>1189</v>
      </c>
      <c r="E28" s="64" t="s">
        <v>771</v>
      </c>
      <c r="F28" s="10"/>
      <c r="G28" s="64" t="s">
        <v>1190</v>
      </c>
      <c r="H28" s="64" t="s">
        <v>1189</v>
      </c>
      <c r="I28" s="379" t="s">
        <v>771</v>
      </c>
      <c r="J28" s="64"/>
      <c r="K28" s="768"/>
    </row>
    <row r="29" spans="1:12">
      <c r="A29" s="768"/>
      <c r="B29" s="768"/>
      <c r="C29" s="379" t="s">
        <v>1189</v>
      </c>
      <c r="D29" s="64" t="s">
        <v>771</v>
      </c>
      <c r="E29" s="64" t="s">
        <v>1191</v>
      </c>
      <c r="F29" s="10"/>
      <c r="G29" s="64" t="s">
        <v>1189</v>
      </c>
      <c r="H29" s="64" t="s">
        <v>771</v>
      </c>
      <c r="I29" s="379" t="s">
        <v>1191</v>
      </c>
      <c r="J29" s="64"/>
      <c r="K29" s="768"/>
    </row>
    <row r="30" spans="1:12">
      <c r="A30" s="379"/>
      <c r="B30" s="2" t="s">
        <v>343</v>
      </c>
      <c r="C30" s="2" t="s">
        <v>771</v>
      </c>
      <c r="D30" s="74" t="s">
        <v>1192</v>
      </c>
      <c r="E30" s="74" t="s">
        <v>1193</v>
      </c>
      <c r="F30" s="10"/>
      <c r="G30" s="74" t="s">
        <v>771</v>
      </c>
      <c r="H30" s="74" t="s">
        <v>1192</v>
      </c>
      <c r="I30" s="2" t="s">
        <v>1193</v>
      </c>
      <c r="J30" s="74"/>
      <c r="K30" s="768"/>
    </row>
    <row r="31" spans="1:12">
      <c r="A31" s="379">
        <v>7</v>
      </c>
      <c r="B31" s="768">
        <v>2015</v>
      </c>
      <c r="C31" s="849"/>
      <c r="D31" s="849"/>
      <c r="E31" s="849"/>
      <c r="F31" s="768"/>
      <c r="G31" s="58"/>
      <c r="H31" s="58"/>
      <c r="I31" s="58"/>
      <c r="J31" s="10"/>
      <c r="K31" s="768"/>
    </row>
    <row r="32" spans="1:12">
      <c r="A32" s="379">
        <v>8</v>
      </c>
      <c r="B32" s="768">
        <v>2016</v>
      </c>
      <c r="C32" s="849"/>
      <c r="D32" s="849"/>
      <c r="E32" s="849"/>
      <c r="F32" s="768"/>
      <c r="G32" s="58"/>
      <c r="H32" s="58"/>
      <c r="I32" s="58"/>
      <c r="J32" s="10"/>
      <c r="K32" s="768"/>
    </row>
    <row r="33" spans="1:10">
      <c r="A33" s="379">
        <v>9</v>
      </c>
      <c r="B33" s="768">
        <v>2017</v>
      </c>
      <c r="C33" s="58"/>
      <c r="D33" s="58"/>
      <c r="E33" s="58"/>
      <c r="F33" s="768"/>
      <c r="G33" s="58"/>
      <c r="H33" s="58"/>
      <c r="I33" s="58"/>
      <c r="J33" s="10"/>
    </row>
    <row r="34" spans="1:10">
      <c r="A34" s="379">
        <v>10</v>
      </c>
      <c r="B34" s="768">
        <v>2018</v>
      </c>
      <c r="C34" s="58"/>
      <c r="D34" s="58"/>
      <c r="E34" s="58"/>
      <c r="F34" s="768"/>
      <c r="G34" s="58"/>
      <c r="H34" s="58"/>
      <c r="I34" s="58"/>
      <c r="J34" s="10"/>
    </row>
    <row r="35" spans="1:10">
      <c r="A35" s="379">
        <v>11</v>
      </c>
      <c r="B35" s="768">
        <v>2019</v>
      </c>
      <c r="C35" s="58"/>
      <c r="D35" s="58"/>
      <c r="E35" s="58"/>
      <c r="F35" s="768"/>
      <c r="G35" s="58"/>
      <c r="H35" s="58"/>
      <c r="I35" s="58"/>
      <c r="J35" s="10"/>
    </row>
    <row r="36" spans="1:10">
      <c r="A36" s="379">
        <v>12</v>
      </c>
      <c r="B36" s="768">
        <v>2020</v>
      </c>
      <c r="C36" s="58"/>
      <c r="D36" s="58"/>
      <c r="E36" s="58"/>
      <c r="F36" s="768"/>
      <c r="G36" s="58"/>
      <c r="H36" s="58"/>
      <c r="I36" s="58"/>
      <c r="J36" s="10"/>
    </row>
    <row r="37" spans="1:10">
      <c r="A37" s="379">
        <v>13</v>
      </c>
      <c r="B37" s="768">
        <v>2021</v>
      </c>
      <c r="C37" s="58"/>
      <c r="D37" s="58"/>
      <c r="E37" s="58"/>
      <c r="F37" s="768"/>
      <c r="G37" s="58"/>
      <c r="H37" s="58"/>
      <c r="I37" s="58"/>
      <c r="J37" s="10"/>
    </row>
    <row r="38" spans="1:10">
      <c r="A38" s="379">
        <v>14</v>
      </c>
      <c r="B38" s="768">
        <v>2022</v>
      </c>
      <c r="C38" s="58"/>
      <c r="D38" s="58"/>
      <c r="E38" s="58"/>
      <c r="F38" s="768"/>
      <c r="G38" s="58"/>
      <c r="H38" s="58"/>
      <c r="I38" s="58"/>
      <c r="J38" s="10"/>
    </row>
    <row r="39" spans="1:10">
      <c r="A39" s="379">
        <v>15</v>
      </c>
      <c r="B39" s="768">
        <v>2023</v>
      </c>
      <c r="C39" s="58"/>
      <c r="D39" s="58"/>
      <c r="E39" s="58"/>
      <c r="F39" s="768"/>
      <c r="G39" s="58"/>
      <c r="H39" s="58"/>
      <c r="I39" s="58"/>
      <c r="J39" s="10"/>
    </row>
    <row r="40" spans="1:10">
      <c r="A40" s="379">
        <v>16</v>
      </c>
      <c r="B40" s="768">
        <v>2024</v>
      </c>
      <c r="C40" s="58"/>
      <c r="D40" s="58"/>
      <c r="E40" s="58"/>
      <c r="F40" s="768"/>
      <c r="G40" s="58"/>
      <c r="H40" s="58"/>
      <c r="I40" s="58"/>
      <c r="J40" s="10"/>
    </row>
    <row r="41" spans="1:10">
      <c r="A41" s="379">
        <v>17</v>
      </c>
      <c r="B41" s="768">
        <v>2025</v>
      </c>
      <c r="C41" s="58"/>
      <c r="D41" s="58"/>
      <c r="E41" s="58"/>
      <c r="F41" s="768"/>
      <c r="G41" s="58"/>
      <c r="H41" s="58"/>
      <c r="I41" s="58"/>
      <c r="J41" s="10"/>
    </row>
    <row r="42" spans="1:10">
      <c r="A42" s="379">
        <v>18</v>
      </c>
      <c r="B42" s="382" t="s">
        <v>661</v>
      </c>
      <c r="C42" s="768"/>
      <c r="D42" s="768"/>
      <c r="E42" s="768"/>
      <c r="F42" s="768"/>
      <c r="G42" s="768"/>
      <c r="H42" s="768"/>
      <c r="I42" s="768"/>
      <c r="J42" s="768"/>
    </row>
    <row r="43" spans="1:10">
      <c r="A43" s="379"/>
      <c r="B43" s="382"/>
      <c r="C43" s="768"/>
      <c r="D43" s="768"/>
      <c r="E43" s="768"/>
      <c r="F43" s="768"/>
      <c r="G43" s="768"/>
      <c r="H43" s="768"/>
      <c r="I43" s="768"/>
      <c r="J43" s="768"/>
    </row>
    <row r="44" spans="1:10">
      <c r="A44" s="379"/>
      <c r="B44" s="25" t="s">
        <v>226</v>
      </c>
      <c r="C44" s="10"/>
      <c r="D44" s="10"/>
      <c r="E44" s="10"/>
      <c r="F44" s="10"/>
      <c r="G44" s="10"/>
      <c r="H44" s="10"/>
      <c r="I44" s="10"/>
      <c r="J44" s="10"/>
    </row>
    <row r="45" spans="1:10">
      <c r="A45" s="379"/>
      <c r="B45" s="300" t="s">
        <v>1194</v>
      </c>
      <c r="C45" s="10"/>
      <c r="D45" s="10"/>
      <c r="E45" s="10"/>
      <c r="F45" s="10"/>
      <c r="G45" s="10"/>
      <c r="H45" s="10"/>
      <c r="I45" s="10"/>
      <c r="J45" s="10"/>
    </row>
    <row r="46" spans="1:10">
      <c r="A46" s="379"/>
      <c r="B46" s="10"/>
      <c r="C46" s="10"/>
      <c r="D46" s="10"/>
      <c r="E46" s="10"/>
      <c r="F46" s="10"/>
      <c r="G46" s="10"/>
      <c r="H46" s="10"/>
      <c r="I46" s="10"/>
      <c r="J46" s="10"/>
    </row>
    <row r="47" spans="1:10">
      <c r="A47" s="379"/>
      <c r="B47" s="25" t="s">
        <v>408</v>
      </c>
      <c r="C47" s="10"/>
      <c r="D47" s="10"/>
      <c r="E47" s="10"/>
      <c r="F47" s="10"/>
      <c r="G47" s="10"/>
      <c r="H47" s="10"/>
      <c r="I47" s="10"/>
      <c r="J47" s="10"/>
    </row>
    <row r="48" spans="1:10">
      <c r="A48" s="379"/>
      <c r="B48" s="300" t="s">
        <v>1195</v>
      </c>
      <c r="C48" s="10"/>
      <c r="D48" s="10"/>
      <c r="E48" s="10"/>
      <c r="F48" s="10"/>
      <c r="G48" s="10"/>
      <c r="H48" s="10"/>
      <c r="I48" s="10"/>
      <c r="J48" s="10"/>
    </row>
    <row r="49" spans="1:10">
      <c r="A49" s="379"/>
      <c r="B49" s="297" t="s">
        <v>1196</v>
      </c>
      <c r="C49" s="10"/>
      <c r="D49" s="10"/>
      <c r="E49" s="10"/>
      <c r="F49" s="10"/>
      <c r="G49" s="10"/>
      <c r="H49" s="10"/>
      <c r="I49" s="10"/>
      <c r="J49" s="10"/>
    </row>
    <row r="50" spans="1:10">
      <c r="A50" s="379"/>
      <c r="B50" s="297" t="s">
        <v>1197</v>
      </c>
      <c r="C50" s="10"/>
      <c r="D50" s="10"/>
      <c r="E50" s="10"/>
      <c r="F50" s="10"/>
      <c r="G50" s="10"/>
      <c r="H50" s="10"/>
      <c r="I50" s="10"/>
      <c r="J50" s="10"/>
    </row>
    <row r="51" spans="1:10">
      <c r="A51" s="379"/>
      <c r="B51" s="297" t="s">
        <v>1198</v>
      </c>
      <c r="C51" s="10"/>
      <c r="D51" s="10"/>
      <c r="E51" s="10"/>
      <c r="F51" s="10"/>
      <c r="G51" s="10"/>
      <c r="H51" s="10"/>
      <c r="I51" s="10"/>
      <c r="J51" s="10"/>
    </row>
    <row r="52" spans="1:10">
      <c r="A52" s="379"/>
      <c r="B52" s="297" t="s">
        <v>1199</v>
      </c>
      <c r="C52" s="10"/>
      <c r="D52" s="10"/>
      <c r="E52" s="10"/>
      <c r="F52" s="10"/>
      <c r="G52" s="10"/>
      <c r="H52" s="10"/>
      <c r="I52" s="10"/>
      <c r="J52" s="10"/>
    </row>
    <row r="53" spans="1:10">
      <c r="A53" s="768"/>
      <c r="B53" s="297" t="s">
        <v>1200</v>
      </c>
      <c r="C53" s="10"/>
      <c r="D53" s="10"/>
      <c r="E53" s="10"/>
      <c r="F53" s="10"/>
      <c r="G53" s="10"/>
      <c r="H53" s="10"/>
      <c r="I53" s="10"/>
      <c r="J53" s="10"/>
    </row>
    <row r="54" spans="1:10">
      <c r="A54" s="768"/>
      <c r="B54" s="676" t="s">
        <v>1201</v>
      </c>
      <c r="C54" s="10"/>
      <c r="D54" s="10"/>
      <c r="E54" s="10"/>
      <c r="F54" s="10"/>
      <c r="G54" s="10"/>
      <c r="H54" s="10"/>
      <c r="I54" s="10"/>
      <c r="J54" s="10"/>
    </row>
    <row r="55" spans="1:10">
      <c r="A55" s="768"/>
      <c r="B55" s="300" t="s">
        <v>1202</v>
      </c>
      <c r="C55" s="10"/>
      <c r="D55" s="10"/>
      <c r="E55" s="10"/>
      <c r="F55" s="10"/>
      <c r="G55" s="10"/>
      <c r="H55" s="10"/>
      <c r="I55" s="10"/>
      <c r="J55" s="10"/>
    </row>
    <row r="56" spans="1:10">
      <c r="A56" s="768"/>
      <c r="B56" s="300" t="s">
        <v>1203</v>
      </c>
      <c r="C56" s="10"/>
      <c r="D56" s="10"/>
      <c r="E56" s="10"/>
      <c r="F56" s="10"/>
      <c r="G56" s="10"/>
      <c r="H56" s="10"/>
      <c r="I56" s="10"/>
      <c r="J56" s="10"/>
    </row>
  </sheetData>
  <pageMargins left="0.7" right="0.7" top="0.75" bottom="0.75" header="0.3" footer="0.3"/>
  <pageSetup scale="80" orientation="portrait" cellComments="asDisplayed" r:id="rId1"/>
  <headerFooter>
    <oddHeader>&amp;CSchedule 12
Abandoned Plant
&amp;RTO2020 Draft Annual Update 
Attachment1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1204</v>
      </c>
      <c r="B1" s="768"/>
      <c r="C1" s="768"/>
      <c r="D1" s="768"/>
      <c r="E1" s="768"/>
      <c r="F1" s="768"/>
      <c r="G1" s="768"/>
    </row>
    <row r="2" spans="1:7">
      <c r="A2" s="768"/>
      <c r="B2" s="768"/>
      <c r="C2" s="768"/>
      <c r="D2" s="768"/>
      <c r="E2" s="768"/>
      <c r="F2" s="24" t="s">
        <v>738</v>
      </c>
      <c r="G2" s="768"/>
    </row>
    <row r="3" spans="1:7">
      <c r="A3" s="768"/>
      <c r="B3" s="1" t="s">
        <v>1205</v>
      </c>
      <c r="C3" s="768"/>
      <c r="D3" s="768"/>
      <c r="E3" s="768"/>
      <c r="F3" s="768"/>
      <c r="G3" s="768"/>
    </row>
    <row r="4" spans="1:7">
      <c r="A4" s="768"/>
      <c r="B4" s="768"/>
      <c r="C4" s="298" t="s">
        <v>1206</v>
      </c>
      <c r="D4" s="768"/>
      <c r="E4" s="1207"/>
      <c r="F4" s="1208"/>
      <c r="G4" s="1209"/>
    </row>
    <row r="5" spans="1:7">
      <c r="A5" s="768"/>
      <c r="B5" s="768"/>
      <c r="C5" s="298" t="s">
        <v>1207</v>
      </c>
      <c r="D5" s="768"/>
      <c r="E5" s="1207"/>
      <c r="F5" s="1208"/>
      <c r="G5" s="1209"/>
    </row>
    <row r="6" spans="1:7">
      <c r="A6" s="768"/>
      <c r="B6" s="768"/>
      <c r="C6" s="768"/>
      <c r="D6" s="768"/>
      <c r="E6" s="1207"/>
      <c r="F6" s="44"/>
      <c r="G6" s="1209"/>
    </row>
    <row r="7" spans="1:7">
      <c r="A7" s="768"/>
      <c r="B7" s="768"/>
      <c r="C7" s="324"/>
      <c r="D7" s="310"/>
      <c r="E7" s="14" t="s">
        <v>770</v>
      </c>
      <c r="F7" s="14" t="s">
        <v>1208</v>
      </c>
      <c r="G7" s="14"/>
    </row>
    <row r="8" spans="1:7">
      <c r="A8" s="30" t="s">
        <v>97</v>
      </c>
      <c r="B8" s="768"/>
      <c r="C8" s="13" t="s">
        <v>342</v>
      </c>
      <c r="D8" s="13" t="s">
        <v>343</v>
      </c>
      <c r="E8" s="13" t="s">
        <v>763</v>
      </c>
      <c r="F8" s="16" t="s">
        <v>1209</v>
      </c>
      <c r="G8" s="15" t="s">
        <v>98</v>
      </c>
    </row>
    <row r="9" spans="1:7">
      <c r="A9" s="379">
        <v>1</v>
      </c>
      <c r="B9" s="768"/>
      <c r="C9" s="328" t="s">
        <v>350</v>
      </c>
      <c r="D9" s="1178">
        <v>2017</v>
      </c>
      <c r="E9" s="329" t="s">
        <v>1210</v>
      </c>
      <c r="F9" s="858">
        <v>238006741</v>
      </c>
      <c r="G9" s="329" t="s">
        <v>1211</v>
      </c>
    </row>
    <row r="10" spans="1:7">
      <c r="A10" s="64">
        <f>A9+1</f>
        <v>2</v>
      </c>
      <c r="B10" s="10"/>
      <c r="C10" s="630" t="s">
        <v>352</v>
      </c>
      <c r="D10" s="1178">
        <v>2018</v>
      </c>
      <c r="E10" s="329" t="s">
        <v>199</v>
      </c>
      <c r="F10" s="787">
        <v>237304147.61000001</v>
      </c>
      <c r="G10" s="329"/>
    </row>
    <row r="11" spans="1:7">
      <c r="A11" s="64">
        <f t="shared" ref="A11:A21" si="0">A10+1</f>
        <v>3</v>
      </c>
      <c r="B11" s="10"/>
      <c r="C11" s="630" t="s">
        <v>353</v>
      </c>
      <c r="D11" s="1178">
        <v>2018</v>
      </c>
      <c r="E11" s="329" t="s">
        <v>199</v>
      </c>
      <c r="F11" s="787">
        <v>239841032.78</v>
      </c>
      <c r="G11" s="329"/>
    </row>
    <row r="12" spans="1:7">
      <c r="A12" s="64">
        <f t="shared" si="0"/>
        <v>4</v>
      </c>
      <c r="B12" s="10"/>
      <c r="C12" s="630" t="s">
        <v>354</v>
      </c>
      <c r="D12" s="1178">
        <v>2018</v>
      </c>
      <c r="E12" s="329" t="s">
        <v>199</v>
      </c>
      <c r="F12" s="787">
        <v>244159655.81999999</v>
      </c>
      <c r="G12" s="329"/>
    </row>
    <row r="13" spans="1:7">
      <c r="A13" s="64">
        <f t="shared" si="0"/>
        <v>5</v>
      </c>
      <c r="B13" s="10"/>
      <c r="C13" s="630" t="s">
        <v>355</v>
      </c>
      <c r="D13" s="1178">
        <v>2018</v>
      </c>
      <c r="E13" s="329" t="s">
        <v>199</v>
      </c>
      <c r="F13" s="787">
        <v>247338968.55000001</v>
      </c>
      <c r="G13" s="329"/>
    </row>
    <row r="14" spans="1:7">
      <c r="A14" s="64">
        <f t="shared" si="0"/>
        <v>6</v>
      </c>
      <c r="B14" s="10"/>
      <c r="C14" s="630" t="s">
        <v>356</v>
      </c>
      <c r="D14" s="1178">
        <v>2018</v>
      </c>
      <c r="E14" s="329" t="s">
        <v>199</v>
      </c>
      <c r="F14" s="787">
        <v>252131396.37</v>
      </c>
      <c r="G14" s="329"/>
    </row>
    <row r="15" spans="1:7">
      <c r="A15" s="64">
        <f t="shared" si="0"/>
        <v>7</v>
      </c>
      <c r="B15" s="10"/>
      <c r="C15" s="630" t="s">
        <v>540</v>
      </c>
      <c r="D15" s="1178">
        <v>2018</v>
      </c>
      <c r="E15" s="329" t="s">
        <v>199</v>
      </c>
      <c r="F15" s="787">
        <v>251129665.33000001</v>
      </c>
      <c r="G15" s="329"/>
    </row>
    <row r="16" spans="1:7">
      <c r="A16" s="64">
        <f t="shared" si="0"/>
        <v>8</v>
      </c>
      <c r="B16" s="10"/>
      <c r="C16" s="630" t="s">
        <v>358</v>
      </c>
      <c r="D16" s="1178">
        <v>2018</v>
      </c>
      <c r="E16" s="329" t="s">
        <v>199</v>
      </c>
      <c r="F16" s="787">
        <v>253822277.5</v>
      </c>
      <c r="G16" s="329"/>
    </row>
    <row r="17" spans="1:7">
      <c r="A17" s="64">
        <f t="shared" si="0"/>
        <v>9</v>
      </c>
      <c r="B17" s="10"/>
      <c r="C17" s="630" t="s">
        <v>359</v>
      </c>
      <c r="D17" s="1178">
        <v>2018</v>
      </c>
      <c r="E17" s="329" t="s">
        <v>199</v>
      </c>
      <c r="F17" s="787">
        <v>257294452.5</v>
      </c>
      <c r="G17" s="329"/>
    </row>
    <row r="18" spans="1:7">
      <c r="A18" s="64">
        <f t="shared" si="0"/>
        <v>10</v>
      </c>
      <c r="B18" s="10"/>
      <c r="C18" s="630" t="s">
        <v>360</v>
      </c>
      <c r="D18" s="1178">
        <v>2018</v>
      </c>
      <c r="E18" s="329" t="s">
        <v>199</v>
      </c>
      <c r="F18" s="787">
        <v>259921485.99000001</v>
      </c>
      <c r="G18" s="329"/>
    </row>
    <row r="19" spans="1:7">
      <c r="A19" s="64">
        <f t="shared" si="0"/>
        <v>11</v>
      </c>
      <c r="B19" s="10"/>
      <c r="C19" s="630" t="s">
        <v>361</v>
      </c>
      <c r="D19" s="1178">
        <v>2018</v>
      </c>
      <c r="E19" s="329" t="s">
        <v>199</v>
      </c>
      <c r="F19" s="787">
        <v>265467744.55000001</v>
      </c>
      <c r="G19" s="329"/>
    </row>
    <row r="20" spans="1:7">
      <c r="A20" s="64">
        <f t="shared" si="0"/>
        <v>12</v>
      </c>
      <c r="B20" s="10"/>
      <c r="C20" s="630" t="s">
        <v>362</v>
      </c>
      <c r="D20" s="1178">
        <v>2018</v>
      </c>
      <c r="E20" s="329" t="s">
        <v>199</v>
      </c>
      <c r="F20" s="325">
        <v>270331689.63</v>
      </c>
      <c r="G20" s="329"/>
    </row>
    <row r="21" spans="1:7">
      <c r="A21" s="64">
        <f t="shared" si="0"/>
        <v>13</v>
      </c>
      <c r="B21" s="10"/>
      <c r="C21" s="324" t="s">
        <v>350</v>
      </c>
      <c r="D21" s="1178">
        <v>2018</v>
      </c>
      <c r="E21" s="329" t="s">
        <v>1212</v>
      </c>
      <c r="F21" s="858">
        <v>279666024</v>
      </c>
      <c r="G21" s="11" t="s">
        <v>859</v>
      </c>
    </row>
    <row r="22" spans="1:7">
      <c r="A22" s="10"/>
      <c r="B22" s="10"/>
      <c r="C22" s="12"/>
      <c r="D22" s="12"/>
      <c r="E22" s="1207"/>
      <c r="F22" s="768"/>
      <c r="G22" s="329"/>
    </row>
    <row r="23" spans="1:7">
      <c r="A23" s="64">
        <f>A21+1</f>
        <v>14</v>
      </c>
      <c r="B23" s="10"/>
      <c r="C23" s="12"/>
      <c r="D23" s="12"/>
      <c r="E23" s="327" t="s">
        <v>1213</v>
      </c>
      <c r="F23" s="1205">
        <f>SUM(F9:F21)/13</f>
        <v>253570406.27923077</v>
      </c>
      <c r="G23" s="67" t="str">
        <f>"(Sum Line "&amp;A9&amp;" to Line "&amp;A21&amp;") / 13"</f>
        <v>(Sum Line 1 to Line 13) / 13</v>
      </c>
    </row>
    <row r="24" spans="1:7">
      <c r="A24" s="64">
        <f>A23+1</f>
        <v>15</v>
      </c>
      <c r="B24" s="10"/>
      <c r="C24" s="12"/>
      <c r="D24" s="12"/>
      <c r="E24" s="327" t="s">
        <v>1214</v>
      </c>
      <c r="F24" s="17">
        <f>'27-Allocators'!G14</f>
        <v>5.9033379723389116E-2</v>
      </c>
      <c r="G24" s="67" t="str">
        <f>"27-Allocators, Line "&amp;'27-Allocators'!A14&amp;""</f>
        <v>27-Allocators, Line 9</v>
      </c>
    </row>
    <row r="25" spans="1:7">
      <c r="A25" s="10"/>
      <c r="B25" s="10"/>
      <c r="C25" s="10"/>
      <c r="D25" s="12"/>
      <c r="E25" s="327"/>
      <c r="F25" s="1205"/>
      <c r="G25" s="67"/>
    </row>
    <row r="26" spans="1:7">
      <c r="A26" s="64">
        <f>A24+1</f>
        <v>16</v>
      </c>
      <c r="B26" s="10"/>
      <c r="C26" s="12" t="s">
        <v>107</v>
      </c>
      <c r="D26" s="12"/>
      <c r="E26" s="669" t="s">
        <v>765</v>
      </c>
      <c r="F26" s="1205">
        <f>F21*F24</f>
        <v>16509630.590522453</v>
      </c>
      <c r="G26" s="297" t="str">
        <f>"Line "&amp;A21&amp;" * Line "&amp;A24&amp;""</f>
        <v>Line 13 * Line 15</v>
      </c>
    </row>
    <row r="27" spans="1:7">
      <c r="A27" s="64">
        <f>A26+1</f>
        <v>17</v>
      </c>
      <c r="B27" s="10"/>
      <c r="C27" s="12"/>
      <c r="D27" s="12"/>
      <c r="E27" s="327" t="s">
        <v>1215</v>
      </c>
      <c r="F27" s="1205">
        <f>F23*F24</f>
        <v>14969118.080495883</v>
      </c>
      <c r="G27" s="297" t="str">
        <f>"Line "&amp;A23&amp;" * Line "&amp;A24&amp;""</f>
        <v>Line 14 * Line 15</v>
      </c>
    </row>
    <row r="28" spans="1:7">
      <c r="A28" s="10"/>
      <c r="B28" s="10"/>
      <c r="C28" s="10"/>
      <c r="D28" s="10"/>
      <c r="E28" s="10"/>
      <c r="F28" s="10"/>
      <c r="G28" s="768"/>
    </row>
    <row r="29" spans="1:7">
      <c r="A29" s="10"/>
      <c r="B29" s="25" t="s">
        <v>1216</v>
      </c>
      <c r="C29" s="10"/>
      <c r="D29" s="10"/>
      <c r="E29" s="10"/>
      <c r="F29" s="10"/>
      <c r="G29" s="768"/>
    </row>
    <row r="30" spans="1:7">
      <c r="A30" s="10"/>
      <c r="B30" s="10"/>
      <c r="C30" s="10" t="s">
        <v>1217</v>
      </c>
      <c r="D30" s="10"/>
      <c r="E30" s="1210"/>
      <c r="F30" s="1208"/>
      <c r="G30" s="1209"/>
    </row>
    <row r="31" spans="1:7">
      <c r="A31" s="10"/>
      <c r="B31" s="10"/>
      <c r="C31" s="10" t="s">
        <v>1218</v>
      </c>
      <c r="D31" s="10"/>
      <c r="E31" s="1210"/>
      <c r="F31" s="1208"/>
      <c r="G31" s="1209"/>
    </row>
    <row r="32" spans="1:7">
      <c r="A32" s="768"/>
      <c r="B32" s="768"/>
      <c r="C32" s="324"/>
      <c r="D32" s="310"/>
      <c r="E32" s="14" t="s">
        <v>770</v>
      </c>
      <c r="F32" s="44" t="s">
        <v>1219</v>
      </c>
      <c r="G32" s="14"/>
    </row>
    <row r="33" spans="1:11">
      <c r="A33" s="768"/>
      <c r="B33" s="768"/>
      <c r="C33" s="13" t="s">
        <v>342</v>
      </c>
      <c r="D33" s="13" t="s">
        <v>343</v>
      </c>
      <c r="E33" s="13" t="s">
        <v>763</v>
      </c>
      <c r="F33" s="16" t="s">
        <v>773</v>
      </c>
      <c r="G33" s="15" t="s">
        <v>98</v>
      </c>
      <c r="H33" s="768"/>
      <c r="I33" s="768"/>
      <c r="J33" s="768"/>
      <c r="K33" s="768"/>
    </row>
    <row r="34" spans="1:11">
      <c r="A34" s="64">
        <f>A27+1</f>
        <v>18</v>
      </c>
      <c r="B34" s="10"/>
      <c r="C34" s="630" t="s">
        <v>350</v>
      </c>
      <c r="D34" s="1178">
        <v>2017</v>
      </c>
      <c r="E34" s="850" t="s">
        <v>1220</v>
      </c>
      <c r="F34" s="37">
        <f>F63</f>
        <v>227852643</v>
      </c>
      <c r="G34" s="850" t="s">
        <v>1221</v>
      </c>
      <c r="H34" s="768"/>
      <c r="I34" s="768"/>
      <c r="J34" s="768"/>
      <c r="K34" s="768"/>
    </row>
    <row r="35" spans="1:11">
      <c r="A35" s="64">
        <f>A34+1</f>
        <v>19</v>
      </c>
      <c r="B35" s="10"/>
      <c r="C35" s="630" t="s">
        <v>352</v>
      </c>
      <c r="D35" s="1178">
        <v>2018</v>
      </c>
      <c r="E35" s="329" t="s">
        <v>199</v>
      </c>
      <c r="F35" s="787">
        <v>203222045.08000001</v>
      </c>
      <c r="G35" s="850"/>
      <c r="H35" s="768"/>
      <c r="I35" s="768"/>
      <c r="J35" s="5"/>
      <c r="K35" s="5"/>
    </row>
    <row r="36" spans="1:11">
      <c r="A36" s="64">
        <f t="shared" ref="A36:A46" si="1">A35+1</f>
        <v>20</v>
      </c>
      <c r="B36" s="10"/>
      <c r="C36" s="630" t="s">
        <v>353</v>
      </c>
      <c r="D36" s="1178">
        <v>2018</v>
      </c>
      <c r="E36" s="329" t="s">
        <v>199</v>
      </c>
      <c r="F36" s="787">
        <v>192389429.38</v>
      </c>
      <c r="G36" s="850"/>
      <c r="H36" s="768"/>
      <c r="I36" s="768"/>
      <c r="J36" s="5"/>
      <c r="K36" s="5"/>
    </row>
    <row r="37" spans="1:11">
      <c r="A37" s="64">
        <f t="shared" si="1"/>
        <v>21</v>
      </c>
      <c r="B37" s="10"/>
      <c r="C37" s="630" t="s">
        <v>354</v>
      </c>
      <c r="D37" s="1178">
        <v>2018</v>
      </c>
      <c r="E37" s="329" t="s">
        <v>199</v>
      </c>
      <c r="F37" s="787">
        <v>164188103.5</v>
      </c>
      <c r="G37" s="850"/>
      <c r="H37" s="768"/>
      <c r="I37" s="768"/>
      <c r="J37" s="5"/>
      <c r="K37" s="5"/>
    </row>
    <row r="38" spans="1:11">
      <c r="A38" s="64">
        <f t="shared" si="1"/>
        <v>22</v>
      </c>
      <c r="B38" s="10"/>
      <c r="C38" s="630" t="s">
        <v>355</v>
      </c>
      <c r="D38" s="1178">
        <v>2018</v>
      </c>
      <c r="E38" s="329" t="s">
        <v>199</v>
      </c>
      <c r="F38" s="787">
        <v>197043564.55000001</v>
      </c>
      <c r="G38" s="850"/>
      <c r="H38" s="768"/>
      <c r="I38" s="768"/>
      <c r="J38" s="5"/>
      <c r="K38" s="5"/>
    </row>
    <row r="39" spans="1:11">
      <c r="A39" s="64">
        <f t="shared" si="1"/>
        <v>23</v>
      </c>
      <c r="B39" s="10"/>
      <c r="C39" s="630" t="s">
        <v>356</v>
      </c>
      <c r="D39" s="1178">
        <v>2018</v>
      </c>
      <c r="E39" s="329" t="s">
        <v>199</v>
      </c>
      <c r="F39" s="787">
        <v>177668447.11000001</v>
      </c>
      <c r="G39" s="850"/>
      <c r="H39" s="768"/>
      <c r="I39" s="768"/>
      <c r="J39" s="5"/>
      <c r="K39" s="5"/>
    </row>
    <row r="40" spans="1:11">
      <c r="A40" s="64">
        <f t="shared" si="1"/>
        <v>24</v>
      </c>
      <c r="B40" s="10"/>
      <c r="C40" s="630" t="s">
        <v>540</v>
      </c>
      <c r="D40" s="1178">
        <v>2018</v>
      </c>
      <c r="E40" s="329" t="s">
        <v>199</v>
      </c>
      <c r="F40" s="787">
        <v>255103006.09999999</v>
      </c>
      <c r="G40" s="850"/>
      <c r="H40" s="768"/>
      <c r="I40" s="768"/>
      <c r="J40" s="5"/>
      <c r="K40" s="5"/>
    </row>
    <row r="41" spans="1:11">
      <c r="A41" s="64">
        <f t="shared" si="1"/>
        <v>25</v>
      </c>
      <c r="B41" s="10"/>
      <c r="C41" s="630" t="s">
        <v>358</v>
      </c>
      <c r="D41" s="1178">
        <v>2018</v>
      </c>
      <c r="E41" s="329" t="s">
        <v>199</v>
      </c>
      <c r="F41" s="787">
        <v>247953030.09</v>
      </c>
      <c r="G41" s="850"/>
      <c r="H41" s="768"/>
      <c r="I41" s="768"/>
      <c r="J41" s="5"/>
      <c r="K41" s="5"/>
    </row>
    <row r="42" spans="1:11">
      <c r="A42" s="64">
        <f t="shared" si="1"/>
        <v>26</v>
      </c>
      <c r="B42" s="10"/>
      <c r="C42" s="630" t="s">
        <v>359</v>
      </c>
      <c r="D42" s="1178">
        <v>2018</v>
      </c>
      <c r="E42" s="329" t="s">
        <v>199</v>
      </c>
      <c r="F42" s="787">
        <v>217766527.24000001</v>
      </c>
      <c r="G42" s="850"/>
      <c r="H42" s="768"/>
      <c r="I42" s="768"/>
      <c r="J42" s="5"/>
      <c r="K42" s="5"/>
    </row>
    <row r="43" spans="1:11">
      <c r="A43" s="64">
        <f t="shared" si="1"/>
        <v>27</v>
      </c>
      <c r="B43" s="10"/>
      <c r="C43" s="630" t="s">
        <v>360</v>
      </c>
      <c r="D43" s="1178">
        <v>2018</v>
      </c>
      <c r="E43" s="329" t="s">
        <v>199</v>
      </c>
      <c r="F43" s="787">
        <v>181251191.03999999</v>
      </c>
      <c r="G43" s="850"/>
      <c r="H43" s="768"/>
      <c r="I43" s="768"/>
      <c r="J43" s="5"/>
      <c r="K43" s="5"/>
    </row>
    <row r="44" spans="1:11">
      <c r="A44" s="64">
        <f t="shared" si="1"/>
        <v>28</v>
      </c>
      <c r="B44" s="10"/>
      <c r="C44" s="630" t="s">
        <v>361</v>
      </c>
      <c r="D44" s="1178">
        <v>2018</v>
      </c>
      <c r="E44" s="329" t="s">
        <v>199</v>
      </c>
      <c r="F44" s="787">
        <v>152689618.33000001</v>
      </c>
      <c r="G44" s="850"/>
      <c r="H44" s="768"/>
      <c r="I44" s="768"/>
      <c r="J44" s="5"/>
      <c r="K44" s="5"/>
    </row>
    <row r="45" spans="1:11">
      <c r="A45" s="64">
        <f t="shared" si="1"/>
        <v>29</v>
      </c>
      <c r="B45" s="10"/>
      <c r="C45" s="630" t="s">
        <v>362</v>
      </c>
      <c r="D45" s="1178">
        <v>2018</v>
      </c>
      <c r="E45" s="329" t="s">
        <v>199</v>
      </c>
      <c r="F45" s="68">
        <v>187157440.37</v>
      </c>
      <c r="G45" s="850"/>
      <c r="H45" s="768"/>
      <c r="I45" s="768"/>
      <c r="J45" s="5"/>
      <c r="K45" s="5"/>
    </row>
    <row r="46" spans="1:11">
      <c r="A46" s="64">
        <f t="shared" si="1"/>
        <v>30</v>
      </c>
      <c r="B46" s="10"/>
      <c r="C46" s="324" t="s">
        <v>350</v>
      </c>
      <c r="D46" s="1178">
        <v>2018</v>
      </c>
      <c r="E46" s="850" t="s">
        <v>1222</v>
      </c>
      <c r="F46" s="37">
        <f>F69</f>
        <v>144353946</v>
      </c>
      <c r="G46" s="850" t="s">
        <v>1223</v>
      </c>
      <c r="H46" s="768"/>
      <c r="I46" s="768"/>
      <c r="J46" s="768"/>
      <c r="K46" s="768"/>
    </row>
    <row r="47" spans="1:11">
      <c r="A47" s="10"/>
      <c r="B47" s="10"/>
      <c r="C47" s="324"/>
      <c r="D47" s="330"/>
      <c r="E47" s="1211"/>
      <c r="F47" s="1205"/>
      <c r="G47" s="11"/>
      <c r="H47" s="768"/>
      <c r="I47" s="768"/>
      <c r="J47" s="768"/>
      <c r="K47" s="768"/>
    </row>
    <row r="48" spans="1:11">
      <c r="A48" s="10"/>
      <c r="B48" s="10"/>
      <c r="C48" s="444" t="s">
        <v>1224</v>
      </c>
      <c r="D48" s="444"/>
      <c r="E48" s="695"/>
      <c r="F48" s="10"/>
      <c r="G48" s="329"/>
      <c r="H48" s="768"/>
      <c r="I48" s="768"/>
      <c r="J48" s="768"/>
      <c r="K48" s="768"/>
    </row>
    <row r="49" spans="1:8">
      <c r="A49" s="64">
        <f>A46+1</f>
        <v>31</v>
      </c>
      <c r="B49" s="10"/>
      <c r="C49" s="12"/>
      <c r="D49" s="12"/>
      <c r="E49" s="480" t="s">
        <v>1215</v>
      </c>
      <c r="F49" s="1205">
        <f>SUM(F34:F46)/13</f>
        <v>196049153.21461535</v>
      </c>
      <c r="G49" s="67" t="str">
        <f>"(Sum Line "&amp;A34&amp;" to Line "&amp;A46&amp;") / 13"</f>
        <v>(Sum Line 18 to Line 30) / 13</v>
      </c>
      <c r="H49" s="768"/>
    </row>
    <row r="50" spans="1:8">
      <c r="A50" s="64">
        <f>A49+1</f>
        <v>32</v>
      </c>
      <c r="B50" s="10"/>
      <c r="C50" s="12"/>
      <c r="D50" s="12"/>
      <c r="E50" s="327" t="s">
        <v>1214</v>
      </c>
      <c r="F50" s="17">
        <f>'27-Allocators'!G14</f>
        <v>5.9033379723389116E-2</v>
      </c>
      <c r="G50" s="67" t="str">
        <f>"27-Allocators, Line "&amp;'27-Allocators'!A14&amp;""</f>
        <v>27-Allocators, Line 9</v>
      </c>
      <c r="H50" s="768"/>
    </row>
    <row r="51" spans="1:8">
      <c r="A51" s="64">
        <f>A50+1</f>
        <v>33</v>
      </c>
      <c r="B51" s="10"/>
      <c r="C51" s="12"/>
      <c r="D51" s="12"/>
      <c r="E51" s="1212" t="s">
        <v>1225</v>
      </c>
      <c r="F51" s="1205">
        <f>F49*F50</f>
        <v>11573444.106167279</v>
      </c>
      <c r="G51" s="297" t="str">
        <f>"Line "&amp;A49&amp;" * Line "&amp;A50&amp;""</f>
        <v>Line 31 * Line 32</v>
      </c>
      <c r="H51" s="768"/>
    </row>
    <row r="52" spans="1:8">
      <c r="A52" s="10"/>
      <c r="B52" s="10"/>
      <c r="C52" s="12" t="s">
        <v>1226</v>
      </c>
      <c r="D52" s="12"/>
      <c r="E52" s="1210"/>
      <c r="F52" s="10"/>
      <c r="G52" s="1206"/>
      <c r="H52" s="768"/>
    </row>
    <row r="53" spans="1:8">
      <c r="A53" s="64">
        <f>A51+1</f>
        <v>34</v>
      </c>
      <c r="B53" s="10"/>
      <c r="C53" s="12"/>
      <c r="D53" s="12"/>
      <c r="E53" s="327" t="s">
        <v>765</v>
      </c>
      <c r="F53" s="1205">
        <f>F46</f>
        <v>144353946</v>
      </c>
      <c r="G53" s="1206" t="str">
        <f>"Line "&amp;A46&amp;""</f>
        <v>Line 30</v>
      </c>
      <c r="H53" s="768"/>
    </row>
    <row r="54" spans="1:8">
      <c r="A54" s="64">
        <f>A53+1</f>
        <v>35</v>
      </c>
      <c r="B54" s="10"/>
      <c r="C54" s="12"/>
      <c r="D54" s="12"/>
      <c r="E54" s="327" t="s">
        <v>1214</v>
      </c>
      <c r="F54" s="17">
        <f>'27-Allocators'!G14</f>
        <v>5.9033379723389116E-2</v>
      </c>
      <c r="G54" s="67" t="str">
        <f>"27-Allocators, Line "&amp;'27-Allocators'!A14&amp;""</f>
        <v>27-Allocators, Line 9</v>
      </c>
      <c r="H54" s="768"/>
    </row>
    <row r="55" spans="1:8">
      <c r="A55" s="64">
        <f>A54+1</f>
        <v>36</v>
      </c>
      <c r="B55" s="10"/>
      <c r="C55" s="12"/>
      <c r="D55" s="12"/>
      <c r="E55" s="1204" t="s">
        <v>1225</v>
      </c>
      <c r="F55" s="1205">
        <f>F53*F54</f>
        <v>8521701.3087876067</v>
      </c>
      <c r="G55" s="297" t="str">
        <f>"Line "&amp;A53&amp;" * Line "&amp;A54&amp;""</f>
        <v>Line 34 * Line 35</v>
      </c>
      <c r="H55" s="768"/>
    </row>
    <row r="56" spans="1:8">
      <c r="A56" s="768"/>
      <c r="B56" s="28" t="s">
        <v>226</v>
      </c>
      <c r="C56" s="300"/>
      <c r="D56" s="298"/>
      <c r="E56" s="300"/>
      <c r="F56" s="298"/>
      <c r="G56" s="298"/>
      <c r="H56" s="768"/>
    </row>
    <row r="57" spans="1:8">
      <c r="A57" s="768"/>
      <c r="B57" s="298" t="s">
        <v>1227</v>
      </c>
      <c r="C57" s="300" t="str">
        <f>"Remove any amounts related to years prior to 2012 on "&amp;B62&amp;" and "&amp;B68&amp;" below."</f>
        <v>Remove any amounts related to years prior to 2012 on b and e below.</v>
      </c>
      <c r="D57" s="298"/>
      <c r="E57" s="300"/>
      <c r="F57" s="298"/>
      <c r="G57" s="298"/>
      <c r="H57" s="768"/>
    </row>
    <row r="58" spans="1:8">
      <c r="A58" s="379"/>
      <c r="B58" s="298"/>
      <c r="C58" s="300"/>
      <c r="D58" s="298"/>
      <c r="E58" s="669"/>
      <c r="F58" s="305"/>
      <c r="G58" s="302"/>
      <c r="H58" s="1"/>
    </row>
    <row r="59" spans="1:8">
      <c r="A59" s="379"/>
      <c r="B59" s="298"/>
      <c r="C59" s="300" t="s">
        <v>1228</v>
      </c>
      <c r="D59" s="298"/>
      <c r="E59" s="669"/>
      <c r="F59" s="851" t="s">
        <v>108</v>
      </c>
      <c r="G59" s="297"/>
      <c r="H59" s="768"/>
    </row>
    <row r="60" spans="1:8">
      <c r="A60" s="379"/>
      <c r="B60" s="298"/>
      <c r="C60" s="300"/>
      <c r="D60" s="298"/>
      <c r="E60" s="669"/>
      <c r="F60" s="448" t="s">
        <v>773</v>
      </c>
      <c r="G60" s="221" t="s">
        <v>763</v>
      </c>
      <c r="H60" s="768"/>
    </row>
    <row r="61" spans="1:8">
      <c r="A61" s="379"/>
      <c r="B61" s="379" t="s">
        <v>481</v>
      </c>
      <c r="C61" s="852"/>
      <c r="D61" s="298"/>
      <c r="E61" s="669" t="s">
        <v>1229</v>
      </c>
      <c r="F61" s="858">
        <v>227852643</v>
      </c>
      <c r="G61" s="850" t="s">
        <v>1230</v>
      </c>
      <c r="H61" s="768"/>
    </row>
    <row r="62" spans="1:8">
      <c r="A62" s="379"/>
      <c r="B62" s="379" t="s">
        <v>484</v>
      </c>
      <c r="C62" s="300"/>
      <c r="D62" s="298"/>
      <c r="E62" s="669" t="s">
        <v>1231</v>
      </c>
      <c r="F62" s="68">
        <v>0</v>
      </c>
      <c r="G62" s="302" t="s">
        <v>150</v>
      </c>
      <c r="H62" s="768"/>
    </row>
    <row r="63" spans="1:8">
      <c r="A63" s="379"/>
      <c r="B63" s="379" t="s">
        <v>487</v>
      </c>
      <c r="C63" s="300"/>
      <c r="D63" s="298"/>
      <c r="E63" s="669" t="s">
        <v>1232</v>
      </c>
      <c r="F63" s="311">
        <f>F61-F62</f>
        <v>227852643</v>
      </c>
      <c r="G63" s="297" t="str">
        <f>""&amp;B61&amp;" - "&amp;B62&amp;""</f>
        <v>a - b</v>
      </c>
      <c r="H63" s="768"/>
    </row>
    <row r="64" spans="1:8">
      <c r="A64" s="379"/>
      <c r="B64" s="298"/>
      <c r="C64" s="300"/>
      <c r="D64" s="298"/>
      <c r="E64" s="300"/>
      <c r="F64" s="298"/>
      <c r="G64" s="298"/>
      <c r="H64" s="768"/>
    </row>
    <row r="65" spans="1:7">
      <c r="A65" s="379"/>
      <c r="B65" s="298"/>
      <c r="C65" s="300" t="s">
        <v>1233</v>
      </c>
      <c r="D65" s="298"/>
      <c r="E65" s="669"/>
      <c r="F65" s="851" t="s">
        <v>108</v>
      </c>
      <c r="G65" s="297"/>
    </row>
    <row r="66" spans="1:7">
      <c r="A66" s="379"/>
      <c r="B66" s="298"/>
      <c r="C66" s="300"/>
      <c r="D66" s="298"/>
      <c r="E66" s="669"/>
      <c r="F66" s="448" t="s">
        <v>773</v>
      </c>
      <c r="G66" s="221" t="s">
        <v>763</v>
      </c>
    </row>
    <row r="67" spans="1:7">
      <c r="A67" s="379"/>
      <c r="B67" s="379" t="s">
        <v>489</v>
      </c>
      <c r="C67" s="852"/>
      <c r="D67" s="298"/>
      <c r="E67" s="669" t="s">
        <v>1229</v>
      </c>
      <c r="F67" s="858">
        <v>144353946</v>
      </c>
      <c r="G67" s="850" t="s">
        <v>1234</v>
      </c>
    </row>
    <row r="68" spans="1:7">
      <c r="A68" s="379"/>
      <c r="B68" s="379" t="s">
        <v>493</v>
      </c>
      <c r="C68" s="300"/>
      <c r="D68" s="298"/>
      <c r="E68" s="669" t="s">
        <v>1231</v>
      </c>
      <c r="F68" s="68">
        <v>0</v>
      </c>
      <c r="G68" s="302" t="s">
        <v>150</v>
      </c>
    </row>
    <row r="69" spans="1:7">
      <c r="A69" s="379"/>
      <c r="B69" s="379" t="s">
        <v>496</v>
      </c>
      <c r="C69" s="300"/>
      <c r="D69" s="300"/>
      <c r="E69" s="669" t="s">
        <v>1235</v>
      </c>
      <c r="F69" s="311">
        <f>F67-F68</f>
        <v>144353946</v>
      </c>
      <c r="G69" s="297" t="str">
        <f>""&amp;B67&amp;" - "&amp;B68&amp;""</f>
        <v>d - e</v>
      </c>
    </row>
    <row r="73" spans="1:7">
      <c r="A73" s="768"/>
      <c r="B73" s="768"/>
      <c r="C73" s="768"/>
      <c r="D73" s="768"/>
      <c r="E73" s="768"/>
      <c r="F73" s="378"/>
      <c r="G73" s="768"/>
    </row>
  </sheetData>
  <phoneticPr fontId="22" type="noConversion"/>
  <pageMargins left="0.75" right="0.75" top="1" bottom="1" header="0.5" footer="0.5"/>
  <pageSetup scale="73" orientation="portrait" cellComments="asDisplayed" r:id="rId1"/>
  <headerFooter alignWithMargins="0">
    <oddHeader>&amp;CSchedule 13
Working Capital
&amp;RTO2020 Draft Annual Update 
Attachment1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2</v>
      </c>
      <c r="B1" s="768"/>
      <c r="C1" s="1"/>
      <c r="D1" s="768"/>
    </row>
    <row r="3" spans="1:4">
      <c r="A3" s="768"/>
      <c r="B3" s="2" t="s">
        <v>3</v>
      </c>
      <c r="C3" s="2" t="s">
        <v>4</v>
      </c>
      <c r="D3" s="221" t="s">
        <v>5</v>
      </c>
    </row>
    <row r="4" spans="1:4">
      <c r="A4" s="768"/>
      <c r="B4" s="397" t="s">
        <v>6</v>
      </c>
      <c r="C4" s="1109"/>
      <c r="D4" s="298" t="s">
        <v>7</v>
      </c>
    </row>
    <row r="5" spans="1:4">
      <c r="A5" s="768"/>
      <c r="B5" s="397" t="s">
        <v>8</v>
      </c>
      <c r="C5" s="1109">
        <v>1</v>
      </c>
      <c r="D5" s="298" t="s">
        <v>9</v>
      </c>
    </row>
    <row r="6" spans="1:4">
      <c r="A6" s="768"/>
      <c r="B6" s="397" t="s">
        <v>10</v>
      </c>
      <c r="C6" s="1109">
        <v>2</v>
      </c>
      <c r="D6" s="298" t="s">
        <v>11</v>
      </c>
    </row>
    <row r="7" spans="1:4">
      <c r="A7" s="768"/>
      <c r="B7" s="397" t="s">
        <v>12</v>
      </c>
      <c r="C7" s="1109">
        <v>3</v>
      </c>
      <c r="D7" s="298" t="s">
        <v>13</v>
      </c>
    </row>
    <row r="8" spans="1:4">
      <c r="A8" s="768"/>
      <c r="B8" s="397" t="s">
        <v>14</v>
      </c>
      <c r="C8" s="1109">
        <v>4</v>
      </c>
      <c r="D8" s="298" t="s">
        <v>15</v>
      </c>
    </row>
    <row r="9" spans="1:4">
      <c r="A9" s="768"/>
      <c r="B9" s="397" t="s">
        <v>16</v>
      </c>
      <c r="C9" s="1109">
        <v>5</v>
      </c>
      <c r="D9" s="298" t="s">
        <v>17</v>
      </c>
    </row>
    <row r="10" spans="1:4">
      <c r="A10" s="768"/>
      <c r="B10" s="397" t="s">
        <v>18</v>
      </c>
      <c r="C10" s="1109">
        <v>6</v>
      </c>
      <c r="D10" s="298" t="s">
        <v>19</v>
      </c>
    </row>
    <row r="11" spans="1:4">
      <c r="A11" s="768"/>
      <c r="B11" s="397" t="s">
        <v>20</v>
      </c>
      <c r="C11" s="1109">
        <v>7</v>
      </c>
      <c r="D11" s="298" t="s">
        <v>21</v>
      </c>
    </row>
    <row r="12" spans="1:4">
      <c r="A12" s="768"/>
      <c r="B12" s="397" t="s">
        <v>22</v>
      </c>
      <c r="C12" s="1109">
        <v>8</v>
      </c>
      <c r="D12" s="298" t="s">
        <v>23</v>
      </c>
    </row>
    <row r="13" spans="1:4">
      <c r="A13" s="768"/>
      <c r="B13" s="397" t="s">
        <v>24</v>
      </c>
      <c r="C13" s="1109">
        <v>9</v>
      </c>
      <c r="D13" s="298" t="s">
        <v>25</v>
      </c>
    </row>
    <row r="14" spans="1:4">
      <c r="A14" s="768"/>
      <c r="B14" s="397" t="s">
        <v>26</v>
      </c>
      <c r="C14" s="1109">
        <v>10</v>
      </c>
      <c r="D14" s="298" t="s">
        <v>27</v>
      </c>
    </row>
    <row r="15" spans="1:4">
      <c r="A15" s="768"/>
      <c r="B15" s="397" t="s">
        <v>28</v>
      </c>
      <c r="C15" s="1109">
        <v>11</v>
      </c>
      <c r="D15" s="298" t="s">
        <v>29</v>
      </c>
    </row>
    <row r="16" spans="1:4">
      <c r="A16" s="768"/>
      <c r="B16" s="397" t="s">
        <v>30</v>
      </c>
      <c r="C16" s="1109">
        <v>12</v>
      </c>
      <c r="D16" s="298" t="s">
        <v>31</v>
      </c>
    </row>
    <row r="17" spans="2:4">
      <c r="B17" s="397" t="s">
        <v>32</v>
      </c>
      <c r="C17" s="1109">
        <v>13</v>
      </c>
      <c r="D17" s="298" t="s">
        <v>33</v>
      </c>
    </row>
    <row r="18" spans="2:4">
      <c r="B18" s="397" t="s">
        <v>34</v>
      </c>
      <c r="C18" s="1109">
        <v>14</v>
      </c>
      <c r="D18" s="298" t="s">
        <v>35</v>
      </c>
    </row>
    <row r="19" spans="2:4">
      <c r="B19" s="397" t="s">
        <v>36</v>
      </c>
      <c r="C19" s="1109">
        <v>15</v>
      </c>
      <c r="D19" s="298" t="s">
        <v>37</v>
      </c>
    </row>
    <row r="20" spans="2:4">
      <c r="B20" s="397" t="s">
        <v>38</v>
      </c>
      <c r="C20" s="1109">
        <v>16</v>
      </c>
      <c r="D20" s="298" t="s">
        <v>39</v>
      </c>
    </row>
    <row r="21" spans="2:4">
      <c r="B21" s="397" t="s">
        <v>40</v>
      </c>
      <c r="C21" s="1109">
        <v>17</v>
      </c>
      <c r="D21" s="298" t="s">
        <v>41</v>
      </c>
    </row>
    <row r="22" spans="2:4">
      <c r="B22" s="397" t="s">
        <v>42</v>
      </c>
      <c r="C22" s="1109">
        <v>18</v>
      </c>
      <c r="D22" s="298" t="s">
        <v>43</v>
      </c>
    </row>
    <row r="23" spans="2:4">
      <c r="B23" s="397" t="s">
        <v>44</v>
      </c>
      <c r="C23" s="1109">
        <v>19</v>
      </c>
      <c r="D23" s="298" t="s">
        <v>45</v>
      </c>
    </row>
    <row r="24" spans="2:4">
      <c r="B24" s="397" t="s">
        <v>46</v>
      </c>
      <c r="C24" s="1109">
        <v>20</v>
      </c>
      <c r="D24" s="298" t="s">
        <v>47</v>
      </c>
    </row>
    <row r="25" spans="2:4">
      <c r="B25" s="397" t="s">
        <v>48</v>
      </c>
      <c r="C25" s="1109">
        <v>21</v>
      </c>
      <c r="D25" s="298" t="s">
        <v>49</v>
      </c>
    </row>
    <row r="26" spans="2:4">
      <c r="B26" s="397" t="s">
        <v>50</v>
      </c>
      <c r="C26" s="1109">
        <v>22</v>
      </c>
      <c r="D26" s="298" t="s">
        <v>51</v>
      </c>
    </row>
    <row r="27" spans="2:4">
      <c r="B27" s="397" t="s">
        <v>52</v>
      </c>
      <c r="C27" s="1109">
        <v>23</v>
      </c>
      <c r="D27" s="298" t="s">
        <v>53</v>
      </c>
    </row>
    <row r="28" spans="2:4" ht="12.75" customHeight="1">
      <c r="B28" s="397" t="s">
        <v>54</v>
      </c>
      <c r="C28" s="1109">
        <v>24</v>
      </c>
      <c r="D28" s="298" t="s">
        <v>55</v>
      </c>
    </row>
    <row r="29" spans="2:4">
      <c r="B29" s="397" t="s">
        <v>56</v>
      </c>
      <c r="C29" s="1109">
        <v>25</v>
      </c>
      <c r="D29" s="298" t="s">
        <v>57</v>
      </c>
    </row>
    <row r="30" spans="2:4">
      <c r="B30" s="397" t="s">
        <v>58</v>
      </c>
      <c r="C30" s="1109">
        <v>26</v>
      </c>
      <c r="D30" s="298" t="s">
        <v>59</v>
      </c>
    </row>
    <row r="31" spans="2:4">
      <c r="B31" s="397" t="s">
        <v>60</v>
      </c>
      <c r="C31" s="1109">
        <v>27</v>
      </c>
      <c r="D31" s="298" t="s">
        <v>61</v>
      </c>
    </row>
    <row r="32" spans="2:4">
      <c r="B32" s="397" t="s">
        <v>62</v>
      </c>
      <c r="C32" s="1109">
        <v>28</v>
      </c>
      <c r="D32" s="298" t="s">
        <v>63</v>
      </c>
    </row>
    <row r="33" spans="2:4">
      <c r="B33" s="397" t="s">
        <v>64</v>
      </c>
      <c r="C33" s="1109">
        <v>29</v>
      </c>
      <c r="D33" s="298" t="s">
        <v>65</v>
      </c>
    </row>
    <row r="34" spans="2:4">
      <c r="B34" s="397" t="s">
        <v>66</v>
      </c>
      <c r="C34" s="1109">
        <v>30</v>
      </c>
      <c r="D34" s="298" t="s">
        <v>67</v>
      </c>
    </row>
    <row r="35" spans="2:4">
      <c r="B35" s="397" t="s">
        <v>68</v>
      </c>
      <c r="C35" s="1109">
        <v>31</v>
      </c>
      <c r="D35" s="298" t="s">
        <v>69</v>
      </c>
    </row>
    <row r="36" spans="2:4">
      <c r="B36" s="397" t="s">
        <v>70</v>
      </c>
      <c r="C36" s="1109">
        <v>32</v>
      </c>
      <c r="D36" s="298" t="s">
        <v>71</v>
      </c>
    </row>
    <row r="37" spans="2:4">
      <c r="B37" s="397" t="s">
        <v>72</v>
      </c>
      <c r="C37" s="1109">
        <v>33</v>
      </c>
      <c r="D37" s="298" t="s">
        <v>73</v>
      </c>
    </row>
    <row r="38" spans="2:4">
      <c r="B38" s="397" t="s">
        <v>74</v>
      </c>
      <c r="C38" s="666">
        <v>34</v>
      </c>
      <c r="D38" s="300" t="s">
        <v>75</v>
      </c>
    </row>
    <row r="39" spans="2:4">
      <c r="B39" s="298"/>
      <c r="C39" s="768"/>
      <c r="D39" s="768"/>
    </row>
    <row r="40" spans="2:4">
      <c r="B40" s="298"/>
      <c r="C40" s="768"/>
      <c r="D40" s="768"/>
    </row>
    <row r="41" spans="2:4">
      <c r="B41" s="298"/>
      <c r="C41" s="768"/>
      <c r="D41" s="768"/>
    </row>
    <row r="42" spans="2:4">
      <c r="B42" s="298"/>
      <c r="C42" s="768"/>
      <c r="D42" s="768"/>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Print_Area" display="Unfunded Reserves" xr:uid="{00000000-0004-0000-0100-000022000000}"/>
  </hyperlinks>
  <pageMargins left="0.7" right="0.7" top="0.75" bottom="0.75" header="0.3" footer="0.3"/>
  <pageSetup scale="90" orientation="portrait" cellComments="asDisplayed" r:id="rId1"/>
  <headerFooter>
    <oddHeader>&amp;RTO2020 Draft Annual Update 
Attachment1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96"/>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1236</v>
      </c>
      <c r="B1" s="768"/>
      <c r="C1" s="768"/>
      <c r="D1" s="768"/>
      <c r="E1" s="768"/>
      <c r="F1" s="768"/>
      <c r="G1" s="768"/>
      <c r="H1" s="768"/>
      <c r="I1" s="768"/>
      <c r="J1" s="768"/>
    </row>
    <row r="2" spans="1:10">
      <c r="A2" s="1" t="s">
        <v>1237</v>
      </c>
      <c r="B2" s="768"/>
      <c r="C2" s="768"/>
      <c r="D2" s="768"/>
      <c r="E2" s="768"/>
      <c r="F2" s="768"/>
      <c r="G2" s="768"/>
      <c r="H2" s="768"/>
      <c r="I2" s="768"/>
      <c r="J2" s="768"/>
    </row>
    <row r="3" spans="1:10">
      <c r="A3" s="768"/>
      <c r="B3" s="1"/>
      <c r="C3" s="768"/>
      <c r="D3" s="768"/>
      <c r="E3" s="768"/>
      <c r="F3" s="768"/>
      <c r="G3" s="768"/>
      <c r="H3" s="783" t="s">
        <v>1168</v>
      </c>
      <c r="I3" s="58"/>
      <c r="J3" s="33"/>
    </row>
    <row r="4" spans="1:10">
      <c r="A4" s="768"/>
      <c r="B4" s="1" t="s">
        <v>1238</v>
      </c>
      <c r="C4" s="768"/>
      <c r="D4" s="768"/>
      <c r="E4" s="768"/>
      <c r="F4" s="768"/>
      <c r="G4" s="768"/>
      <c r="H4" s="768"/>
      <c r="I4" s="768"/>
      <c r="J4" s="768"/>
    </row>
    <row r="5" spans="1:10">
      <c r="A5" s="768"/>
      <c r="B5" s="32" t="s">
        <v>1239</v>
      </c>
      <c r="C5" s="768"/>
      <c r="D5" s="768"/>
      <c r="E5" s="768"/>
      <c r="F5" s="768"/>
      <c r="G5" s="768"/>
      <c r="H5" s="768"/>
      <c r="I5" s="768"/>
      <c r="J5" s="768"/>
    </row>
    <row r="6" spans="1:10">
      <c r="A6" s="768"/>
      <c r="B6" s="32" t="s">
        <v>1240</v>
      </c>
      <c r="C6" s="768"/>
      <c r="D6" s="768"/>
      <c r="E6" s="768"/>
      <c r="F6" s="768"/>
      <c r="G6" s="768"/>
      <c r="H6" s="768"/>
      <c r="I6" s="768"/>
      <c r="J6" s="768"/>
    </row>
    <row r="7" spans="1:10">
      <c r="A7" s="768"/>
      <c r="B7" s="62" t="s">
        <v>1241</v>
      </c>
      <c r="C7" s="768"/>
      <c r="D7" s="768"/>
      <c r="E7" s="768"/>
      <c r="F7" s="768"/>
      <c r="G7" s="768"/>
      <c r="H7" s="768"/>
      <c r="I7" s="768"/>
      <c r="J7" s="768"/>
    </row>
    <row r="8" spans="1:10">
      <c r="A8" s="768"/>
      <c r="B8" s="62" t="s">
        <v>1242</v>
      </c>
      <c r="C8" s="768"/>
      <c r="D8" s="768"/>
      <c r="E8" s="768"/>
      <c r="F8" s="768"/>
      <c r="G8" s="768"/>
      <c r="H8" s="768"/>
      <c r="I8" s="768"/>
      <c r="J8" s="768"/>
    </row>
    <row r="9" spans="1:10">
      <c r="A9" s="768"/>
      <c r="B9" s="62" t="s">
        <v>1243</v>
      </c>
      <c r="C9" s="768"/>
      <c r="D9" s="1"/>
      <c r="E9" s="1"/>
      <c r="F9" s="768"/>
      <c r="G9" s="768"/>
      <c r="H9" s="768"/>
      <c r="I9" s="768"/>
      <c r="J9" s="768"/>
    </row>
    <row r="10" spans="1:10">
      <c r="A10" s="768"/>
      <c r="B10" s="32"/>
      <c r="C10" s="768"/>
      <c r="D10" s="768"/>
      <c r="E10" s="768"/>
      <c r="F10" s="768"/>
      <c r="G10" s="768"/>
      <c r="H10" s="768"/>
      <c r="I10" s="768"/>
      <c r="J10" s="768"/>
    </row>
    <row r="11" spans="1:10">
      <c r="A11" s="768"/>
      <c r="B11" s="32"/>
      <c r="C11" s="298" t="s">
        <v>1244</v>
      </c>
      <c r="D11" s="768"/>
      <c r="E11" s="768"/>
      <c r="F11" s="768"/>
      <c r="G11" s="768"/>
      <c r="H11" s="768"/>
      <c r="I11" s="768"/>
      <c r="J11" s="768"/>
    </row>
    <row r="12" spans="1:10">
      <c r="A12" s="768"/>
      <c r="B12" s="32"/>
      <c r="C12" s="302" t="s">
        <v>1245</v>
      </c>
      <c r="D12" s="768"/>
      <c r="E12" s="768"/>
      <c r="F12" s="768"/>
      <c r="G12" s="768"/>
      <c r="H12" s="768"/>
      <c r="I12" s="768"/>
      <c r="J12" s="768"/>
    </row>
    <row r="13" spans="1:10">
      <c r="A13" s="768"/>
      <c r="B13" s="32"/>
      <c r="C13" s="297" t="s">
        <v>1246</v>
      </c>
      <c r="D13" s="10"/>
      <c r="E13" s="10"/>
      <c r="F13" s="10"/>
      <c r="G13" s="10"/>
      <c r="H13" s="10"/>
      <c r="I13" s="10"/>
      <c r="J13" s="768"/>
    </row>
    <row r="14" spans="1:10">
      <c r="A14" s="768"/>
      <c r="B14" s="32"/>
      <c r="C14" s="297" t="s">
        <v>1247</v>
      </c>
      <c r="D14" s="10"/>
      <c r="E14" s="10"/>
      <c r="F14" s="10"/>
      <c r="G14" s="10"/>
      <c r="H14" s="10"/>
      <c r="I14" s="10"/>
      <c r="J14" s="768"/>
    </row>
    <row r="15" spans="1:10">
      <c r="A15" s="768"/>
      <c r="B15" s="32"/>
      <c r="C15" s="672" t="s">
        <v>1248</v>
      </c>
      <c r="D15" s="10"/>
      <c r="E15" s="10"/>
      <c r="F15" s="10"/>
      <c r="G15" s="10"/>
      <c r="H15" s="10"/>
      <c r="I15" s="10"/>
      <c r="J15" s="768"/>
    </row>
    <row r="16" spans="1:10">
      <c r="A16" s="768"/>
      <c r="B16" s="32"/>
      <c r="C16" s="297" t="s">
        <v>1249</v>
      </c>
      <c r="D16" s="10"/>
      <c r="E16" s="10"/>
      <c r="F16" s="10"/>
      <c r="G16" s="10"/>
      <c r="H16" s="10"/>
      <c r="I16" s="10"/>
      <c r="J16" s="768"/>
    </row>
    <row r="17" spans="1:10">
      <c r="A17" s="768"/>
      <c r="B17" s="32"/>
      <c r="C17" s="297" t="s">
        <v>1250</v>
      </c>
      <c r="D17" s="10"/>
      <c r="E17" s="10"/>
      <c r="F17" s="10"/>
      <c r="G17" s="10"/>
      <c r="H17" s="10"/>
      <c r="I17" s="10"/>
      <c r="J17" s="768"/>
    </row>
    <row r="18" spans="1:10">
      <c r="A18" s="768"/>
      <c r="B18" s="32"/>
      <c r="C18" s="297"/>
      <c r="D18" s="10"/>
      <c r="E18" s="10"/>
      <c r="F18" s="10"/>
      <c r="G18" s="10"/>
      <c r="H18" s="10"/>
      <c r="I18" s="10"/>
      <c r="J18" s="768"/>
    </row>
    <row r="19" spans="1:10">
      <c r="A19" s="768"/>
      <c r="B19" s="768"/>
      <c r="C19" s="25" t="s">
        <v>1251</v>
      </c>
      <c r="D19" s="10"/>
      <c r="E19" s="10"/>
      <c r="F19" s="10"/>
      <c r="G19" s="10"/>
      <c r="H19" s="10"/>
      <c r="I19" s="10"/>
      <c r="J19" s="768"/>
    </row>
    <row r="20" spans="1:10">
      <c r="A20" s="768"/>
      <c r="B20" s="768"/>
      <c r="C20" s="25"/>
      <c r="D20" s="10"/>
      <c r="E20" s="74" t="s">
        <v>307</v>
      </c>
      <c r="F20" s="74" t="s">
        <v>308</v>
      </c>
      <c r="G20" s="74" t="s">
        <v>309</v>
      </c>
      <c r="H20" s="10"/>
      <c r="I20" s="10"/>
      <c r="J20" s="768"/>
    </row>
    <row r="21" spans="1:10">
      <c r="A21" s="768"/>
      <c r="B21" s="1"/>
      <c r="C21" s="10"/>
      <c r="D21" s="10"/>
      <c r="E21" s="10"/>
      <c r="F21" s="64" t="s">
        <v>1024</v>
      </c>
      <c r="G21" s="64" t="s">
        <v>1087</v>
      </c>
      <c r="H21" s="10"/>
      <c r="I21" s="10"/>
      <c r="J21" s="768"/>
    </row>
    <row r="22" spans="1:10">
      <c r="A22" s="768"/>
      <c r="B22" s="1"/>
      <c r="C22" s="10"/>
      <c r="D22" s="10"/>
      <c r="E22" s="64" t="s">
        <v>1024</v>
      </c>
      <c r="F22" s="680" t="s">
        <v>1252</v>
      </c>
      <c r="G22" s="64" t="s">
        <v>1253</v>
      </c>
      <c r="H22" s="10"/>
      <c r="I22" s="10"/>
      <c r="J22" s="768"/>
    </row>
    <row r="23" spans="1:10">
      <c r="A23" s="768"/>
      <c r="B23" s="1"/>
      <c r="C23" s="300"/>
      <c r="D23" s="10"/>
      <c r="E23" s="64" t="s">
        <v>1254</v>
      </c>
      <c r="F23" s="64" t="s">
        <v>911</v>
      </c>
      <c r="G23" s="64" t="s">
        <v>26</v>
      </c>
      <c r="H23" s="10"/>
      <c r="I23" s="10"/>
      <c r="J23" s="768"/>
    </row>
    <row r="24" spans="1:10">
      <c r="A24" s="768"/>
      <c r="B24" s="1"/>
      <c r="C24" s="64" t="s">
        <v>1255</v>
      </c>
      <c r="D24" s="10"/>
      <c r="E24" s="64" t="s">
        <v>118</v>
      </c>
      <c r="F24" s="64" t="s">
        <v>118</v>
      </c>
      <c r="G24" s="680" t="s">
        <v>444</v>
      </c>
      <c r="H24" s="10"/>
      <c r="I24" s="10"/>
      <c r="J24" s="768"/>
    </row>
    <row r="25" spans="1:10">
      <c r="A25" s="28" t="s">
        <v>243</v>
      </c>
      <c r="B25" s="1"/>
      <c r="C25" s="74" t="s">
        <v>1172</v>
      </c>
      <c r="D25" s="10"/>
      <c r="E25" s="74" t="s">
        <v>79</v>
      </c>
      <c r="F25" s="74" t="s">
        <v>79</v>
      </c>
      <c r="G25" s="74" t="s">
        <v>79</v>
      </c>
      <c r="H25" s="74" t="s">
        <v>226</v>
      </c>
      <c r="I25" s="668"/>
      <c r="J25" s="362"/>
    </row>
    <row r="26" spans="1:10">
      <c r="A26" s="379">
        <v>1</v>
      </c>
      <c r="B26" s="1"/>
      <c r="C26" s="300" t="s">
        <v>1256</v>
      </c>
      <c r="D26" s="10"/>
      <c r="E26" s="37">
        <f>'10-CWIP'!E25</f>
        <v>156282.26999999999</v>
      </c>
      <c r="F26" s="37">
        <f>'10-CWIP'!E26</f>
        <v>154730.14230769232</v>
      </c>
      <c r="G26" s="37">
        <f>'10-CWIP'!K113</f>
        <v>-156282.26999999999</v>
      </c>
      <c r="H26" s="297" t="str">
        <f>"10-CWIP Lines "&amp;'10-CWIP'!A25&amp;", "&amp;'10-CWIP'!A26&amp;", and "&amp;'10-CWIP'!A113&amp;""</f>
        <v>10-CWIP Lines 13, 14, and 80</v>
      </c>
      <c r="I26" s="10"/>
      <c r="J26" s="768"/>
    </row>
    <row r="27" spans="1:10">
      <c r="A27" s="379">
        <f t="shared" ref="A27:A37" si="0">A26+1</f>
        <v>2</v>
      </c>
      <c r="B27" s="1"/>
      <c r="C27" s="300" t="s">
        <v>1257</v>
      </c>
      <c r="D27" s="10"/>
      <c r="E27" s="37">
        <f>'10-CWIP'!F25</f>
        <v>0</v>
      </c>
      <c r="F27" s="37">
        <f>'10-CWIP'!F26</f>
        <v>0</v>
      </c>
      <c r="G27" s="37">
        <f>'10-CWIP'!K146</f>
        <v>0</v>
      </c>
      <c r="H27" s="297" t="str">
        <f>"10-CWIP Lines "&amp;'10-CWIP'!A25&amp;", "&amp;'10-CWIP'!A26&amp;", and "&amp;'10-CWIP'!A146&amp;""</f>
        <v>10-CWIP Lines 13, 14, and 106</v>
      </c>
      <c r="I27" s="10"/>
      <c r="J27" s="768"/>
    </row>
    <row r="28" spans="1:10">
      <c r="A28" s="379">
        <f t="shared" si="0"/>
        <v>3</v>
      </c>
      <c r="B28" s="1"/>
      <c r="C28" s="300" t="s">
        <v>1258</v>
      </c>
      <c r="D28" s="10"/>
      <c r="E28" s="37">
        <f>'10-CWIP'!G25</f>
        <v>5220451.6500000004</v>
      </c>
      <c r="F28" s="37">
        <f>'10-CWIP'!G26</f>
        <v>5033406.8307692315</v>
      </c>
      <c r="G28" s="37">
        <f>'10-CWIP'!K179</f>
        <v>835608.33269230858</v>
      </c>
      <c r="H28" s="297" t="str">
        <f>"10-CWIP Lines "&amp;'10-CWIP'!A25&amp;", "&amp;'10-CWIP'!A26&amp;", and "&amp;'10-CWIP'!A179&amp;""</f>
        <v>10-CWIP Lines 13, 14, and 132</v>
      </c>
      <c r="I28" s="10"/>
      <c r="J28" s="768"/>
    </row>
    <row r="29" spans="1:10">
      <c r="A29" s="379">
        <f t="shared" si="0"/>
        <v>4</v>
      </c>
      <c r="B29" s="1"/>
      <c r="C29" s="300" t="s">
        <v>1259</v>
      </c>
      <c r="D29" s="10"/>
      <c r="E29" s="37">
        <f>'10-CWIP'!H25</f>
        <v>228226372.41</v>
      </c>
      <c r="F29" s="37">
        <f>'10-CWIP'!H26</f>
        <v>143710302.75230771</v>
      </c>
      <c r="G29" s="37">
        <f>'10-CWIP'!K212</f>
        <v>249763228.39923066</v>
      </c>
      <c r="H29" s="297" t="str">
        <f>"10-CWIP Lines "&amp;'10-CWIP'!A25&amp;", "&amp;'10-CWIP'!A26&amp;", and "&amp;'10-CWIP'!A212&amp;""</f>
        <v>10-CWIP Lines 13, 14, and 158</v>
      </c>
      <c r="I29" s="10"/>
      <c r="J29" s="768"/>
    </row>
    <row r="30" spans="1:10">
      <c r="A30" s="379">
        <f t="shared" si="0"/>
        <v>5</v>
      </c>
      <c r="B30" s="1"/>
      <c r="C30" s="300" t="s">
        <v>1260</v>
      </c>
      <c r="D30" s="10"/>
      <c r="E30" s="37">
        <f>'10-CWIP'!I25</f>
        <v>0</v>
      </c>
      <c r="F30" s="37">
        <f>'10-CWIP'!I26</f>
        <v>0</v>
      </c>
      <c r="G30" s="37">
        <f>'10-CWIP'!K245</f>
        <v>0</v>
      </c>
      <c r="H30" s="297" t="str">
        <f>"10-CWIP Lines "&amp;'10-CWIP'!A25&amp;", "&amp;'10-CWIP'!A26&amp;", and "&amp;'10-CWIP'!A245&amp;""</f>
        <v>10-CWIP Lines 13, 14, and 184</v>
      </c>
      <c r="I30" s="10"/>
      <c r="J30" s="768"/>
    </row>
    <row r="31" spans="1:10">
      <c r="A31" s="379">
        <f t="shared" si="0"/>
        <v>6</v>
      </c>
      <c r="B31" s="1"/>
      <c r="C31" s="300" t="s">
        <v>1261</v>
      </c>
      <c r="D31" s="10"/>
      <c r="E31" s="37">
        <f>'10-CWIP'!D45</f>
        <v>0</v>
      </c>
      <c r="F31" s="37">
        <f>'10-CWIP'!D46</f>
        <v>0</v>
      </c>
      <c r="G31" s="37">
        <f>'10-CWIP'!K278</f>
        <v>0</v>
      </c>
      <c r="H31" s="297" t="str">
        <f>"10-CWIP Lines "&amp;'10-CWIP'!A45&amp;", "&amp;'10-CWIP'!A46&amp;", and "&amp;'10-CWIP'!A278&amp;""</f>
        <v>10-CWIP Lines 27, 28, and 210</v>
      </c>
      <c r="I31" s="10"/>
      <c r="J31" s="768"/>
    </row>
    <row r="32" spans="1:10">
      <c r="A32" s="379">
        <f t="shared" si="0"/>
        <v>7</v>
      </c>
      <c r="B32" s="1"/>
      <c r="C32" s="300" t="s">
        <v>1262</v>
      </c>
      <c r="D32" s="10"/>
      <c r="E32" s="37">
        <f>'10-CWIP'!E45</f>
        <v>0</v>
      </c>
      <c r="F32" s="37">
        <f>'10-CWIP'!E46</f>
        <v>0</v>
      </c>
      <c r="G32" s="37">
        <f>'10-CWIP'!K311</f>
        <v>8985110.6875</v>
      </c>
      <c r="H32" s="297" t="str">
        <f>"10-CWIP Lines "&amp;'10-CWIP'!A45&amp;", "&amp;'10-CWIP'!A46&amp;", and "&amp;'10-CWIP'!A311&amp;""</f>
        <v>10-CWIP Lines 27, 28, and 236</v>
      </c>
      <c r="I32" s="10"/>
      <c r="J32" s="768"/>
    </row>
    <row r="33" spans="1:10">
      <c r="A33" s="379">
        <f t="shared" si="0"/>
        <v>8</v>
      </c>
      <c r="B33" s="1"/>
      <c r="C33" s="300" t="s">
        <v>1263</v>
      </c>
      <c r="D33" s="10"/>
      <c r="E33" s="37">
        <f>'10-CWIP'!F45</f>
        <v>123208373.91</v>
      </c>
      <c r="F33" s="37">
        <f>'10-CWIP'!F46</f>
        <v>84051373.096923083</v>
      </c>
      <c r="G33" s="37">
        <f>'10-CWIP'!K344</f>
        <v>143072495.03302944</v>
      </c>
      <c r="H33" s="297" t="str">
        <f>"10-CWIP Lines "&amp;'10-CWIP'!A45&amp;", "&amp;'10-CWIP'!A46&amp;", and "&amp;'10-CWIP'!A344&amp;""</f>
        <v>10-CWIP Lines 27, 28, and 262</v>
      </c>
      <c r="I33" s="10"/>
      <c r="J33" s="768"/>
    </row>
    <row r="34" spans="1:10">
      <c r="A34" s="379">
        <f t="shared" si="0"/>
        <v>9</v>
      </c>
      <c r="B34" s="1"/>
      <c r="C34" s="300" t="s">
        <v>1264</v>
      </c>
      <c r="D34" s="10"/>
      <c r="E34" s="37">
        <f>'10-CWIP'!G45</f>
        <v>20101220.48</v>
      </c>
      <c r="F34" s="37">
        <f>'10-CWIP'!G46</f>
        <v>18124041.129999999</v>
      </c>
      <c r="G34" s="37">
        <f>'10-CWIP'!K377</f>
        <v>1266087.5524769193</v>
      </c>
      <c r="H34" s="297" t="str">
        <f>"10-CWIP Lines "&amp;'10-CWIP'!A45&amp;", "&amp;'10-CWIP'!A46&amp;", and "&amp;'10-CWIP'!A377&amp;""</f>
        <v>10-CWIP Lines 27, 28, and 288</v>
      </c>
      <c r="I34" s="10"/>
      <c r="J34" s="768"/>
    </row>
    <row r="35" spans="1:10">
      <c r="A35" s="379">
        <f t="shared" si="0"/>
        <v>10</v>
      </c>
      <c r="B35" s="1"/>
      <c r="C35" s="300" t="s">
        <v>1265</v>
      </c>
      <c r="D35" s="768"/>
      <c r="E35" s="37">
        <f>'10-CWIP'!H45</f>
        <v>65187846.759999998</v>
      </c>
      <c r="F35" s="37">
        <f>'10-CWIP'!H46</f>
        <v>46148080.533846155</v>
      </c>
      <c r="G35" s="37">
        <f>'10-CWIP'!K410</f>
        <v>75457508.98653847</v>
      </c>
      <c r="H35" s="297" t="str">
        <f>"10-CWIP Lines "&amp;'10-CWIP'!A45&amp;", "&amp;'10-CWIP'!A46&amp;", and "&amp;'10-CWIP'!A410&amp;""</f>
        <v>10-CWIP Lines 27, 28, and 314</v>
      </c>
      <c r="I35" s="10"/>
      <c r="J35" s="10"/>
    </row>
    <row r="36" spans="1:10">
      <c r="A36" s="379">
        <f t="shared" si="0"/>
        <v>11</v>
      </c>
      <c r="B36" s="1"/>
      <c r="C36" s="354" t="s">
        <v>661</v>
      </c>
      <c r="D36" s="768"/>
      <c r="E36" s="842" t="s">
        <v>351</v>
      </c>
      <c r="F36" s="842" t="s">
        <v>351</v>
      </c>
      <c r="G36" s="842" t="s">
        <v>351</v>
      </c>
      <c r="H36" s="354" t="s">
        <v>661</v>
      </c>
      <c r="I36" s="768"/>
      <c r="J36" s="768"/>
    </row>
    <row r="37" spans="1:10">
      <c r="A37" s="379">
        <f t="shared" si="0"/>
        <v>12</v>
      </c>
      <c r="B37" s="1"/>
      <c r="C37" s="768"/>
      <c r="D37" s="48" t="s">
        <v>406</v>
      </c>
      <c r="E37" s="5">
        <f>SUM(E26:E35)</f>
        <v>442100547.48000002</v>
      </c>
      <c r="F37" s="5">
        <f>SUM(F26:F35)</f>
        <v>297221934.48615384</v>
      </c>
      <c r="G37" s="5">
        <f>SUM(G26:G35)</f>
        <v>479223756.72146785</v>
      </c>
      <c r="H37" s="29"/>
      <c r="I37" s="768"/>
      <c r="J37" s="768"/>
    </row>
    <row r="38" spans="1:10">
      <c r="A38" s="768"/>
      <c r="B38" s="1"/>
      <c r="C38" s="768"/>
      <c r="D38" s="768"/>
      <c r="E38" s="768"/>
      <c r="F38" s="768"/>
      <c r="G38" s="768"/>
      <c r="H38" s="768"/>
      <c r="I38" s="768"/>
      <c r="J38" s="768"/>
    </row>
    <row r="39" spans="1:10">
      <c r="A39" s="768"/>
      <c r="B39" s="1"/>
      <c r="C39" s="1" t="s">
        <v>1266</v>
      </c>
      <c r="D39" s="768"/>
      <c r="E39" s="768"/>
      <c r="F39" s="768"/>
      <c r="G39" s="768"/>
      <c r="H39" s="768"/>
      <c r="I39" s="768"/>
      <c r="J39" s="768"/>
    </row>
    <row r="40" spans="1:10">
      <c r="A40" s="768"/>
      <c r="B40" s="1"/>
      <c r="C40" s="1"/>
      <c r="D40" s="768"/>
      <c r="E40" s="768"/>
      <c r="F40" s="768"/>
      <c r="G40" s="768"/>
      <c r="H40" s="768"/>
      <c r="I40" s="768"/>
      <c r="J40" s="768"/>
    </row>
    <row r="41" spans="1:10">
      <c r="A41" s="768"/>
      <c r="B41" s="1"/>
      <c r="C41" s="768"/>
      <c r="D41" s="768"/>
      <c r="E41" s="2" t="s">
        <v>307</v>
      </c>
      <c r="F41" s="2" t="s">
        <v>308</v>
      </c>
      <c r="G41" s="2" t="s">
        <v>309</v>
      </c>
      <c r="H41" s="768"/>
      <c r="I41" s="768"/>
      <c r="J41" s="768"/>
    </row>
    <row r="42" spans="1:10">
      <c r="A42" s="768"/>
      <c r="B42" s="1"/>
      <c r="C42" s="768"/>
      <c r="D42" s="768"/>
      <c r="E42" s="354" t="s">
        <v>1267</v>
      </c>
      <c r="F42" s="2"/>
      <c r="G42" s="2"/>
      <c r="H42" s="768"/>
      <c r="I42" s="768"/>
      <c r="J42" s="768"/>
    </row>
    <row r="43" spans="1:10">
      <c r="A43" s="768"/>
      <c r="B43" s="1"/>
      <c r="C43" s="768"/>
      <c r="D43" s="768"/>
      <c r="E43" s="379" t="s">
        <v>1024</v>
      </c>
      <c r="F43" s="379" t="s">
        <v>1190</v>
      </c>
      <c r="G43" s="379" t="s">
        <v>1190</v>
      </c>
      <c r="H43" s="768"/>
      <c r="I43" s="768"/>
      <c r="J43" s="768"/>
    </row>
    <row r="44" spans="1:10">
      <c r="A44" s="768"/>
      <c r="B44" s="1"/>
      <c r="C44" s="768"/>
      <c r="D44" s="768"/>
      <c r="E44" s="379" t="s">
        <v>1255</v>
      </c>
      <c r="F44" s="379" t="s">
        <v>26</v>
      </c>
      <c r="G44" s="379" t="s">
        <v>1268</v>
      </c>
      <c r="H44" s="768"/>
      <c r="I44" s="768"/>
      <c r="J44" s="768"/>
    </row>
    <row r="45" spans="1:10">
      <c r="A45" s="768"/>
      <c r="B45" s="1"/>
      <c r="C45" s="768"/>
      <c r="D45" s="768"/>
      <c r="E45" s="2" t="s">
        <v>121</v>
      </c>
      <c r="F45" s="2" t="s">
        <v>1269</v>
      </c>
      <c r="G45" s="2" t="s">
        <v>1270</v>
      </c>
      <c r="H45" s="2" t="s">
        <v>226</v>
      </c>
      <c r="I45" s="768"/>
      <c r="J45" s="768"/>
    </row>
    <row r="46" spans="1:10">
      <c r="A46" s="379">
        <f>A37+1</f>
        <v>13</v>
      </c>
      <c r="B46" s="1"/>
      <c r="C46" s="768" t="s">
        <v>1271</v>
      </c>
      <c r="D46" s="768"/>
      <c r="E46" s="305">
        <f>F46+G46</f>
        <v>145492993.73031563</v>
      </c>
      <c r="F46" s="37">
        <v>0</v>
      </c>
      <c r="G46" s="37">
        <f>H84</f>
        <v>145492993.73031563</v>
      </c>
      <c r="H46" s="297" t="str">
        <f>"Line "&amp;A84&amp;", C4"</f>
        <v>Line 37, C4</v>
      </c>
      <c r="I46" s="10"/>
      <c r="J46" s="768"/>
    </row>
    <row r="47" spans="1:10">
      <c r="A47" s="379">
        <f>A46+1</f>
        <v>14</v>
      </c>
      <c r="B47" s="1"/>
      <c r="C47" s="768" t="s">
        <v>1272</v>
      </c>
      <c r="D47" s="768"/>
      <c r="E47" s="305">
        <f>F47+G47</f>
        <v>2663122729.6135092</v>
      </c>
      <c r="F47" s="37">
        <f>E26</f>
        <v>156282.26999999999</v>
      </c>
      <c r="G47" s="37">
        <f>F84</f>
        <v>2662966447.3435092</v>
      </c>
      <c r="H47" s="297" t="str">
        <f>"Line "&amp;A26&amp;", C1, and Line "&amp;A84&amp;", C2"</f>
        <v>Line 1, C1, and Line 37, C2</v>
      </c>
      <c r="I47" s="10"/>
      <c r="J47" s="768"/>
    </row>
    <row r="48" spans="1:10">
      <c r="A48" s="379">
        <f>A47+1</f>
        <v>15</v>
      </c>
      <c r="B48" s="1"/>
      <c r="C48" s="298" t="s">
        <v>1273</v>
      </c>
      <c r="D48" s="768"/>
      <c r="E48" s="305">
        <f>F48+G48</f>
        <v>669164921.1930002</v>
      </c>
      <c r="F48" s="37">
        <f>E27</f>
        <v>0</v>
      </c>
      <c r="G48" s="37">
        <f>G84</f>
        <v>669164921.1930002</v>
      </c>
      <c r="H48" s="297" t="str">
        <f>"Line "&amp;A27&amp;", C1, and Line "&amp;A84&amp;", C3"</f>
        <v>Line 2, C1, and Line 37, C3</v>
      </c>
      <c r="I48" s="10"/>
      <c r="J48" s="768"/>
    </row>
    <row r="49" spans="1:9">
      <c r="A49" s="379">
        <f>A48+1</f>
        <v>16</v>
      </c>
      <c r="B49" s="1"/>
      <c r="C49" s="354" t="s">
        <v>661</v>
      </c>
      <c r="D49" s="768"/>
      <c r="E49" s="307" t="s">
        <v>351</v>
      </c>
      <c r="F49" s="307" t="s">
        <v>351</v>
      </c>
      <c r="G49" s="307" t="s">
        <v>351</v>
      </c>
      <c r="H49" s="354" t="s">
        <v>661</v>
      </c>
      <c r="I49" s="768"/>
    </row>
    <row r="50" spans="1:9">
      <c r="A50" s="379">
        <f>A49+1</f>
        <v>17</v>
      </c>
      <c r="B50" s="1"/>
      <c r="C50" s="320"/>
      <c r="D50" s="768"/>
      <c r="E50" s="307"/>
      <c r="F50" s="307"/>
      <c r="G50" s="307"/>
      <c r="H50" s="302"/>
      <c r="I50" s="768"/>
    </row>
    <row r="51" spans="1:9">
      <c r="A51" s="379">
        <f>A50+1</f>
        <v>18</v>
      </c>
      <c r="B51" s="1"/>
      <c r="C51" s="768"/>
      <c r="D51" s="296" t="s">
        <v>1274</v>
      </c>
      <c r="E51" s="5">
        <f>SUM(E46:E48)</f>
        <v>3477780644.5368252</v>
      </c>
      <c r="F51" s="307"/>
      <c r="G51" s="307"/>
      <c r="H51" s="302" t="s">
        <v>1275</v>
      </c>
      <c r="I51" s="768"/>
    </row>
    <row r="52" spans="1:9">
      <c r="A52" s="768"/>
      <c r="B52" s="1"/>
      <c r="C52" s="768"/>
      <c r="D52" s="768"/>
      <c r="E52" s="768"/>
      <c r="F52" s="768"/>
      <c r="G52" s="768"/>
      <c r="H52" s="768"/>
      <c r="I52" s="768"/>
    </row>
    <row r="53" spans="1:9">
      <c r="A53" s="768"/>
      <c r="B53" s="1"/>
      <c r="C53" s="1" t="s">
        <v>1276</v>
      </c>
      <c r="D53" s="768"/>
      <c r="E53" s="768"/>
      <c r="F53" s="768"/>
      <c r="G53" s="768"/>
      <c r="H53" s="768"/>
      <c r="I53" s="768"/>
    </row>
    <row r="54" spans="1:9">
      <c r="A54" s="768"/>
      <c r="B54" s="1"/>
      <c r="C54" s="1"/>
      <c r="D54" s="768"/>
      <c r="E54" s="768"/>
      <c r="F54" s="768"/>
      <c r="G54" s="768"/>
      <c r="H54" s="768"/>
      <c r="I54" s="768"/>
    </row>
    <row r="55" spans="1:9">
      <c r="A55" s="768"/>
      <c r="B55" s="1"/>
      <c r="C55" s="1"/>
      <c r="D55" s="768"/>
      <c r="E55" s="2" t="s">
        <v>307</v>
      </c>
      <c r="F55" s="2" t="s">
        <v>308</v>
      </c>
      <c r="G55" s="2" t="s">
        <v>309</v>
      </c>
      <c r="H55" s="768"/>
      <c r="I55" s="768"/>
    </row>
    <row r="56" spans="1:9">
      <c r="A56" s="768"/>
      <c r="B56" s="1"/>
      <c r="C56" s="768"/>
      <c r="D56" s="768"/>
      <c r="E56" s="354" t="s">
        <v>1267</v>
      </c>
      <c r="F56" s="768"/>
      <c r="G56" s="379" t="s">
        <v>444</v>
      </c>
      <c r="H56" s="768"/>
      <c r="I56" s="768"/>
    </row>
    <row r="57" spans="1:9">
      <c r="A57" s="768"/>
      <c r="B57" s="1"/>
      <c r="C57" s="768"/>
      <c r="D57" s="768"/>
      <c r="E57" s="379" t="s">
        <v>1024</v>
      </c>
      <c r="F57" s="379" t="s">
        <v>444</v>
      </c>
      <c r="G57" s="379" t="s">
        <v>1268</v>
      </c>
      <c r="H57" s="768"/>
      <c r="I57" s="768"/>
    </row>
    <row r="58" spans="1:9">
      <c r="A58" s="768"/>
      <c r="B58" s="1"/>
      <c r="C58" s="379" t="s">
        <v>1255</v>
      </c>
      <c r="D58" s="768"/>
      <c r="E58" s="379" t="s">
        <v>1255</v>
      </c>
      <c r="F58" s="379" t="s">
        <v>26</v>
      </c>
      <c r="G58" s="379" t="s">
        <v>1270</v>
      </c>
      <c r="H58" s="768"/>
      <c r="I58" s="768"/>
    </row>
    <row r="59" spans="1:9" ht="12.75" customHeight="1">
      <c r="A59" s="768"/>
      <c r="B59" s="1"/>
      <c r="C59" s="2" t="s">
        <v>1172</v>
      </c>
      <c r="D59" s="768"/>
      <c r="E59" s="2" t="s">
        <v>121</v>
      </c>
      <c r="F59" s="2" t="s">
        <v>1269</v>
      </c>
      <c r="G59" s="2" t="s">
        <v>1269</v>
      </c>
      <c r="H59" s="2" t="s">
        <v>226</v>
      </c>
      <c r="I59" s="768"/>
    </row>
    <row r="60" spans="1:9">
      <c r="A60" s="379">
        <f>A51+1</f>
        <v>19</v>
      </c>
      <c r="B60" s="1"/>
      <c r="C60" s="768" t="s">
        <v>1271</v>
      </c>
      <c r="D60" s="768"/>
      <c r="E60" s="305">
        <f>F60+G60</f>
        <v>147862518.26265371</v>
      </c>
      <c r="F60" s="37">
        <v>0</v>
      </c>
      <c r="G60" s="1213">
        <f>H85</f>
        <v>147862518.26265371</v>
      </c>
      <c r="H60" s="297" t="str">
        <f>"Line "&amp;A85&amp;", C4"</f>
        <v>Line 38, C4</v>
      </c>
      <c r="I60" s="10"/>
    </row>
    <row r="61" spans="1:9">
      <c r="A61" s="379">
        <f>A60+1</f>
        <v>20</v>
      </c>
      <c r="B61" s="1"/>
      <c r="C61" s="768" t="s">
        <v>1272</v>
      </c>
      <c r="D61" s="768"/>
      <c r="E61" s="305">
        <f>F61+G61</f>
        <v>2693150442.2823501</v>
      </c>
      <c r="F61" s="37">
        <f>F26</f>
        <v>154730.14230769232</v>
      </c>
      <c r="G61" s="1213">
        <f>F85</f>
        <v>2692995712.1400423</v>
      </c>
      <c r="H61" s="297" t="str">
        <f>"Line "&amp;A26&amp;", C2, and Line "&amp;A85&amp;", C2"</f>
        <v>Line 1, C2, and Line 38, C2</v>
      </c>
      <c r="I61" s="10"/>
    </row>
    <row r="62" spans="1:9">
      <c r="A62" s="379">
        <f>A61+1</f>
        <v>21</v>
      </c>
      <c r="B62" s="1"/>
      <c r="C62" s="298" t="s">
        <v>1277</v>
      </c>
      <c r="D62" s="768"/>
      <c r="E62" s="305">
        <f>F62+G62</f>
        <v>678332000.23392022</v>
      </c>
      <c r="F62" s="37">
        <f>F27</f>
        <v>0</v>
      </c>
      <c r="G62" s="1213">
        <f>G85</f>
        <v>678332000.23392022</v>
      </c>
      <c r="H62" s="297" t="str">
        <f>"Line "&amp;A27&amp;", C2, and Line "&amp;A85&amp;", C3"</f>
        <v>Line 2, C2, and Line 38, C3</v>
      </c>
      <c r="I62" s="10"/>
    </row>
    <row r="63" spans="1:9">
      <c r="A63" s="379">
        <f>A62+1</f>
        <v>22</v>
      </c>
      <c r="B63" s="1"/>
      <c r="C63" s="354" t="s">
        <v>661</v>
      </c>
      <c r="D63" s="768"/>
      <c r="E63" s="307" t="s">
        <v>351</v>
      </c>
      <c r="F63" s="307" t="s">
        <v>351</v>
      </c>
      <c r="G63" s="307" t="s">
        <v>351</v>
      </c>
      <c r="H63" s="354" t="s">
        <v>661</v>
      </c>
      <c r="I63" s="768"/>
    </row>
    <row r="64" spans="1:9">
      <c r="A64" s="379">
        <f>A63+1</f>
        <v>23</v>
      </c>
      <c r="B64" s="1"/>
      <c r="C64" s="320"/>
      <c r="D64" s="768"/>
      <c r="E64" s="307"/>
      <c r="F64" s="307"/>
      <c r="G64" s="307"/>
      <c r="H64" s="302"/>
      <c r="I64" s="768"/>
    </row>
    <row r="65" spans="1:11">
      <c r="A65" s="379">
        <f>A64+1</f>
        <v>24</v>
      </c>
      <c r="B65" s="1"/>
      <c r="C65" s="768"/>
      <c r="D65" s="296" t="s">
        <v>1274</v>
      </c>
      <c r="E65" s="5">
        <f>SUM(E60:E62)</f>
        <v>3519344960.778924</v>
      </c>
      <c r="F65" s="768"/>
      <c r="G65" s="768"/>
      <c r="H65" s="371" t="s">
        <v>1278</v>
      </c>
      <c r="I65" s="768"/>
      <c r="J65" s="768"/>
      <c r="K65" s="768"/>
    </row>
    <row r="66" spans="1:11">
      <c r="A66" s="379"/>
      <c r="B66" s="1"/>
      <c r="C66" s="768"/>
      <c r="D66" s="296"/>
      <c r="E66" s="5"/>
      <c r="F66" s="768"/>
      <c r="G66" s="768"/>
      <c r="H66" s="768"/>
      <c r="I66" s="768"/>
      <c r="J66" s="768"/>
      <c r="K66" s="768"/>
    </row>
    <row r="67" spans="1:11">
      <c r="A67" s="768"/>
      <c r="B67" s="768"/>
      <c r="C67" s="1" t="s">
        <v>1279</v>
      </c>
      <c r="D67" s="768"/>
      <c r="E67" s="768"/>
      <c r="F67" s="768"/>
      <c r="G67" s="768"/>
      <c r="H67" s="768"/>
      <c r="I67" s="768"/>
      <c r="J67" s="768"/>
      <c r="K67" s="768"/>
    </row>
    <row r="68" spans="1:11">
      <c r="A68" s="768"/>
      <c r="B68" s="768"/>
      <c r="C68" s="768"/>
      <c r="D68" s="768"/>
      <c r="E68" s="52" t="s">
        <v>307</v>
      </c>
      <c r="F68" s="52" t="s">
        <v>308</v>
      </c>
      <c r="G68" s="52" t="s">
        <v>309</v>
      </c>
      <c r="H68" s="52" t="s">
        <v>310</v>
      </c>
      <c r="I68" s="52" t="s">
        <v>311</v>
      </c>
      <c r="J68" s="52"/>
      <c r="K68" s="768"/>
    </row>
    <row r="69" spans="1:11">
      <c r="A69" s="768"/>
      <c r="B69" s="768"/>
      <c r="C69" s="379" t="s">
        <v>1280</v>
      </c>
      <c r="D69" s="768"/>
      <c r="E69" s="379" t="s">
        <v>1281</v>
      </c>
      <c r="F69" s="666" t="str">
        <f>"L "&amp;A117&amp;" to L "&amp;A129&amp;", C3"</f>
        <v>L 53 to L 65, C3</v>
      </c>
      <c r="G69" s="666" t="str">
        <f>"L "&amp;A157&amp;" to L "&amp;A169&amp;", C3"</f>
        <v>L 79 to L 91, C3</v>
      </c>
      <c r="H69" s="666" t="str">
        <f>"L "&amp;A137&amp;" to L "&amp;A149&amp;", C3"</f>
        <v>L 66 to L 78, C3</v>
      </c>
      <c r="I69" s="58"/>
      <c r="J69" s="768"/>
      <c r="K69" s="379"/>
    </row>
    <row r="70" spans="1:11">
      <c r="A70" s="768"/>
      <c r="B70" s="768"/>
      <c r="C70" s="379" t="s">
        <v>343</v>
      </c>
      <c r="D70" s="768"/>
      <c r="E70" s="379" t="s">
        <v>1282</v>
      </c>
      <c r="F70" s="10"/>
      <c r="G70" s="64" t="s">
        <v>1061</v>
      </c>
      <c r="H70" s="64" t="s">
        <v>1283</v>
      </c>
      <c r="I70" s="771"/>
      <c r="J70" s="354"/>
      <c r="K70" s="379"/>
    </row>
    <row r="71" spans="1:11">
      <c r="A71" s="28"/>
      <c r="B71" s="768"/>
      <c r="C71" s="13" t="s">
        <v>342</v>
      </c>
      <c r="D71" s="13" t="s">
        <v>343</v>
      </c>
      <c r="E71" s="2" t="s">
        <v>1270</v>
      </c>
      <c r="F71" s="74" t="s">
        <v>1065</v>
      </c>
      <c r="G71" s="74" t="s">
        <v>1066</v>
      </c>
      <c r="H71" s="74" t="s">
        <v>1284</v>
      </c>
      <c r="I71" s="114"/>
      <c r="J71" s="2" t="s">
        <v>98</v>
      </c>
      <c r="K71" s="768"/>
    </row>
    <row r="72" spans="1:11">
      <c r="A72" s="379">
        <f>A65+1</f>
        <v>25</v>
      </c>
      <c r="B72" s="768"/>
      <c r="C72" s="326" t="s">
        <v>350</v>
      </c>
      <c r="D72" s="859">
        <v>2017</v>
      </c>
      <c r="E72" s="968">
        <f>SUM(F72:H72)</f>
        <v>3566534659.2736063</v>
      </c>
      <c r="F72" s="696">
        <f>G117</f>
        <v>2728550276.4884458</v>
      </c>
      <c r="G72" s="696">
        <f>G157</f>
        <v>687752339.98307264</v>
      </c>
      <c r="H72" s="696">
        <f>G137</f>
        <v>150232042.80208787</v>
      </c>
      <c r="I72" s="354" t="s">
        <v>351</v>
      </c>
      <c r="J72" s="362" t="s">
        <v>1285</v>
      </c>
      <c r="K72" s="768"/>
    </row>
    <row r="73" spans="1:11">
      <c r="A73" s="379">
        <f>A72+1</f>
        <v>26</v>
      </c>
      <c r="B73" s="768"/>
      <c r="C73" s="326" t="s">
        <v>352</v>
      </c>
      <c r="D73" s="437">
        <v>2018</v>
      </c>
      <c r="E73" s="968">
        <f t="shared" ref="E73:E84" si="1">SUM(F73:H73)</f>
        <v>3558418257.2973495</v>
      </c>
      <c r="F73" s="696">
        <f t="shared" ref="F73:F84" si="2">G118</f>
        <v>2722470452.0026002</v>
      </c>
      <c r="G73" s="696">
        <f t="shared" ref="G73:G84" si="3">G158</f>
        <v>686110683.24618018</v>
      </c>
      <c r="H73" s="696">
        <f t="shared" ref="H73:H84" si="4">G138</f>
        <v>149837122.04856938</v>
      </c>
      <c r="I73" s="354" t="s">
        <v>351</v>
      </c>
      <c r="J73" s="302" t="s">
        <v>1286</v>
      </c>
      <c r="K73" s="768"/>
    </row>
    <row r="74" spans="1:11">
      <c r="A74" s="379">
        <f t="shared" ref="A74:A85" si="5">A73+1</f>
        <v>27</v>
      </c>
      <c r="B74" s="768"/>
      <c r="C74" s="324" t="s">
        <v>353</v>
      </c>
      <c r="D74" s="437">
        <v>2018</v>
      </c>
      <c r="E74" s="968">
        <f t="shared" si="1"/>
        <v>3550675230.693347</v>
      </c>
      <c r="F74" s="696">
        <f t="shared" si="2"/>
        <v>2716764002.889008</v>
      </c>
      <c r="G74" s="696">
        <f t="shared" si="3"/>
        <v>684469026.50928783</v>
      </c>
      <c r="H74" s="696">
        <f t="shared" si="4"/>
        <v>149442201.29505086</v>
      </c>
      <c r="I74" s="354" t="s">
        <v>351</v>
      </c>
      <c r="J74" s="354" t="s">
        <v>1287</v>
      </c>
      <c r="K74" s="379"/>
    </row>
    <row r="75" spans="1:11">
      <c r="A75" s="379">
        <f t="shared" si="5"/>
        <v>28</v>
      </c>
      <c r="B75" s="768"/>
      <c r="C75" s="324" t="s">
        <v>354</v>
      </c>
      <c r="D75" s="437">
        <v>2018</v>
      </c>
      <c r="E75" s="968">
        <f t="shared" si="1"/>
        <v>3537623260.1995354</v>
      </c>
      <c r="F75" s="696">
        <f t="shared" si="2"/>
        <v>2705748609.8856072</v>
      </c>
      <c r="G75" s="696">
        <f t="shared" si="3"/>
        <v>682827369.77239537</v>
      </c>
      <c r="H75" s="696">
        <f t="shared" si="4"/>
        <v>149047280.5415324</v>
      </c>
      <c r="I75" s="354" t="s">
        <v>351</v>
      </c>
      <c r="J75" s="354"/>
      <c r="K75" s="379"/>
    </row>
    <row r="76" spans="1:11">
      <c r="A76" s="379">
        <f t="shared" si="5"/>
        <v>29</v>
      </c>
      <c r="B76" s="768"/>
      <c r="C76" s="326" t="s">
        <v>355</v>
      </c>
      <c r="D76" s="437">
        <v>2018</v>
      </c>
      <c r="E76" s="968">
        <f t="shared" si="1"/>
        <v>3529573487.2504463</v>
      </c>
      <c r="F76" s="696">
        <f t="shared" si="2"/>
        <v>2699735414.4269295</v>
      </c>
      <c r="G76" s="696">
        <f t="shared" si="3"/>
        <v>681185713.03550291</v>
      </c>
      <c r="H76" s="696">
        <f t="shared" si="4"/>
        <v>148652359.78801388</v>
      </c>
      <c r="I76" s="354" t="s">
        <v>351</v>
      </c>
      <c r="J76" s="354"/>
      <c r="K76" s="379"/>
    </row>
    <row r="77" spans="1:11">
      <c r="A77" s="379">
        <f t="shared" si="5"/>
        <v>30</v>
      </c>
      <c r="B77" s="768"/>
      <c r="C77" s="324" t="s">
        <v>356</v>
      </c>
      <c r="D77" s="437">
        <v>2018</v>
      </c>
      <c r="E77" s="968">
        <f t="shared" si="1"/>
        <v>3520915294.5913591</v>
      </c>
      <c r="F77" s="696">
        <f t="shared" si="2"/>
        <v>2693113799.648253</v>
      </c>
      <c r="G77" s="696">
        <f t="shared" si="3"/>
        <v>679544055.93861055</v>
      </c>
      <c r="H77" s="696">
        <f t="shared" si="4"/>
        <v>148257439.00449538</v>
      </c>
      <c r="I77" s="354" t="s">
        <v>351</v>
      </c>
      <c r="J77" s="354"/>
      <c r="K77" s="379"/>
    </row>
    <row r="78" spans="1:11">
      <c r="A78" s="379">
        <f t="shared" si="5"/>
        <v>31</v>
      </c>
      <c r="B78" s="768"/>
      <c r="C78" s="324" t="s">
        <v>357</v>
      </c>
      <c r="D78" s="437">
        <v>2018</v>
      </c>
      <c r="E78" s="968">
        <f t="shared" si="1"/>
        <v>3513773543.7594485</v>
      </c>
      <c r="F78" s="696">
        <f t="shared" si="2"/>
        <v>2688007654.5159459</v>
      </c>
      <c r="G78" s="696">
        <f t="shared" si="3"/>
        <v>677903370.99246156</v>
      </c>
      <c r="H78" s="696">
        <f t="shared" si="4"/>
        <v>147862518.25104111</v>
      </c>
      <c r="I78" s="354" t="s">
        <v>351</v>
      </c>
      <c r="J78" s="354"/>
      <c r="K78" s="379"/>
    </row>
    <row r="79" spans="1:11">
      <c r="A79" s="379">
        <f t="shared" si="5"/>
        <v>32</v>
      </c>
      <c r="B79" s="768"/>
      <c r="C79" s="326" t="s">
        <v>358</v>
      </c>
      <c r="D79" s="437">
        <v>2018</v>
      </c>
      <c r="E79" s="968">
        <f t="shared" si="1"/>
        <v>3505606085.8124495</v>
      </c>
      <c r="F79" s="696">
        <f t="shared" si="2"/>
        <v>2681876823.5838127</v>
      </c>
      <c r="G79" s="696">
        <f t="shared" si="3"/>
        <v>676261664.7310499</v>
      </c>
      <c r="H79" s="696">
        <f t="shared" si="4"/>
        <v>147467597.49758688</v>
      </c>
      <c r="I79" s="354" t="s">
        <v>351</v>
      </c>
      <c r="J79" s="354"/>
      <c r="K79" s="51"/>
    </row>
    <row r="80" spans="1:11">
      <c r="A80" s="379">
        <f t="shared" si="5"/>
        <v>33</v>
      </c>
      <c r="B80" s="768"/>
      <c r="C80" s="324" t="s">
        <v>359</v>
      </c>
      <c r="D80" s="437">
        <v>2018</v>
      </c>
      <c r="E80" s="968">
        <f t="shared" si="1"/>
        <v>3509334306.3277717</v>
      </c>
      <c r="F80" s="696">
        <f t="shared" si="2"/>
        <v>2686523935.469079</v>
      </c>
      <c r="G80" s="696">
        <f t="shared" si="3"/>
        <v>675737694.11456037</v>
      </c>
      <c r="H80" s="696">
        <f t="shared" si="4"/>
        <v>147072676.74413264</v>
      </c>
      <c r="I80" s="354" t="s">
        <v>351</v>
      </c>
      <c r="J80" s="354"/>
      <c r="K80" s="379"/>
    </row>
    <row r="81" spans="1:11">
      <c r="A81" s="379">
        <f t="shared" si="5"/>
        <v>34</v>
      </c>
      <c r="B81" s="768"/>
      <c r="C81" s="324" t="s">
        <v>360</v>
      </c>
      <c r="D81" s="437">
        <v>2018</v>
      </c>
      <c r="E81" s="968">
        <f t="shared" si="1"/>
        <v>3501122842.3731198</v>
      </c>
      <c r="F81" s="696">
        <f t="shared" si="2"/>
        <v>2680347958.5234885</v>
      </c>
      <c r="G81" s="696">
        <f t="shared" si="3"/>
        <v>674097127.85895312</v>
      </c>
      <c r="H81" s="696">
        <f t="shared" si="4"/>
        <v>146677755.99067837</v>
      </c>
      <c r="I81" s="354" t="s">
        <v>351</v>
      </c>
      <c r="J81" s="354"/>
      <c r="K81" s="379"/>
    </row>
    <row r="82" spans="1:11">
      <c r="A82" s="379">
        <f t="shared" si="5"/>
        <v>35</v>
      </c>
      <c r="B82" s="768"/>
      <c r="C82" s="326" t="s">
        <v>1070</v>
      </c>
      <c r="D82" s="437">
        <v>2018</v>
      </c>
      <c r="E82" s="968">
        <f t="shared" si="1"/>
        <v>3492955377.4861279</v>
      </c>
      <c r="F82" s="696">
        <f t="shared" si="2"/>
        <v>2674219487.0683742</v>
      </c>
      <c r="G82" s="696">
        <f t="shared" si="3"/>
        <v>672453055.18052959</v>
      </c>
      <c r="H82" s="696">
        <f t="shared" si="4"/>
        <v>146282835.23722413</v>
      </c>
      <c r="I82" s="354" t="s">
        <v>351</v>
      </c>
      <c r="J82" s="354"/>
      <c r="K82" s="379"/>
    </row>
    <row r="83" spans="1:11">
      <c r="A83" s="379">
        <f t="shared" si="5"/>
        <v>36</v>
      </c>
      <c r="B83" s="768"/>
      <c r="C83" s="326" t="s">
        <v>362</v>
      </c>
      <c r="D83" s="437">
        <v>2018</v>
      </c>
      <c r="E83" s="968">
        <f t="shared" si="1"/>
        <v>3485316290.9446282</v>
      </c>
      <c r="F83" s="696">
        <f t="shared" si="2"/>
        <v>2668619395.9754996</v>
      </c>
      <c r="G83" s="696">
        <f t="shared" si="3"/>
        <v>670808980.48535872</v>
      </c>
      <c r="H83" s="696">
        <f t="shared" si="4"/>
        <v>145887914.48376989</v>
      </c>
      <c r="I83" s="354" t="s">
        <v>351</v>
      </c>
      <c r="J83" s="354"/>
      <c r="K83" s="379"/>
    </row>
    <row r="84" spans="1:11">
      <c r="A84" s="379">
        <f t="shared" si="5"/>
        <v>37</v>
      </c>
      <c r="B84" s="768"/>
      <c r="C84" s="326" t="s">
        <v>350</v>
      </c>
      <c r="D84" s="437">
        <v>2018</v>
      </c>
      <c r="E84" s="34">
        <f t="shared" si="1"/>
        <v>3477624362.2668252</v>
      </c>
      <c r="F84" s="204">
        <f t="shared" si="2"/>
        <v>2662966447.3435092</v>
      </c>
      <c r="G84" s="204">
        <f t="shared" si="3"/>
        <v>669164921.1930002</v>
      </c>
      <c r="H84" s="204">
        <f t="shared" si="4"/>
        <v>145492993.73031563</v>
      </c>
      <c r="I84" s="354" t="s">
        <v>351</v>
      </c>
      <c r="J84" s="354"/>
      <c r="K84" s="379"/>
    </row>
    <row r="85" spans="1:11">
      <c r="A85" s="379">
        <f t="shared" si="5"/>
        <v>38</v>
      </c>
      <c r="B85" s="768"/>
      <c r="C85" s="326"/>
      <c r="D85" s="337" t="s">
        <v>1071</v>
      </c>
      <c r="E85" s="338">
        <f>SUM(E72:E84)/13</f>
        <v>3519190230.6366162</v>
      </c>
      <c r="F85" s="338">
        <f>SUM(F72:F84)/13</f>
        <v>2692995712.1400423</v>
      </c>
      <c r="G85" s="338">
        <f>SUM(G72:G84)/13</f>
        <v>678332000.23392022</v>
      </c>
      <c r="H85" s="338">
        <f>SUM(H72:H84)/13</f>
        <v>147862518.26265371</v>
      </c>
      <c r="I85" s="25"/>
      <c r="J85" s="1"/>
      <c r="K85" s="379"/>
    </row>
    <row r="87" spans="1:11">
      <c r="A87" s="379"/>
      <c r="B87" s="768"/>
      <c r="C87" s="336" t="s">
        <v>1288</v>
      </c>
      <c r="D87" s="337"/>
      <c r="E87" s="338"/>
      <c r="F87" s="338"/>
      <c r="G87" s="338"/>
      <c r="H87" s="338"/>
      <c r="I87" s="1"/>
      <c r="J87" s="1"/>
      <c r="K87" s="768"/>
    </row>
    <row r="88" spans="1:11">
      <c r="A88" s="379"/>
      <c r="B88" s="768"/>
      <c r="C88" s="336"/>
      <c r="D88" s="337"/>
      <c r="E88" s="52" t="s">
        <v>307</v>
      </c>
      <c r="F88" s="52" t="s">
        <v>308</v>
      </c>
      <c r="G88" s="52" t="s">
        <v>309</v>
      </c>
      <c r="H88" s="338"/>
      <c r="I88" s="1"/>
      <c r="J88" s="1"/>
      <c r="K88" s="768"/>
    </row>
    <row r="89" spans="1:11">
      <c r="A89" s="379"/>
      <c r="B89" s="768"/>
      <c r="C89" s="326"/>
      <c r="D89" s="337"/>
      <c r="E89" s="768"/>
      <c r="F89" s="768"/>
      <c r="G89" s="307" t="s">
        <v>1289</v>
      </c>
      <c r="H89" s="338"/>
      <c r="I89" s="1"/>
      <c r="J89" s="1"/>
      <c r="K89" s="768"/>
    </row>
    <row r="90" spans="1:11">
      <c r="A90" s="379"/>
      <c r="B90" s="768"/>
      <c r="C90" s="326"/>
      <c r="D90" s="337"/>
      <c r="E90" s="201" t="s">
        <v>835</v>
      </c>
      <c r="F90" s="338"/>
      <c r="G90" s="339" t="s">
        <v>1290</v>
      </c>
      <c r="H90" s="338"/>
      <c r="I90" s="1"/>
      <c r="J90" s="1"/>
      <c r="K90" s="768"/>
    </row>
    <row r="91" spans="1:11">
      <c r="A91" s="379"/>
      <c r="B91" s="768"/>
      <c r="C91" s="379" t="s">
        <v>1280</v>
      </c>
      <c r="D91" s="768"/>
      <c r="E91" s="201" t="s">
        <v>1291</v>
      </c>
      <c r="F91" s="201" t="s">
        <v>816</v>
      </c>
      <c r="G91" s="201" t="s">
        <v>1291</v>
      </c>
      <c r="H91" s="338"/>
      <c r="I91" s="1"/>
      <c r="J91" s="1"/>
      <c r="K91" s="768"/>
    </row>
    <row r="92" spans="1:11">
      <c r="A92" s="379"/>
      <c r="B92" s="768"/>
      <c r="C92" s="379" t="s">
        <v>343</v>
      </c>
      <c r="D92" s="768"/>
      <c r="E92" s="201" t="s">
        <v>1255</v>
      </c>
      <c r="F92" s="3" t="s">
        <v>1292</v>
      </c>
      <c r="G92" s="201" t="s">
        <v>1255</v>
      </c>
      <c r="H92" s="338"/>
      <c r="I92" s="1"/>
      <c r="J92" s="1"/>
      <c r="K92" s="768"/>
    </row>
    <row r="93" spans="1:11">
      <c r="A93" s="379"/>
      <c r="B93" s="768"/>
      <c r="C93" s="13" t="s">
        <v>342</v>
      </c>
      <c r="D93" s="13" t="s">
        <v>343</v>
      </c>
      <c r="E93" s="202" t="s">
        <v>1293</v>
      </c>
      <c r="F93" s="2" t="s">
        <v>1294</v>
      </c>
      <c r="G93" s="202" t="s">
        <v>1293</v>
      </c>
      <c r="H93" s="202" t="s">
        <v>1295</v>
      </c>
      <c r="I93" s="1"/>
      <c r="J93" s="1"/>
      <c r="K93" s="768"/>
    </row>
    <row r="94" spans="1:11" ht="12.75" customHeight="1">
      <c r="A94" s="379">
        <f>A85+1</f>
        <v>39</v>
      </c>
      <c r="B94" s="768"/>
      <c r="C94" s="326" t="s">
        <v>350</v>
      </c>
      <c r="D94" s="859">
        <v>2017</v>
      </c>
      <c r="E94" s="5">
        <f t="shared" ref="E94:E106" si="6">H117+H137+H157+H176+H195+H214+H233+H252+H271+H290+H309</f>
        <v>0</v>
      </c>
      <c r="F94" s="340">
        <v>0</v>
      </c>
      <c r="G94" s="338">
        <f>E94-F94</f>
        <v>0</v>
      </c>
      <c r="H94" s="344" t="s">
        <v>1296</v>
      </c>
      <c r="I94" s="1"/>
      <c r="J94" s="5"/>
      <c r="K94" s="768"/>
    </row>
    <row r="95" spans="1:11">
      <c r="A95" s="379">
        <f>A94+1</f>
        <v>40</v>
      </c>
      <c r="B95" s="768"/>
      <c r="C95" s="326" t="s">
        <v>352</v>
      </c>
      <c r="D95" s="437">
        <v>2018</v>
      </c>
      <c r="E95" s="5">
        <f t="shared" si="6"/>
        <v>327077.74000036716</v>
      </c>
      <c r="F95" s="340">
        <v>0</v>
      </c>
      <c r="G95" s="338">
        <f t="shared" ref="G95:G106" si="7">E95-F95</f>
        <v>327077.74000036716</v>
      </c>
      <c r="H95" s="344" t="s">
        <v>1297</v>
      </c>
      <c r="I95" s="43"/>
      <c r="J95" s="5"/>
      <c r="K95" s="768"/>
    </row>
    <row r="96" spans="1:11">
      <c r="A96" s="379">
        <f t="shared" ref="A96:A107" si="8">A95+1</f>
        <v>41</v>
      </c>
      <c r="B96" s="768"/>
      <c r="C96" s="324" t="s">
        <v>353</v>
      </c>
      <c r="D96" s="437">
        <v>2018</v>
      </c>
      <c r="E96" s="5">
        <f t="shared" si="6"/>
        <v>696589.52999940515</v>
      </c>
      <c r="F96" s="340">
        <v>0</v>
      </c>
      <c r="G96" s="338">
        <f t="shared" si="7"/>
        <v>696589.52999940515</v>
      </c>
      <c r="H96" s="344"/>
      <c r="I96" s="43"/>
      <c r="J96" s="5"/>
      <c r="K96" s="768"/>
    </row>
    <row r="97" spans="1:10">
      <c r="A97" s="379">
        <f t="shared" si="8"/>
        <v>42</v>
      </c>
      <c r="B97" s="768"/>
      <c r="C97" s="324" t="s">
        <v>354</v>
      </c>
      <c r="D97" s="437">
        <v>2018</v>
      </c>
      <c r="E97" s="5">
        <f t="shared" si="6"/>
        <v>-4611326.1399998516</v>
      </c>
      <c r="F97" s="340">
        <v>0</v>
      </c>
      <c r="G97" s="338">
        <f t="shared" si="7"/>
        <v>-4611326.1399998516</v>
      </c>
      <c r="H97" s="338"/>
      <c r="I97" s="43"/>
      <c r="J97" s="5"/>
    </row>
    <row r="98" spans="1:10">
      <c r="A98" s="379">
        <f t="shared" si="8"/>
        <v>43</v>
      </c>
      <c r="B98" s="768"/>
      <c r="C98" s="326" t="s">
        <v>355</v>
      </c>
      <c r="D98" s="437">
        <v>2018</v>
      </c>
      <c r="E98" s="5">
        <f t="shared" si="6"/>
        <v>320750.33000026643</v>
      </c>
      <c r="F98" s="340">
        <v>0</v>
      </c>
      <c r="G98" s="338">
        <f t="shared" si="7"/>
        <v>320750.33000026643</v>
      </c>
      <c r="H98" s="338"/>
      <c r="I98" s="43"/>
      <c r="J98" s="5"/>
    </row>
    <row r="99" spans="1:10">
      <c r="A99" s="379">
        <f t="shared" si="8"/>
        <v>44</v>
      </c>
      <c r="B99" s="768"/>
      <c r="C99" s="324" t="s">
        <v>356</v>
      </c>
      <c r="D99" s="437">
        <v>2018</v>
      </c>
      <c r="E99" s="5">
        <f t="shared" si="6"/>
        <v>755652.4800002065</v>
      </c>
      <c r="F99" s="340">
        <v>0</v>
      </c>
      <c r="G99" s="338">
        <f t="shared" si="7"/>
        <v>755652.4800002065</v>
      </c>
      <c r="H99" s="338"/>
      <c r="I99" s="43"/>
      <c r="J99" s="5"/>
    </row>
    <row r="100" spans="1:10">
      <c r="A100" s="379">
        <f t="shared" si="8"/>
        <v>45</v>
      </c>
      <c r="B100" s="768"/>
      <c r="C100" s="324" t="s">
        <v>357</v>
      </c>
      <c r="D100" s="437">
        <v>2018</v>
      </c>
      <c r="E100" s="5">
        <f t="shared" si="6"/>
        <v>7851490.2411999293</v>
      </c>
      <c r="F100" s="340">
        <v>0</v>
      </c>
      <c r="G100" s="338">
        <f t="shared" si="7"/>
        <v>7851490.2411999293</v>
      </c>
      <c r="H100" s="338"/>
      <c r="I100" s="43"/>
      <c r="J100" s="5"/>
    </row>
    <row r="101" spans="1:10">
      <c r="A101" s="379">
        <f t="shared" si="8"/>
        <v>46</v>
      </c>
      <c r="B101" s="768"/>
      <c r="C101" s="326" t="s">
        <v>358</v>
      </c>
      <c r="D101" s="437">
        <v>2018</v>
      </c>
      <c r="E101" s="5">
        <f t="shared" si="6"/>
        <v>243858.43880027719</v>
      </c>
      <c r="F101" s="340">
        <v>0</v>
      </c>
      <c r="G101" s="338">
        <f t="shared" si="7"/>
        <v>243858.43880027719</v>
      </c>
      <c r="H101" s="338"/>
      <c r="I101" s="43"/>
      <c r="J101" s="5"/>
    </row>
    <row r="102" spans="1:10">
      <c r="A102" s="379">
        <f t="shared" si="8"/>
        <v>47</v>
      </c>
      <c r="B102" s="768"/>
      <c r="C102" s="324" t="s">
        <v>359</v>
      </c>
      <c r="D102" s="437">
        <v>2018</v>
      </c>
      <c r="E102" s="5">
        <f t="shared" si="6"/>
        <v>16199744.527999513</v>
      </c>
      <c r="F102" s="340">
        <v>0</v>
      </c>
      <c r="G102" s="338">
        <f t="shared" si="7"/>
        <v>16199744.527999513</v>
      </c>
      <c r="H102" s="338"/>
      <c r="I102" s="43"/>
      <c r="J102" s="5"/>
    </row>
    <row r="103" spans="1:10">
      <c r="A103" s="379">
        <f t="shared" si="8"/>
        <v>48</v>
      </c>
      <c r="B103" s="768"/>
      <c r="C103" s="324" t="s">
        <v>360</v>
      </c>
      <c r="D103" s="437">
        <v>2018</v>
      </c>
      <c r="E103" s="5">
        <f t="shared" si="6"/>
        <v>248370.5000002929</v>
      </c>
      <c r="F103" s="340">
        <v>0</v>
      </c>
      <c r="G103" s="338">
        <f t="shared" si="7"/>
        <v>248370.5000002929</v>
      </c>
      <c r="H103" s="338"/>
      <c r="I103" s="43"/>
      <c r="J103" s="5"/>
    </row>
    <row r="104" spans="1:10">
      <c r="A104" s="379">
        <f t="shared" si="8"/>
        <v>49</v>
      </c>
      <c r="B104" s="768"/>
      <c r="C104" s="326" t="s">
        <v>1070</v>
      </c>
      <c r="D104" s="437">
        <v>2018</v>
      </c>
      <c r="E104" s="5">
        <f t="shared" si="6"/>
        <v>307858.32999961916</v>
      </c>
      <c r="F104" s="340">
        <v>0</v>
      </c>
      <c r="G104" s="338">
        <f t="shared" si="7"/>
        <v>307858.32999961916</v>
      </c>
      <c r="H104" s="338"/>
      <c r="I104" s="43"/>
      <c r="J104" s="5"/>
    </row>
    <row r="105" spans="1:10">
      <c r="A105" s="379">
        <f t="shared" si="8"/>
        <v>50</v>
      </c>
      <c r="B105" s="768"/>
      <c r="C105" s="326" t="s">
        <v>362</v>
      </c>
      <c r="D105" s="437">
        <v>2018</v>
      </c>
      <c r="E105" s="5">
        <f t="shared" si="6"/>
        <v>814355.21999949776</v>
      </c>
      <c r="F105" s="340">
        <v>0</v>
      </c>
      <c r="G105" s="338">
        <f t="shared" si="7"/>
        <v>814355.21999949776</v>
      </c>
      <c r="H105" s="338"/>
      <c r="I105" s="43"/>
      <c r="J105" s="5"/>
    </row>
    <row r="106" spans="1:10">
      <c r="A106" s="379">
        <f t="shared" si="8"/>
        <v>51</v>
      </c>
      <c r="B106" s="768"/>
      <c r="C106" s="326" t="s">
        <v>350</v>
      </c>
      <c r="D106" s="437">
        <v>2018</v>
      </c>
      <c r="E106" s="55">
        <f t="shared" si="6"/>
        <v>768885.55000053439</v>
      </c>
      <c r="F106" s="237">
        <v>0</v>
      </c>
      <c r="G106" s="204">
        <f t="shared" si="7"/>
        <v>768885.55000053439</v>
      </c>
      <c r="H106" s="338"/>
      <c r="I106" s="43"/>
      <c r="J106" s="5"/>
    </row>
    <row r="107" spans="1:10">
      <c r="A107" s="379">
        <f t="shared" si="8"/>
        <v>52</v>
      </c>
      <c r="B107" s="768"/>
      <c r="C107" s="326" t="s">
        <v>388</v>
      </c>
      <c r="D107" s="330"/>
      <c r="E107" s="37">
        <f>SUM(E94:E106)</f>
        <v>23923306.748000056</v>
      </c>
      <c r="F107" s="37">
        <f t="shared" ref="F107:G107" si="9">SUM(F94:F106)</f>
        <v>0</v>
      </c>
      <c r="G107" s="37">
        <f t="shared" si="9"/>
        <v>23923306.748000056</v>
      </c>
      <c r="H107" s="338"/>
      <c r="I107" s="43"/>
      <c r="J107" s="1"/>
    </row>
    <row r="108" spans="1:10">
      <c r="A108" s="379"/>
      <c r="B108" s="768"/>
      <c r="C108" s="326"/>
      <c r="D108" s="330"/>
      <c r="E108" s="37"/>
      <c r="F108" s="338"/>
      <c r="G108" s="338"/>
      <c r="H108" s="338"/>
      <c r="I108" s="43"/>
      <c r="J108" s="1"/>
    </row>
    <row r="110" spans="1:10">
      <c r="A110" s="768"/>
      <c r="B110" s="768"/>
      <c r="C110" s="115" t="s">
        <v>1298</v>
      </c>
      <c r="D110" s="768"/>
      <c r="E110" s="768"/>
      <c r="F110" s="768"/>
      <c r="G110" s="768"/>
      <c r="H110" s="768"/>
      <c r="I110" s="768"/>
      <c r="J110" s="768"/>
    </row>
    <row r="112" spans="1:10">
      <c r="A112" s="768"/>
      <c r="B112" s="768"/>
      <c r="C112" s="1" t="s">
        <v>1299</v>
      </c>
      <c r="D112" s="768"/>
      <c r="E112" s="52" t="s">
        <v>307</v>
      </c>
      <c r="F112" s="52" t="s">
        <v>308</v>
      </c>
      <c r="G112" s="52" t="s">
        <v>309</v>
      </c>
      <c r="H112" s="52" t="s">
        <v>310</v>
      </c>
      <c r="I112" s="768"/>
      <c r="J112" s="768"/>
    </row>
    <row r="113" spans="1:9">
      <c r="A113" s="768"/>
      <c r="B113" s="768"/>
      <c r="C113" s="768"/>
      <c r="D113" s="768"/>
      <c r="E113" s="768"/>
      <c r="F113" s="768"/>
      <c r="G113" s="354" t="s">
        <v>1289</v>
      </c>
      <c r="H113" s="354" t="s">
        <v>1300</v>
      </c>
      <c r="I113" s="768"/>
    </row>
    <row r="114" spans="1:9">
      <c r="A114" s="768"/>
      <c r="B114" s="768"/>
      <c r="C114" s="379" t="s">
        <v>1280</v>
      </c>
      <c r="D114" s="768"/>
      <c r="E114" s="768"/>
      <c r="F114" s="768"/>
      <c r="G114" s="10"/>
      <c r="H114" s="1020" t="s">
        <v>1301</v>
      </c>
      <c r="I114" s="768"/>
    </row>
    <row r="115" spans="1:9">
      <c r="A115" s="768"/>
      <c r="B115" s="768"/>
      <c r="C115" s="379" t="s">
        <v>343</v>
      </c>
      <c r="D115" s="768"/>
      <c r="E115" s="379" t="s">
        <v>771</v>
      </c>
      <c r="F115" s="379" t="s">
        <v>1302</v>
      </c>
      <c r="G115" s="379" t="s">
        <v>1303</v>
      </c>
      <c r="H115" s="379" t="s">
        <v>814</v>
      </c>
      <c r="I115" s="768"/>
    </row>
    <row r="116" spans="1:9">
      <c r="A116" s="768"/>
      <c r="B116" s="768"/>
      <c r="C116" s="13" t="s">
        <v>342</v>
      </c>
      <c r="D116" s="13" t="s">
        <v>343</v>
      </c>
      <c r="E116" s="2" t="s">
        <v>1304</v>
      </c>
      <c r="F116" s="2" t="s">
        <v>40</v>
      </c>
      <c r="G116" s="2" t="s">
        <v>1270</v>
      </c>
      <c r="H116" s="2" t="s">
        <v>1294</v>
      </c>
      <c r="I116" s="768"/>
    </row>
    <row r="117" spans="1:9">
      <c r="A117" s="379">
        <f>A107+1</f>
        <v>53</v>
      </c>
      <c r="B117" s="768"/>
      <c r="C117" s="326" t="s">
        <v>350</v>
      </c>
      <c r="D117" s="859">
        <v>2017</v>
      </c>
      <c r="E117" s="787">
        <v>3042408307.8372149</v>
      </c>
      <c r="F117" s="787">
        <v>313858031.34876937</v>
      </c>
      <c r="G117" s="5">
        <f t="shared" ref="G117:G129" si="10">E117-F117</f>
        <v>2728550276.4884458</v>
      </c>
      <c r="H117" s="5">
        <f>E117-E117</f>
        <v>0</v>
      </c>
      <c r="I117" s="380"/>
    </row>
    <row r="118" spans="1:9">
      <c r="A118" s="379">
        <f>A117+1</f>
        <v>54</v>
      </c>
      <c r="B118" s="768"/>
      <c r="C118" s="326" t="s">
        <v>352</v>
      </c>
      <c r="D118" s="437">
        <v>2018</v>
      </c>
      <c r="E118" s="787">
        <v>3042721831.7072153</v>
      </c>
      <c r="F118" s="787">
        <v>320251379.70461506</v>
      </c>
      <c r="G118" s="5">
        <f t="shared" si="10"/>
        <v>2722470452.0026002</v>
      </c>
      <c r="H118" s="5">
        <f>E118-E117</f>
        <v>313523.8700003624</v>
      </c>
      <c r="I118" s="768"/>
    </row>
    <row r="119" spans="1:9">
      <c r="A119" s="379">
        <f t="shared" ref="A119:A129" si="11">A118+1</f>
        <v>55</v>
      </c>
      <c r="B119" s="768"/>
      <c r="C119" s="324" t="s">
        <v>353</v>
      </c>
      <c r="D119" s="437">
        <v>2018</v>
      </c>
      <c r="E119" s="787">
        <v>3043409824.0572147</v>
      </c>
      <c r="F119" s="787">
        <v>326645821.16820687</v>
      </c>
      <c r="G119" s="5">
        <f t="shared" si="10"/>
        <v>2716764002.889008</v>
      </c>
      <c r="H119" s="5">
        <f t="shared" ref="H119:H129" si="12">E119-E118</f>
        <v>687992.3499994278</v>
      </c>
      <c r="I119" s="768"/>
    </row>
    <row r="120" spans="1:9">
      <c r="A120" s="379">
        <f t="shared" si="11"/>
        <v>56</v>
      </c>
      <c r="B120" s="768"/>
      <c r="C120" s="324" t="s">
        <v>354</v>
      </c>
      <c r="D120" s="437">
        <v>2018</v>
      </c>
      <c r="E120" s="787">
        <v>3038790330.3972149</v>
      </c>
      <c r="F120" s="787">
        <v>333041720.51160765</v>
      </c>
      <c r="G120" s="5">
        <f t="shared" si="10"/>
        <v>2705748609.8856072</v>
      </c>
      <c r="H120" s="5">
        <f t="shared" si="12"/>
        <v>-4619493.6599998474</v>
      </c>
      <c r="I120" s="768"/>
    </row>
    <row r="121" spans="1:9">
      <c r="A121" s="379">
        <f t="shared" si="11"/>
        <v>57</v>
      </c>
      <c r="B121" s="768"/>
      <c r="C121" s="326" t="s">
        <v>355</v>
      </c>
      <c r="D121" s="437">
        <v>2018</v>
      </c>
      <c r="E121" s="787">
        <v>3039161611.1172152</v>
      </c>
      <c r="F121" s="787">
        <v>339426196.69028568</v>
      </c>
      <c r="G121" s="5">
        <f t="shared" si="10"/>
        <v>2699735414.4269295</v>
      </c>
      <c r="H121" s="5">
        <f t="shared" si="12"/>
        <v>371280.72000026703</v>
      </c>
      <c r="I121" s="768"/>
    </row>
    <row r="122" spans="1:9">
      <c r="A122" s="379">
        <f t="shared" si="11"/>
        <v>58</v>
      </c>
      <c r="B122" s="768"/>
      <c r="C122" s="324" t="s">
        <v>356</v>
      </c>
      <c r="D122" s="437">
        <v>2018</v>
      </c>
      <c r="E122" s="787">
        <v>3038925134.4172153</v>
      </c>
      <c r="F122" s="787">
        <v>345811334.76896238</v>
      </c>
      <c r="G122" s="5">
        <f t="shared" si="10"/>
        <v>2693113799.648253</v>
      </c>
      <c r="H122" s="5">
        <f t="shared" si="12"/>
        <v>-236476.69999980927</v>
      </c>
      <c r="I122" s="768"/>
    </row>
    <row r="123" spans="1:9">
      <c r="A123" s="379">
        <f t="shared" si="11"/>
        <v>59</v>
      </c>
      <c r="B123" s="768"/>
      <c r="C123" s="324" t="s">
        <v>357</v>
      </c>
      <c r="D123" s="437">
        <v>2018</v>
      </c>
      <c r="E123" s="787">
        <v>3040203649.4572153</v>
      </c>
      <c r="F123" s="787">
        <v>352195994.94126952</v>
      </c>
      <c r="G123" s="5">
        <f t="shared" si="10"/>
        <v>2688007654.5159459</v>
      </c>
      <c r="H123" s="5">
        <f t="shared" si="12"/>
        <v>1278515.0399999619</v>
      </c>
      <c r="I123" s="768"/>
    </row>
    <row r="124" spans="1:9">
      <c r="A124" s="379">
        <f t="shared" si="11"/>
        <v>60</v>
      </c>
      <c r="B124" s="768"/>
      <c r="C124" s="326" t="s">
        <v>358</v>
      </c>
      <c r="D124" s="437">
        <v>2018</v>
      </c>
      <c r="E124" s="787">
        <v>3040460233.9072156</v>
      </c>
      <c r="F124" s="787">
        <v>358583410.32340276</v>
      </c>
      <c r="G124" s="5">
        <f t="shared" si="10"/>
        <v>2681876823.5838127</v>
      </c>
      <c r="H124" s="5">
        <f t="shared" si="12"/>
        <v>256584.4500002861</v>
      </c>
      <c r="I124" s="768"/>
    </row>
    <row r="125" spans="1:9">
      <c r="A125" s="379">
        <f t="shared" si="11"/>
        <v>61</v>
      </c>
      <c r="B125" s="768"/>
      <c r="C125" s="324" t="s">
        <v>359</v>
      </c>
      <c r="D125" s="437">
        <v>2018</v>
      </c>
      <c r="E125" s="787">
        <v>3052516013.1572151</v>
      </c>
      <c r="F125" s="787">
        <v>365992077.68813622</v>
      </c>
      <c r="G125" s="5">
        <f t="shared" si="10"/>
        <v>2686523935.469079</v>
      </c>
      <c r="H125" s="5">
        <f t="shared" si="12"/>
        <v>12055779.249999523</v>
      </c>
      <c r="I125" s="768"/>
    </row>
    <row r="126" spans="1:9">
      <c r="A126" s="379">
        <f t="shared" si="11"/>
        <v>62</v>
      </c>
      <c r="B126" s="768"/>
      <c r="C126" s="324" t="s">
        <v>360</v>
      </c>
      <c r="D126" s="437">
        <v>2018</v>
      </c>
      <c r="E126" s="787">
        <v>3052753492.4372153</v>
      </c>
      <c r="F126" s="787">
        <v>372405533.91372699</v>
      </c>
      <c r="G126" s="5">
        <f t="shared" si="10"/>
        <v>2680347958.5234885</v>
      </c>
      <c r="H126" s="5">
        <f t="shared" si="12"/>
        <v>237479.28000020981</v>
      </c>
      <c r="I126" s="768"/>
    </row>
    <row r="127" spans="1:9">
      <c r="A127" s="379">
        <f t="shared" si="11"/>
        <v>63</v>
      </c>
      <c r="B127" s="768"/>
      <c r="C127" s="326" t="s">
        <v>1070</v>
      </c>
      <c r="D127" s="437">
        <v>2018</v>
      </c>
      <c r="E127" s="787">
        <v>3053038983.007215</v>
      </c>
      <c r="F127" s="787">
        <v>378819495.93884104</v>
      </c>
      <c r="G127" s="5">
        <f t="shared" si="10"/>
        <v>2674219487.0683742</v>
      </c>
      <c r="H127" s="5">
        <f t="shared" si="12"/>
        <v>285490.56999969482</v>
      </c>
      <c r="I127" s="768"/>
    </row>
    <row r="128" spans="1:9">
      <c r="A128" s="379">
        <f t="shared" si="11"/>
        <v>64</v>
      </c>
      <c r="B128" s="768"/>
      <c r="C128" s="326" t="s">
        <v>362</v>
      </c>
      <c r="D128" s="437">
        <v>2018</v>
      </c>
      <c r="E128" s="787">
        <v>3053853429.7772145</v>
      </c>
      <c r="F128" s="787">
        <v>385234033.80171508</v>
      </c>
      <c r="G128" s="5">
        <f t="shared" si="10"/>
        <v>2668619395.9754996</v>
      </c>
      <c r="H128" s="5">
        <f t="shared" si="12"/>
        <v>814446.76999950409</v>
      </c>
      <c r="I128" s="768"/>
    </row>
    <row r="129" spans="1:8">
      <c r="A129" s="379">
        <f t="shared" si="11"/>
        <v>65</v>
      </c>
      <c r="B129" s="768"/>
      <c r="C129" s="326" t="s">
        <v>350</v>
      </c>
      <c r="D129" s="437">
        <v>2018</v>
      </c>
      <c r="E129" s="787">
        <v>3054617061.2172151</v>
      </c>
      <c r="F129" s="787">
        <v>391650613.87370574</v>
      </c>
      <c r="G129" s="5">
        <f t="shared" si="10"/>
        <v>2662966447.3435092</v>
      </c>
      <c r="H129" s="5">
        <f t="shared" si="12"/>
        <v>763631.44000053406</v>
      </c>
    </row>
    <row r="130" spans="1:8">
      <c r="A130" s="379"/>
      <c r="B130" s="768"/>
      <c r="C130" s="326"/>
      <c r="D130" s="330"/>
      <c r="E130" s="768"/>
      <c r="F130" s="768"/>
      <c r="G130" s="768"/>
      <c r="H130" s="768"/>
    </row>
    <row r="132" spans="1:8">
      <c r="A132" s="768"/>
      <c r="B132" s="768"/>
      <c r="C132" s="115" t="s">
        <v>1305</v>
      </c>
      <c r="D132" s="768"/>
      <c r="E132" s="52" t="s">
        <v>307</v>
      </c>
      <c r="F132" s="52" t="s">
        <v>308</v>
      </c>
      <c r="G132" s="52" t="s">
        <v>309</v>
      </c>
      <c r="H132" s="52" t="s">
        <v>310</v>
      </c>
    </row>
    <row r="133" spans="1:8">
      <c r="A133" s="768"/>
      <c r="B133" s="768"/>
      <c r="C133" s="768"/>
      <c r="D133" s="768"/>
      <c r="E133" s="768"/>
      <c r="F133" s="768"/>
      <c r="G133" s="354" t="s">
        <v>1289</v>
      </c>
      <c r="H133" s="354" t="s">
        <v>1300</v>
      </c>
    </row>
    <row r="134" spans="1:8">
      <c r="A134" s="768"/>
      <c r="B134" s="768"/>
      <c r="C134" s="379" t="s">
        <v>1280</v>
      </c>
      <c r="D134" s="768"/>
      <c r="E134" s="768"/>
      <c r="F134" s="768"/>
      <c r="G134" s="10"/>
      <c r="H134" s="1020" t="s">
        <v>1301</v>
      </c>
    </row>
    <row r="135" spans="1:8">
      <c r="A135" s="768"/>
      <c r="B135" s="768"/>
      <c r="C135" s="379" t="s">
        <v>343</v>
      </c>
      <c r="D135" s="768"/>
      <c r="E135" s="379" t="s">
        <v>771</v>
      </c>
      <c r="F135" s="379" t="s">
        <v>1302</v>
      </c>
      <c r="G135" s="64" t="s">
        <v>1303</v>
      </c>
      <c r="H135" s="64" t="s">
        <v>814</v>
      </c>
    </row>
    <row r="136" spans="1:8">
      <c r="A136" s="768"/>
      <c r="B136" s="768"/>
      <c r="C136" s="13" t="s">
        <v>342</v>
      </c>
      <c r="D136" s="13" t="s">
        <v>343</v>
      </c>
      <c r="E136" s="2" t="s">
        <v>1304</v>
      </c>
      <c r="F136" s="2" t="s">
        <v>40</v>
      </c>
      <c r="G136" s="2" t="s">
        <v>1270</v>
      </c>
      <c r="H136" s="2" t="s">
        <v>1294</v>
      </c>
    </row>
    <row r="137" spans="1:8">
      <c r="A137" s="379">
        <f>A129+1</f>
        <v>66</v>
      </c>
      <c r="B137" s="768"/>
      <c r="C137" s="326" t="s">
        <v>350</v>
      </c>
      <c r="D137" s="859">
        <v>2017</v>
      </c>
      <c r="E137" s="787">
        <v>191500873.56999996</v>
      </c>
      <c r="F137" s="787">
        <v>41268830.76791209</v>
      </c>
      <c r="G137" s="5">
        <f>E137-F137</f>
        <v>150232042.80208787</v>
      </c>
      <c r="H137" s="5">
        <f>E137-E137</f>
        <v>0</v>
      </c>
    </row>
    <row r="138" spans="1:8">
      <c r="A138" s="379">
        <f>A137+1</f>
        <v>67</v>
      </c>
      <c r="B138" s="768"/>
      <c r="C138" s="326" t="s">
        <v>352</v>
      </c>
      <c r="D138" s="437">
        <v>2018</v>
      </c>
      <c r="E138" s="787">
        <v>191500873.56999996</v>
      </c>
      <c r="F138" s="787">
        <v>41663751.521430589</v>
      </c>
      <c r="G138" s="5">
        <f t="shared" ref="G138:G149" si="13">E138-F138</f>
        <v>149837122.04856938</v>
      </c>
      <c r="H138" s="5">
        <f>E138-E137</f>
        <v>0</v>
      </c>
    </row>
    <row r="139" spans="1:8">
      <c r="A139" s="379">
        <f t="shared" ref="A139:A149" si="14">A138+1</f>
        <v>68</v>
      </c>
      <c r="B139" s="768"/>
      <c r="C139" s="324" t="s">
        <v>353</v>
      </c>
      <c r="D139" s="437">
        <v>2018</v>
      </c>
      <c r="E139" s="787">
        <v>191500873.56999996</v>
      </c>
      <c r="F139" s="787">
        <v>42058672.274949089</v>
      </c>
      <c r="G139" s="5">
        <f t="shared" si="13"/>
        <v>149442201.29505086</v>
      </c>
      <c r="H139" s="5">
        <f t="shared" ref="H139:H149" si="15">E139-E138</f>
        <v>0</v>
      </c>
    </row>
    <row r="140" spans="1:8">
      <c r="A140" s="379">
        <f t="shared" si="14"/>
        <v>69</v>
      </c>
      <c r="B140" s="768"/>
      <c r="C140" s="324" t="s">
        <v>354</v>
      </c>
      <c r="D140" s="437">
        <v>2018</v>
      </c>
      <c r="E140" s="787">
        <v>191500873.56999996</v>
      </c>
      <c r="F140" s="787">
        <v>42453593.028467581</v>
      </c>
      <c r="G140" s="5">
        <f t="shared" si="13"/>
        <v>149047280.5415324</v>
      </c>
      <c r="H140" s="5">
        <f t="shared" si="15"/>
        <v>0</v>
      </c>
    </row>
    <row r="141" spans="1:8">
      <c r="A141" s="379">
        <f t="shared" si="14"/>
        <v>70</v>
      </c>
      <c r="B141" s="768"/>
      <c r="C141" s="326" t="s">
        <v>355</v>
      </c>
      <c r="D141" s="437">
        <v>2018</v>
      </c>
      <c r="E141" s="787">
        <v>191500873.56999996</v>
      </c>
      <c r="F141" s="787">
        <v>42848513.78198608</v>
      </c>
      <c r="G141" s="5">
        <f t="shared" si="13"/>
        <v>148652359.78801388</v>
      </c>
      <c r="H141" s="5">
        <f t="shared" si="15"/>
        <v>0</v>
      </c>
    </row>
    <row r="142" spans="1:8">
      <c r="A142" s="379">
        <f t="shared" si="14"/>
        <v>71</v>
      </c>
      <c r="B142" s="768"/>
      <c r="C142" s="324" t="s">
        <v>356</v>
      </c>
      <c r="D142" s="437">
        <v>2018</v>
      </c>
      <c r="E142" s="787">
        <v>191500873.53999996</v>
      </c>
      <c r="F142" s="787">
        <v>43243434.53550458</v>
      </c>
      <c r="G142" s="5">
        <f t="shared" si="13"/>
        <v>148257439.00449538</v>
      </c>
      <c r="H142" s="5">
        <f t="shared" si="15"/>
        <v>-3.0000001192092896E-2</v>
      </c>
    </row>
    <row r="143" spans="1:8">
      <c r="A143" s="379">
        <f t="shared" si="14"/>
        <v>72</v>
      </c>
      <c r="B143" s="768"/>
      <c r="C143" s="324" t="s">
        <v>357</v>
      </c>
      <c r="D143" s="437">
        <v>2018</v>
      </c>
      <c r="E143" s="787">
        <v>191500873.53999996</v>
      </c>
      <c r="F143" s="787">
        <v>43638355.288958833</v>
      </c>
      <c r="G143" s="5">
        <f t="shared" si="13"/>
        <v>147862518.25104111</v>
      </c>
      <c r="H143" s="5">
        <f t="shared" si="15"/>
        <v>0</v>
      </c>
    </row>
    <row r="144" spans="1:8">
      <c r="A144" s="379">
        <f t="shared" si="14"/>
        <v>73</v>
      </c>
      <c r="B144" s="768"/>
      <c r="C144" s="326" t="s">
        <v>358</v>
      </c>
      <c r="D144" s="437">
        <v>2018</v>
      </c>
      <c r="E144" s="787">
        <v>191500873.53999996</v>
      </c>
      <c r="F144" s="787">
        <v>44033276.042413086</v>
      </c>
      <c r="G144" s="5">
        <f t="shared" si="13"/>
        <v>147467597.49758688</v>
      </c>
      <c r="H144" s="5">
        <f t="shared" si="15"/>
        <v>0</v>
      </c>
    </row>
    <row r="145" spans="1:8">
      <c r="A145" s="379">
        <f t="shared" si="14"/>
        <v>74</v>
      </c>
      <c r="B145" s="768"/>
      <c r="C145" s="324" t="s">
        <v>359</v>
      </c>
      <c r="D145" s="437">
        <v>2018</v>
      </c>
      <c r="E145" s="787">
        <v>191500873.53999996</v>
      </c>
      <c r="F145" s="787">
        <v>44428196.795867331</v>
      </c>
      <c r="G145" s="5">
        <f t="shared" si="13"/>
        <v>147072676.74413264</v>
      </c>
      <c r="H145" s="5">
        <f t="shared" si="15"/>
        <v>0</v>
      </c>
    </row>
    <row r="146" spans="1:8">
      <c r="A146" s="379">
        <f t="shared" si="14"/>
        <v>75</v>
      </c>
      <c r="B146" s="768"/>
      <c r="C146" s="324" t="s">
        <v>360</v>
      </c>
      <c r="D146" s="437">
        <v>2018</v>
      </c>
      <c r="E146" s="787">
        <v>191500873.53999996</v>
      </c>
      <c r="F146" s="787">
        <v>44823117.549321584</v>
      </c>
      <c r="G146" s="5">
        <f t="shared" si="13"/>
        <v>146677755.99067837</v>
      </c>
      <c r="H146" s="5">
        <f t="shared" si="15"/>
        <v>0</v>
      </c>
    </row>
    <row r="147" spans="1:8">
      <c r="A147" s="379">
        <f t="shared" si="14"/>
        <v>76</v>
      </c>
      <c r="B147" s="768"/>
      <c r="C147" s="326" t="s">
        <v>1070</v>
      </c>
      <c r="D147" s="437">
        <v>2018</v>
      </c>
      <c r="E147" s="787">
        <v>191500873.53999996</v>
      </c>
      <c r="F147" s="787">
        <v>45218038.302775837</v>
      </c>
      <c r="G147" s="5">
        <f t="shared" si="13"/>
        <v>146282835.23722413</v>
      </c>
      <c r="H147" s="5">
        <f t="shared" si="15"/>
        <v>0</v>
      </c>
    </row>
    <row r="148" spans="1:8">
      <c r="A148" s="379">
        <f t="shared" si="14"/>
        <v>77</v>
      </c>
      <c r="B148" s="768"/>
      <c r="C148" s="326" t="s">
        <v>362</v>
      </c>
      <c r="D148" s="437">
        <v>2018</v>
      </c>
      <c r="E148" s="787">
        <v>191500873.53999996</v>
      </c>
      <c r="F148" s="787">
        <v>45612959.056230083</v>
      </c>
      <c r="G148" s="5">
        <f t="shared" si="13"/>
        <v>145887914.48376989</v>
      </c>
      <c r="H148" s="5">
        <f t="shared" si="15"/>
        <v>0</v>
      </c>
    </row>
    <row r="149" spans="1:8">
      <c r="A149" s="379">
        <f t="shared" si="14"/>
        <v>78</v>
      </c>
      <c r="B149" s="768"/>
      <c r="C149" s="326" t="s">
        <v>350</v>
      </c>
      <c r="D149" s="437">
        <v>2018</v>
      </c>
      <c r="E149" s="787">
        <v>191500873.53999996</v>
      </c>
      <c r="F149" s="787">
        <v>46007879.809684336</v>
      </c>
      <c r="G149" s="5">
        <f t="shared" si="13"/>
        <v>145492993.73031563</v>
      </c>
      <c r="H149" s="5">
        <f t="shared" si="15"/>
        <v>0</v>
      </c>
    </row>
    <row r="150" spans="1:8">
      <c r="A150" s="379"/>
      <c r="B150" s="768"/>
      <c r="C150" s="768"/>
      <c r="D150" s="768"/>
      <c r="E150" s="768"/>
      <c r="F150" s="768"/>
      <c r="G150" s="768"/>
      <c r="H150" s="768"/>
    </row>
    <row r="151" spans="1:8" ht="12.75" customHeight="1">
      <c r="A151" s="768"/>
      <c r="B151" s="768"/>
      <c r="C151" s="768"/>
      <c r="D151" s="768"/>
      <c r="E151" s="768"/>
      <c r="F151" s="768"/>
      <c r="G151" s="768"/>
      <c r="H151" s="768"/>
    </row>
    <row r="152" spans="1:8">
      <c r="A152" s="768"/>
      <c r="B152" s="768"/>
      <c r="C152" s="115" t="s">
        <v>1306</v>
      </c>
      <c r="D152" s="768"/>
      <c r="E152" s="52" t="s">
        <v>307</v>
      </c>
      <c r="F152" s="52" t="s">
        <v>308</v>
      </c>
      <c r="G152" s="52" t="s">
        <v>309</v>
      </c>
      <c r="H152" s="52" t="s">
        <v>310</v>
      </c>
    </row>
    <row r="153" spans="1:8">
      <c r="A153" s="768"/>
      <c r="B153" s="768"/>
      <c r="C153" s="768"/>
      <c r="D153" s="768"/>
      <c r="E153" s="768"/>
      <c r="F153" s="768"/>
      <c r="G153" s="354" t="s">
        <v>1289</v>
      </c>
      <c r="H153" s="307" t="s">
        <v>1300</v>
      </c>
    </row>
    <row r="154" spans="1:8">
      <c r="A154" s="768"/>
      <c r="B154" s="768"/>
      <c r="C154" s="379" t="s">
        <v>1280</v>
      </c>
      <c r="D154" s="768"/>
      <c r="E154" s="768"/>
      <c r="F154" s="768"/>
      <c r="G154" s="768"/>
      <c r="H154" s="299" t="s">
        <v>1301</v>
      </c>
    </row>
    <row r="155" spans="1:8">
      <c r="A155" s="768"/>
      <c r="B155" s="768"/>
      <c r="C155" s="379" t="s">
        <v>343</v>
      </c>
      <c r="D155" s="768"/>
      <c r="E155" s="379" t="s">
        <v>771</v>
      </c>
      <c r="F155" s="379" t="s">
        <v>1302</v>
      </c>
      <c r="G155" s="379" t="s">
        <v>1303</v>
      </c>
      <c r="H155" s="379" t="s">
        <v>814</v>
      </c>
    </row>
    <row r="156" spans="1:8">
      <c r="A156" s="768"/>
      <c r="B156" s="768"/>
      <c r="C156" s="13" t="s">
        <v>342</v>
      </c>
      <c r="D156" s="13" t="s">
        <v>343</v>
      </c>
      <c r="E156" s="2" t="s">
        <v>1304</v>
      </c>
      <c r="F156" s="2" t="s">
        <v>40</v>
      </c>
      <c r="G156" s="2" t="s">
        <v>1270</v>
      </c>
      <c r="H156" s="2" t="s">
        <v>1294</v>
      </c>
    </row>
    <row r="157" spans="1:8">
      <c r="A157" s="379">
        <f>A149+1</f>
        <v>79</v>
      </c>
      <c r="B157" s="768"/>
      <c r="C157" s="326" t="s">
        <v>350</v>
      </c>
      <c r="D157" s="859">
        <v>2017</v>
      </c>
      <c r="E157" s="787">
        <v>773570553.75</v>
      </c>
      <c r="F157" s="787">
        <v>85818213.766927391</v>
      </c>
      <c r="G157" s="5">
        <f t="shared" ref="G157:G169" si="16">E157-F157</f>
        <v>687752339.98307264</v>
      </c>
      <c r="H157" s="5">
        <f>E157-E157</f>
        <v>0</v>
      </c>
    </row>
    <row r="158" spans="1:8">
      <c r="A158" s="379">
        <f>A157+1</f>
        <v>80</v>
      </c>
      <c r="B158" s="768"/>
      <c r="C158" s="326" t="s">
        <v>352</v>
      </c>
      <c r="D158" s="437">
        <v>2018</v>
      </c>
      <c r="E158" s="787">
        <v>773570553.75</v>
      </c>
      <c r="F158" s="787">
        <v>87459870.503819793</v>
      </c>
      <c r="G158" s="5">
        <f t="shared" si="16"/>
        <v>686110683.24618018</v>
      </c>
      <c r="H158" s="5">
        <f>E158-E157</f>
        <v>0</v>
      </c>
    </row>
    <row r="159" spans="1:8">
      <c r="A159" s="379">
        <f t="shared" ref="A159:A169" si="17">A158+1</f>
        <v>81</v>
      </c>
      <c r="B159" s="768"/>
      <c r="C159" s="324" t="s">
        <v>353</v>
      </c>
      <c r="D159" s="437">
        <v>2018</v>
      </c>
      <c r="E159" s="787">
        <v>773570553.75</v>
      </c>
      <c r="F159" s="787">
        <v>89101527.240712225</v>
      </c>
      <c r="G159" s="5">
        <f t="shared" si="16"/>
        <v>684469026.50928783</v>
      </c>
      <c r="H159" s="5">
        <f t="shared" ref="H159:H169" si="18">E159-E158</f>
        <v>0</v>
      </c>
    </row>
    <row r="160" spans="1:8">
      <c r="A160" s="379">
        <f t="shared" si="17"/>
        <v>82</v>
      </c>
      <c r="B160" s="768"/>
      <c r="C160" s="324" t="s">
        <v>354</v>
      </c>
      <c r="D160" s="437">
        <v>2018</v>
      </c>
      <c r="E160" s="787">
        <v>773570553.75</v>
      </c>
      <c r="F160" s="787">
        <v>90743183.977604643</v>
      </c>
      <c r="G160" s="5">
        <f t="shared" si="16"/>
        <v>682827369.77239537</v>
      </c>
      <c r="H160" s="5">
        <f t="shared" si="18"/>
        <v>0</v>
      </c>
    </row>
    <row r="161" spans="1:8">
      <c r="A161" s="379">
        <f t="shared" si="17"/>
        <v>83</v>
      </c>
      <c r="B161" s="768"/>
      <c r="C161" s="326" t="s">
        <v>355</v>
      </c>
      <c r="D161" s="437">
        <v>2018</v>
      </c>
      <c r="E161" s="787">
        <v>773570553.75</v>
      </c>
      <c r="F161" s="787">
        <v>92384840.71449706</v>
      </c>
      <c r="G161" s="5">
        <f t="shared" si="16"/>
        <v>681185713.03550291</v>
      </c>
      <c r="H161" s="5">
        <f t="shared" si="18"/>
        <v>0</v>
      </c>
    </row>
    <row r="162" spans="1:8">
      <c r="A162" s="379">
        <f t="shared" si="17"/>
        <v>84</v>
      </c>
      <c r="B162" s="768"/>
      <c r="C162" s="324" t="s">
        <v>356</v>
      </c>
      <c r="D162" s="437">
        <v>2018</v>
      </c>
      <c r="E162" s="787">
        <v>773570553.38999999</v>
      </c>
      <c r="F162" s="787">
        <v>94026497.451389477</v>
      </c>
      <c r="G162" s="5">
        <f t="shared" si="16"/>
        <v>679544055.93861055</v>
      </c>
      <c r="H162" s="5">
        <f t="shared" si="18"/>
        <v>-0.36000001430511475</v>
      </c>
    </row>
    <row r="163" spans="1:8">
      <c r="A163" s="379">
        <f t="shared" si="17"/>
        <v>85</v>
      </c>
      <c r="B163" s="768"/>
      <c r="C163" s="324" t="s">
        <v>357</v>
      </c>
      <c r="D163" s="437">
        <v>2018</v>
      </c>
      <c r="E163" s="787">
        <v>773571525.17999995</v>
      </c>
      <c r="F163" s="787">
        <v>95668154.187538385</v>
      </c>
      <c r="G163" s="5">
        <f t="shared" si="16"/>
        <v>677903370.99246156</v>
      </c>
      <c r="H163" s="5">
        <f t="shared" si="18"/>
        <v>971.78999996185303</v>
      </c>
    </row>
    <row r="164" spans="1:8">
      <c r="A164" s="379">
        <f t="shared" si="17"/>
        <v>86</v>
      </c>
      <c r="B164" s="768"/>
      <c r="C164" s="326" t="s">
        <v>358</v>
      </c>
      <c r="D164" s="437">
        <v>2018</v>
      </c>
      <c r="E164" s="787">
        <v>773571477.69999993</v>
      </c>
      <c r="F164" s="787">
        <v>97309812.968950048</v>
      </c>
      <c r="G164" s="5">
        <f t="shared" si="16"/>
        <v>676261664.7310499</v>
      </c>
      <c r="H164" s="5">
        <f t="shared" si="18"/>
        <v>-47.480000019073486</v>
      </c>
    </row>
    <row r="165" spans="1:8">
      <c r="A165" s="379">
        <f t="shared" si="17"/>
        <v>87</v>
      </c>
      <c r="B165" s="768"/>
      <c r="C165" s="324" t="s">
        <v>359</v>
      </c>
      <c r="D165" s="437">
        <v>2018</v>
      </c>
      <c r="E165" s="787">
        <v>774689165.71999991</v>
      </c>
      <c r="F165" s="787">
        <v>98951471.605439574</v>
      </c>
      <c r="G165" s="5">
        <f t="shared" si="16"/>
        <v>675737694.11456037</v>
      </c>
      <c r="H165" s="5">
        <f t="shared" si="18"/>
        <v>1117688.0199999809</v>
      </c>
    </row>
    <row r="166" spans="1:8">
      <c r="A166" s="379">
        <f t="shared" si="17"/>
        <v>88</v>
      </c>
      <c r="B166" s="768"/>
      <c r="C166" s="324" t="s">
        <v>360</v>
      </c>
      <c r="D166" s="437">
        <v>2018</v>
      </c>
      <c r="E166" s="787">
        <v>774692651.5</v>
      </c>
      <c r="F166" s="787">
        <v>100595523.64104688</v>
      </c>
      <c r="G166" s="5">
        <f t="shared" si="16"/>
        <v>674097127.85895312</v>
      </c>
      <c r="H166" s="5">
        <f t="shared" si="18"/>
        <v>3485.7800000905991</v>
      </c>
    </row>
    <row r="167" spans="1:8">
      <c r="A167" s="379">
        <f t="shared" si="17"/>
        <v>89</v>
      </c>
      <c r="B167" s="768"/>
      <c r="C167" s="326" t="s">
        <v>1070</v>
      </c>
      <c r="D167" s="437">
        <v>2018</v>
      </c>
      <c r="E167" s="787">
        <v>774692638.19999993</v>
      </c>
      <c r="F167" s="787">
        <v>102239583.01947029</v>
      </c>
      <c r="G167" s="5">
        <f t="shared" si="16"/>
        <v>672453055.18052959</v>
      </c>
      <c r="H167" s="5">
        <f t="shared" si="18"/>
        <v>-13.300000071525574</v>
      </c>
    </row>
    <row r="168" spans="1:8">
      <c r="A168" s="379">
        <f t="shared" si="17"/>
        <v>90</v>
      </c>
      <c r="B168" s="768"/>
      <c r="C168" s="326" t="s">
        <v>362</v>
      </c>
      <c r="D168" s="437">
        <v>2018</v>
      </c>
      <c r="E168" s="787">
        <v>774692622.82999992</v>
      </c>
      <c r="F168" s="787">
        <v>103883642.34464122</v>
      </c>
      <c r="G168" s="5">
        <f t="shared" si="16"/>
        <v>670808980.48535872</v>
      </c>
      <c r="H168" s="5">
        <f t="shared" si="18"/>
        <v>-15.370000004768372</v>
      </c>
    </row>
    <row r="169" spans="1:8">
      <c r="A169" s="379">
        <f t="shared" si="17"/>
        <v>91</v>
      </c>
      <c r="B169" s="768"/>
      <c r="C169" s="326" t="s">
        <v>350</v>
      </c>
      <c r="D169" s="437">
        <v>2018</v>
      </c>
      <c r="E169" s="787">
        <v>774692622.82999992</v>
      </c>
      <c r="F169" s="787">
        <v>105527701.63699973</v>
      </c>
      <c r="G169" s="5">
        <f t="shared" si="16"/>
        <v>669164921.1930002</v>
      </c>
      <c r="H169" s="5">
        <f t="shared" si="18"/>
        <v>0</v>
      </c>
    </row>
    <row r="171" spans="1:8">
      <c r="A171" s="768"/>
      <c r="B171" s="768"/>
      <c r="C171" s="115" t="s">
        <v>1307</v>
      </c>
      <c r="D171" s="768"/>
      <c r="E171" s="52" t="s">
        <v>307</v>
      </c>
      <c r="F171" s="52" t="s">
        <v>308</v>
      </c>
      <c r="G171" s="52" t="s">
        <v>309</v>
      </c>
      <c r="H171" s="52" t="s">
        <v>310</v>
      </c>
    </row>
    <row r="172" spans="1:8">
      <c r="A172" s="768"/>
      <c r="B172" s="768"/>
      <c r="C172" s="768"/>
      <c r="D172" s="768"/>
      <c r="E172" s="768"/>
      <c r="F172" s="768"/>
      <c r="G172" s="354" t="s">
        <v>1289</v>
      </c>
      <c r="H172" s="354" t="s">
        <v>1300</v>
      </c>
    </row>
    <row r="173" spans="1:8">
      <c r="A173" s="768"/>
      <c r="B173" s="768"/>
      <c r="C173" s="379" t="s">
        <v>1280</v>
      </c>
      <c r="D173" s="768"/>
      <c r="E173" s="768"/>
      <c r="F173" s="768"/>
      <c r="G173" s="10"/>
      <c r="H173" s="1020" t="s">
        <v>1301</v>
      </c>
    </row>
    <row r="174" spans="1:8">
      <c r="A174" s="768"/>
      <c r="B174" s="768"/>
      <c r="C174" s="379" t="s">
        <v>343</v>
      </c>
      <c r="D174" s="768"/>
      <c r="E174" s="379" t="s">
        <v>771</v>
      </c>
      <c r="F174" s="379" t="s">
        <v>1302</v>
      </c>
      <c r="G174" s="379" t="s">
        <v>1303</v>
      </c>
      <c r="H174" s="379" t="s">
        <v>814</v>
      </c>
    </row>
    <row r="175" spans="1:8">
      <c r="A175" s="768"/>
      <c r="B175" s="768"/>
      <c r="C175" s="13" t="s">
        <v>342</v>
      </c>
      <c r="D175" s="13" t="s">
        <v>343</v>
      </c>
      <c r="E175" s="2" t="s">
        <v>1304</v>
      </c>
      <c r="F175" s="2" t="s">
        <v>40</v>
      </c>
      <c r="G175" s="2" t="s">
        <v>1270</v>
      </c>
      <c r="H175" s="2" t="s">
        <v>1294</v>
      </c>
    </row>
    <row r="176" spans="1:8">
      <c r="A176" s="379">
        <f>A169+1</f>
        <v>92</v>
      </c>
      <c r="B176" s="768"/>
      <c r="C176" s="326" t="s">
        <v>350</v>
      </c>
      <c r="D176" s="859">
        <v>2017</v>
      </c>
      <c r="E176" s="787">
        <v>0</v>
      </c>
      <c r="F176" s="787">
        <v>0</v>
      </c>
      <c r="G176" s="5">
        <f t="shared" ref="G176:G188" si="19">E176-F176</f>
        <v>0</v>
      </c>
      <c r="H176" s="5">
        <f>E176-E176</f>
        <v>0</v>
      </c>
    </row>
    <row r="177" spans="1:8">
      <c r="A177" s="379">
        <f>A176+1</f>
        <v>93</v>
      </c>
      <c r="B177" s="768"/>
      <c r="C177" s="326" t="s">
        <v>352</v>
      </c>
      <c r="D177" s="437">
        <v>2018</v>
      </c>
      <c r="E177" s="787">
        <v>0</v>
      </c>
      <c r="F177" s="787">
        <v>0</v>
      </c>
      <c r="G177" s="5">
        <f t="shared" si="19"/>
        <v>0</v>
      </c>
      <c r="H177" s="5">
        <f>E177-E176</f>
        <v>0</v>
      </c>
    </row>
    <row r="178" spans="1:8">
      <c r="A178" s="379">
        <f t="shared" ref="A178:A188" si="20">A177+1</f>
        <v>94</v>
      </c>
      <c r="B178" s="768"/>
      <c r="C178" s="324" t="s">
        <v>353</v>
      </c>
      <c r="D178" s="437">
        <v>2018</v>
      </c>
      <c r="E178" s="787">
        <v>0</v>
      </c>
      <c r="F178" s="787">
        <v>0</v>
      </c>
      <c r="G178" s="5">
        <f t="shared" si="19"/>
        <v>0</v>
      </c>
      <c r="H178" s="5">
        <f t="shared" ref="H178:H188" si="21">E178-E177</f>
        <v>0</v>
      </c>
    </row>
    <row r="179" spans="1:8">
      <c r="A179" s="379">
        <f t="shared" si="20"/>
        <v>95</v>
      </c>
      <c r="B179" s="768"/>
      <c r="C179" s="324" t="s">
        <v>354</v>
      </c>
      <c r="D179" s="437">
        <v>2018</v>
      </c>
      <c r="E179" s="787">
        <v>0</v>
      </c>
      <c r="F179" s="787">
        <v>0</v>
      </c>
      <c r="G179" s="5">
        <f t="shared" si="19"/>
        <v>0</v>
      </c>
      <c r="H179" s="5">
        <f t="shared" si="21"/>
        <v>0</v>
      </c>
    </row>
    <row r="180" spans="1:8">
      <c r="A180" s="379">
        <f t="shared" si="20"/>
        <v>96</v>
      </c>
      <c r="B180" s="768"/>
      <c r="C180" s="326" t="s">
        <v>355</v>
      </c>
      <c r="D180" s="437">
        <v>2018</v>
      </c>
      <c r="E180" s="787">
        <v>0</v>
      </c>
      <c r="F180" s="787">
        <v>0</v>
      </c>
      <c r="G180" s="5">
        <f t="shared" si="19"/>
        <v>0</v>
      </c>
      <c r="H180" s="5">
        <f t="shared" si="21"/>
        <v>0</v>
      </c>
    </row>
    <row r="181" spans="1:8">
      <c r="A181" s="379">
        <f t="shared" si="20"/>
        <v>97</v>
      </c>
      <c r="B181" s="768"/>
      <c r="C181" s="324" t="s">
        <v>356</v>
      </c>
      <c r="D181" s="437">
        <v>2018</v>
      </c>
      <c r="E181" s="787">
        <v>0</v>
      </c>
      <c r="F181" s="787">
        <v>0</v>
      </c>
      <c r="G181" s="5">
        <f t="shared" si="19"/>
        <v>0</v>
      </c>
      <c r="H181" s="5">
        <f t="shared" si="21"/>
        <v>0</v>
      </c>
    </row>
    <row r="182" spans="1:8">
      <c r="A182" s="379">
        <f t="shared" si="20"/>
        <v>98</v>
      </c>
      <c r="B182" s="768"/>
      <c r="C182" s="324" t="s">
        <v>357</v>
      </c>
      <c r="D182" s="437">
        <v>2018</v>
      </c>
      <c r="E182" s="787">
        <v>0</v>
      </c>
      <c r="F182" s="787">
        <v>0</v>
      </c>
      <c r="G182" s="5">
        <f t="shared" si="19"/>
        <v>0</v>
      </c>
      <c r="H182" s="5">
        <f t="shared" si="21"/>
        <v>0</v>
      </c>
    </row>
    <row r="183" spans="1:8">
      <c r="A183" s="379">
        <f t="shared" si="20"/>
        <v>99</v>
      </c>
      <c r="B183" s="768"/>
      <c r="C183" s="326" t="s">
        <v>358</v>
      </c>
      <c r="D183" s="437">
        <v>2018</v>
      </c>
      <c r="E183" s="787">
        <v>0</v>
      </c>
      <c r="F183" s="787">
        <v>0</v>
      </c>
      <c r="G183" s="5">
        <f t="shared" si="19"/>
        <v>0</v>
      </c>
      <c r="H183" s="5">
        <f t="shared" si="21"/>
        <v>0</v>
      </c>
    </row>
    <row r="184" spans="1:8">
      <c r="A184" s="379">
        <f t="shared" si="20"/>
        <v>100</v>
      </c>
      <c r="B184" s="768"/>
      <c r="C184" s="324" t="s">
        <v>359</v>
      </c>
      <c r="D184" s="437">
        <v>2018</v>
      </c>
      <c r="E184" s="787">
        <v>0</v>
      </c>
      <c r="F184" s="787">
        <v>0</v>
      </c>
      <c r="G184" s="5">
        <f t="shared" si="19"/>
        <v>0</v>
      </c>
      <c r="H184" s="5">
        <f t="shared" si="21"/>
        <v>0</v>
      </c>
    </row>
    <row r="185" spans="1:8">
      <c r="A185" s="379">
        <f t="shared" si="20"/>
        <v>101</v>
      </c>
      <c r="B185" s="768"/>
      <c r="C185" s="324" t="s">
        <v>360</v>
      </c>
      <c r="D185" s="437">
        <v>2018</v>
      </c>
      <c r="E185" s="787">
        <v>0</v>
      </c>
      <c r="F185" s="787">
        <v>0</v>
      </c>
      <c r="G185" s="5">
        <f t="shared" si="19"/>
        <v>0</v>
      </c>
      <c r="H185" s="5">
        <f t="shared" si="21"/>
        <v>0</v>
      </c>
    </row>
    <row r="186" spans="1:8">
      <c r="A186" s="379">
        <f t="shared" si="20"/>
        <v>102</v>
      </c>
      <c r="B186" s="768"/>
      <c r="C186" s="326" t="s">
        <v>1070</v>
      </c>
      <c r="D186" s="437">
        <v>2018</v>
      </c>
      <c r="E186" s="787">
        <v>0</v>
      </c>
      <c r="F186" s="787">
        <v>0</v>
      </c>
      <c r="G186" s="5">
        <f t="shared" si="19"/>
        <v>0</v>
      </c>
      <c r="H186" s="5">
        <f t="shared" si="21"/>
        <v>0</v>
      </c>
    </row>
    <row r="187" spans="1:8">
      <c r="A187" s="379">
        <f t="shared" si="20"/>
        <v>103</v>
      </c>
      <c r="B187" s="768"/>
      <c r="C187" s="326" t="s">
        <v>362</v>
      </c>
      <c r="D187" s="437">
        <v>2018</v>
      </c>
      <c r="E187" s="787">
        <v>0</v>
      </c>
      <c r="F187" s="787">
        <v>0</v>
      </c>
      <c r="G187" s="5">
        <f t="shared" si="19"/>
        <v>0</v>
      </c>
      <c r="H187" s="5">
        <f t="shared" si="21"/>
        <v>0</v>
      </c>
    </row>
    <row r="188" spans="1:8">
      <c r="A188" s="379">
        <f t="shared" si="20"/>
        <v>104</v>
      </c>
      <c r="B188" s="768"/>
      <c r="C188" s="326" t="s">
        <v>350</v>
      </c>
      <c r="D188" s="437">
        <v>2018</v>
      </c>
      <c r="E188" s="787">
        <v>0</v>
      </c>
      <c r="F188" s="787">
        <v>0</v>
      </c>
      <c r="G188" s="5">
        <f t="shared" si="19"/>
        <v>0</v>
      </c>
      <c r="H188" s="5">
        <f t="shared" si="21"/>
        <v>0</v>
      </c>
    </row>
    <row r="190" spans="1:8">
      <c r="A190" s="768"/>
      <c r="B190" s="768"/>
      <c r="C190" s="115" t="s">
        <v>1308</v>
      </c>
      <c r="D190" s="768"/>
      <c r="E190" s="52" t="s">
        <v>307</v>
      </c>
      <c r="F190" s="52" t="s">
        <v>308</v>
      </c>
      <c r="G190" s="52" t="s">
        <v>309</v>
      </c>
      <c r="H190" s="52" t="s">
        <v>310</v>
      </c>
    </row>
    <row r="191" spans="1:8">
      <c r="A191" s="768"/>
      <c r="B191" s="768"/>
      <c r="C191" s="768"/>
      <c r="D191" s="768"/>
      <c r="E191" s="768"/>
      <c r="F191" s="768"/>
      <c r="G191" s="354" t="s">
        <v>1289</v>
      </c>
      <c r="H191" s="354" t="s">
        <v>1300</v>
      </c>
    </row>
    <row r="192" spans="1:8">
      <c r="A192" s="768"/>
      <c r="B192" s="768"/>
      <c r="C192" s="379" t="s">
        <v>1280</v>
      </c>
      <c r="D192" s="768"/>
      <c r="E192" s="768"/>
      <c r="F192" s="768"/>
      <c r="G192" s="10"/>
      <c r="H192" s="1020" t="s">
        <v>1301</v>
      </c>
    </row>
    <row r="193" spans="1:8">
      <c r="A193" s="768"/>
      <c r="B193" s="768"/>
      <c r="C193" s="379" t="s">
        <v>343</v>
      </c>
      <c r="D193" s="768"/>
      <c r="E193" s="379" t="s">
        <v>771</v>
      </c>
      <c r="F193" s="379" t="s">
        <v>1302</v>
      </c>
      <c r="G193" s="379" t="s">
        <v>1303</v>
      </c>
      <c r="H193" s="379" t="s">
        <v>814</v>
      </c>
    </row>
    <row r="194" spans="1:8">
      <c r="A194" s="768"/>
      <c r="B194" s="768"/>
      <c r="C194" s="13" t="s">
        <v>342</v>
      </c>
      <c r="D194" s="13" t="s">
        <v>343</v>
      </c>
      <c r="E194" s="2" t="s">
        <v>1304</v>
      </c>
      <c r="F194" s="2" t="s">
        <v>40</v>
      </c>
      <c r="G194" s="2" t="s">
        <v>1270</v>
      </c>
      <c r="H194" s="2" t="s">
        <v>1294</v>
      </c>
    </row>
    <row r="195" spans="1:8">
      <c r="A195" s="379">
        <f>A188+1</f>
        <v>105</v>
      </c>
      <c r="B195" s="768"/>
      <c r="C195" s="326" t="s">
        <v>350</v>
      </c>
      <c r="D195" s="859">
        <v>2017</v>
      </c>
      <c r="E195" s="787">
        <v>0</v>
      </c>
      <c r="F195" s="787">
        <v>0</v>
      </c>
      <c r="G195" s="5">
        <f t="shared" ref="G195:G207" si="22">E195-F195</f>
        <v>0</v>
      </c>
      <c r="H195" s="5">
        <f>E195-E195</f>
        <v>0</v>
      </c>
    </row>
    <row r="196" spans="1:8">
      <c r="A196" s="379">
        <f>A195+1</f>
        <v>106</v>
      </c>
      <c r="B196" s="768"/>
      <c r="C196" s="326" t="s">
        <v>352</v>
      </c>
      <c r="D196" s="437">
        <v>2018</v>
      </c>
      <c r="E196" s="787">
        <v>0</v>
      </c>
      <c r="F196" s="787">
        <v>0</v>
      </c>
      <c r="G196" s="5">
        <f t="shared" si="22"/>
        <v>0</v>
      </c>
      <c r="H196" s="5">
        <f>E196-E195</f>
        <v>0</v>
      </c>
    </row>
    <row r="197" spans="1:8">
      <c r="A197" s="379">
        <f t="shared" ref="A197:A207" si="23">A196+1</f>
        <v>107</v>
      </c>
      <c r="B197" s="768"/>
      <c r="C197" s="324" t="s">
        <v>353</v>
      </c>
      <c r="D197" s="437">
        <v>2018</v>
      </c>
      <c r="E197" s="787">
        <v>0</v>
      </c>
      <c r="F197" s="787">
        <v>0</v>
      </c>
      <c r="G197" s="5">
        <f t="shared" si="22"/>
        <v>0</v>
      </c>
      <c r="H197" s="5">
        <f t="shared" ref="H197:H207" si="24">E197-E196</f>
        <v>0</v>
      </c>
    </row>
    <row r="198" spans="1:8">
      <c r="A198" s="379">
        <f t="shared" si="23"/>
        <v>108</v>
      </c>
      <c r="B198" s="768"/>
      <c r="C198" s="324" t="s">
        <v>354</v>
      </c>
      <c r="D198" s="437">
        <v>2018</v>
      </c>
      <c r="E198" s="787">
        <v>0</v>
      </c>
      <c r="F198" s="787">
        <v>0</v>
      </c>
      <c r="G198" s="5">
        <f t="shared" si="22"/>
        <v>0</v>
      </c>
      <c r="H198" s="5">
        <f t="shared" si="24"/>
        <v>0</v>
      </c>
    </row>
    <row r="199" spans="1:8">
      <c r="A199" s="379">
        <f t="shared" si="23"/>
        <v>109</v>
      </c>
      <c r="B199" s="768"/>
      <c r="C199" s="326" t="s">
        <v>355</v>
      </c>
      <c r="D199" s="437">
        <v>2018</v>
      </c>
      <c r="E199" s="787">
        <v>0</v>
      </c>
      <c r="F199" s="787">
        <v>0</v>
      </c>
      <c r="G199" s="5">
        <f t="shared" si="22"/>
        <v>0</v>
      </c>
      <c r="H199" s="5">
        <f t="shared" si="24"/>
        <v>0</v>
      </c>
    </row>
    <row r="200" spans="1:8">
      <c r="A200" s="379">
        <f t="shared" si="23"/>
        <v>110</v>
      </c>
      <c r="B200" s="768"/>
      <c r="C200" s="324" t="s">
        <v>356</v>
      </c>
      <c r="D200" s="437">
        <v>2018</v>
      </c>
      <c r="E200" s="787">
        <v>0</v>
      </c>
      <c r="F200" s="787">
        <v>0</v>
      </c>
      <c r="G200" s="5">
        <f t="shared" si="22"/>
        <v>0</v>
      </c>
      <c r="H200" s="5">
        <f t="shared" si="24"/>
        <v>0</v>
      </c>
    </row>
    <row r="201" spans="1:8">
      <c r="A201" s="379">
        <f t="shared" si="23"/>
        <v>111</v>
      </c>
      <c r="B201" s="768"/>
      <c r="C201" s="324" t="s">
        <v>357</v>
      </c>
      <c r="D201" s="437">
        <v>2018</v>
      </c>
      <c r="E201" s="787">
        <v>0</v>
      </c>
      <c r="F201" s="787">
        <v>0</v>
      </c>
      <c r="G201" s="5">
        <f t="shared" si="22"/>
        <v>0</v>
      </c>
      <c r="H201" s="5">
        <f t="shared" si="24"/>
        <v>0</v>
      </c>
    </row>
    <row r="202" spans="1:8">
      <c r="A202" s="379">
        <f t="shared" si="23"/>
        <v>112</v>
      </c>
      <c r="B202" s="768"/>
      <c r="C202" s="326" t="s">
        <v>358</v>
      </c>
      <c r="D202" s="437">
        <v>2018</v>
      </c>
      <c r="E202" s="787">
        <v>0</v>
      </c>
      <c r="F202" s="787">
        <v>0</v>
      </c>
      <c r="G202" s="5">
        <f t="shared" si="22"/>
        <v>0</v>
      </c>
      <c r="H202" s="5">
        <f t="shared" si="24"/>
        <v>0</v>
      </c>
    </row>
    <row r="203" spans="1:8">
      <c r="A203" s="379">
        <f t="shared" si="23"/>
        <v>113</v>
      </c>
      <c r="B203" s="768"/>
      <c r="C203" s="324" t="s">
        <v>359</v>
      </c>
      <c r="D203" s="437">
        <v>2018</v>
      </c>
      <c r="E203" s="787">
        <v>3026396.55</v>
      </c>
      <c r="F203" s="787">
        <v>0</v>
      </c>
      <c r="G203" s="5">
        <f t="shared" si="22"/>
        <v>3026396.55</v>
      </c>
      <c r="H203" s="5">
        <f t="shared" si="24"/>
        <v>3026396.55</v>
      </c>
    </row>
    <row r="204" spans="1:8">
      <c r="A204" s="379">
        <f t="shared" si="23"/>
        <v>114</v>
      </c>
      <c r="B204" s="768"/>
      <c r="C204" s="324" t="s">
        <v>360</v>
      </c>
      <c r="D204" s="437">
        <v>2018</v>
      </c>
      <c r="E204" s="787">
        <v>3026221.6599999997</v>
      </c>
      <c r="F204" s="787">
        <v>6229.332898749999</v>
      </c>
      <c r="G204" s="5">
        <f t="shared" si="22"/>
        <v>3019992.3271012497</v>
      </c>
      <c r="H204" s="5">
        <f t="shared" si="24"/>
        <v>-174.89000000013039</v>
      </c>
    </row>
    <row r="205" spans="1:8">
      <c r="A205" s="379">
        <f t="shared" si="23"/>
        <v>115</v>
      </c>
      <c r="B205" s="768"/>
      <c r="C205" s="326" t="s">
        <v>1070</v>
      </c>
      <c r="D205" s="437">
        <v>2018</v>
      </c>
      <c r="E205" s="787">
        <v>3041795.9499999997</v>
      </c>
      <c r="F205" s="787">
        <v>12458.305815583333</v>
      </c>
      <c r="G205" s="5">
        <f t="shared" si="22"/>
        <v>3029337.6441844162</v>
      </c>
      <c r="H205" s="5">
        <f t="shared" si="24"/>
        <v>15574.290000000037</v>
      </c>
    </row>
    <row r="206" spans="1:8">
      <c r="A206" s="379">
        <f t="shared" si="23"/>
        <v>116</v>
      </c>
      <c r="B206" s="768"/>
      <c r="C206" s="326" t="s">
        <v>362</v>
      </c>
      <c r="D206" s="437">
        <v>2018</v>
      </c>
      <c r="E206" s="787">
        <v>3043059.44</v>
      </c>
      <c r="F206" s="787">
        <v>18719.335812666664</v>
      </c>
      <c r="G206" s="5">
        <f t="shared" si="22"/>
        <v>3024340.1041873335</v>
      </c>
      <c r="H206" s="5">
        <f t="shared" si="24"/>
        <v>1263.4900000002235</v>
      </c>
    </row>
    <row r="207" spans="1:8">
      <c r="A207" s="379">
        <f t="shared" si="23"/>
        <v>117</v>
      </c>
      <c r="B207" s="768"/>
      <c r="C207" s="326" t="s">
        <v>350</v>
      </c>
      <c r="D207" s="437">
        <v>2018</v>
      </c>
      <c r="E207" s="787">
        <v>3046911.14</v>
      </c>
      <c r="F207" s="787">
        <v>24982.966493333333</v>
      </c>
      <c r="G207" s="5">
        <f t="shared" si="22"/>
        <v>3021928.1735066669</v>
      </c>
      <c r="H207" s="5">
        <f t="shared" si="24"/>
        <v>3851.7000000001863</v>
      </c>
    </row>
    <row r="209" spans="1:8">
      <c r="A209" s="768"/>
      <c r="B209" s="768"/>
      <c r="C209" s="115" t="s">
        <v>1309</v>
      </c>
      <c r="D209" s="768"/>
      <c r="E209" s="52" t="s">
        <v>307</v>
      </c>
      <c r="F209" s="52" t="s">
        <v>308</v>
      </c>
      <c r="G209" s="52" t="s">
        <v>309</v>
      </c>
      <c r="H209" s="52" t="s">
        <v>310</v>
      </c>
    </row>
    <row r="210" spans="1:8">
      <c r="A210" s="768"/>
      <c r="B210" s="768"/>
      <c r="C210" s="768"/>
      <c r="D210" s="768"/>
      <c r="E210" s="768"/>
      <c r="F210" s="768"/>
      <c r="G210" s="354" t="s">
        <v>1289</v>
      </c>
      <c r="H210" s="354" t="s">
        <v>1300</v>
      </c>
    </row>
    <row r="211" spans="1:8">
      <c r="A211" s="768"/>
      <c r="B211" s="768"/>
      <c r="C211" s="379" t="s">
        <v>1280</v>
      </c>
      <c r="D211" s="768"/>
      <c r="E211" s="768"/>
      <c r="F211" s="768"/>
      <c r="G211" s="10"/>
      <c r="H211" s="1020" t="s">
        <v>1301</v>
      </c>
    </row>
    <row r="212" spans="1:8">
      <c r="A212" s="768"/>
      <c r="B212" s="768"/>
      <c r="C212" s="379" t="s">
        <v>343</v>
      </c>
      <c r="D212" s="768"/>
      <c r="E212" s="379" t="s">
        <v>771</v>
      </c>
      <c r="F212" s="379" t="s">
        <v>1302</v>
      </c>
      <c r="G212" s="379" t="s">
        <v>1303</v>
      </c>
      <c r="H212" s="379" t="s">
        <v>814</v>
      </c>
    </row>
    <row r="213" spans="1:8">
      <c r="A213" s="768"/>
      <c r="B213" s="768"/>
      <c r="C213" s="13" t="s">
        <v>342</v>
      </c>
      <c r="D213" s="13" t="s">
        <v>343</v>
      </c>
      <c r="E213" s="2" t="s">
        <v>1304</v>
      </c>
      <c r="F213" s="2" t="s">
        <v>40</v>
      </c>
      <c r="G213" s="2" t="s">
        <v>1270</v>
      </c>
      <c r="H213" s="2" t="s">
        <v>1294</v>
      </c>
    </row>
    <row r="214" spans="1:8">
      <c r="A214" s="379">
        <f>A207+1</f>
        <v>118</v>
      </c>
      <c r="B214" s="768"/>
      <c r="C214" s="326" t="s">
        <v>350</v>
      </c>
      <c r="D214" s="859">
        <v>2017</v>
      </c>
      <c r="E214" s="787">
        <v>235653723.16999993</v>
      </c>
      <c r="F214" s="787">
        <v>25546854.443795744</v>
      </c>
      <c r="G214" s="5">
        <f t="shared" ref="G214:G226" si="25">E214-F214</f>
        <v>210106868.72620419</v>
      </c>
      <c r="H214" s="5">
        <f>E214-E214</f>
        <v>0</v>
      </c>
    </row>
    <row r="215" spans="1:8">
      <c r="A215" s="379">
        <f>A214+1</f>
        <v>119</v>
      </c>
      <c r="B215" s="768"/>
      <c r="C215" s="326" t="s">
        <v>352</v>
      </c>
      <c r="D215" s="437">
        <v>2018</v>
      </c>
      <c r="E215" s="787">
        <v>235653723.16999993</v>
      </c>
      <c r="F215" s="787">
        <v>26043605.020566911</v>
      </c>
      <c r="G215" s="5">
        <f t="shared" si="25"/>
        <v>209610118.14943302</v>
      </c>
      <c r="H215" s="5">
        <f>E215-E214</f>
        <v>0</v>
      </c>
    </row>
    <row r="216" spans="1:8">
      <c r="A216" s="379">
        <f t="shared" ref="A216:A226" si="26">A215+1</f>
        <v>120</v>
      </c>
      <c r="B216" s="768"/>
      <c r="C216" s="324" t="s">
        <v>353</v>
      </c>
      <c r="D216" s="437">
        <v>2018</v>
      </c>
      <c r="E216" s="787">
        <v>235653723.16999993</v>
      </c>
      <c r="F216" s="787">
        <v>26540355.597338077</v>
      </c>
      <c r="G216" s="5">
        <f t="shared" si="25"/>
        <v>209113367.57266185</v>
      </c>
      <c r="H216" s="5">
        <f t="shared" ref="H216:H226" si="27">E216-E215</f>
        <v>0</v>
      </c>
    </row>
    <row r="217" spans="1:8">
      <c r="A217" s="379">
        <f t="shared" si="26"/>
        <v>121</v>
      </c>
      <c r="B217" s="768"/>
      <c r="C217" s="324" t="s">
        <v>354</v>
      </c>
      <c r="D217" s="437">
        <v>2018</v>
      </c>
      <c r="E217" s="787">
        <v>235653723.16999993</v>
      </c>
      <c r="F217" s="787">
        <v>27037106.174109247</v>
      </c>
      <c r="G217" s="5">
        <f t="shared" si="25"/>
        <v>208616616.99589068</v>
      </c>
      <c r="H217" s="5">
        <f t="shared" si="27"/>
        <v>0</v>
      </c>
    </row>
    <row r="218" spans="1:8">
      <c r="A218" s="379">
        <f t="shared" si="26"/>
        <v>122</v>
      </c>
      <c r="B218" s="768"/>
      <c r="C218" s="326" t="s">
        <v>355</v>
      </c>
      <c r="D218" s="437">
        <v>2018</v>
      </c>
      <c r="E218" s="787">
        <v>235653723.16999993</v>
      </c>
      <c r="F218" s="787">
        <v>27533856.750880413</v>
      </c>
      <c r="G218" s="5">
        <f t="shared" si="25"/>
        <v>208119866.41911951</v>
      </c>
      <c r="H218" s="5">
        <f t="shared" si="27"/>
        <v>0</v>
      </c>
    </row>
    <row r="219" spans="1:8">
      <c r="A219" s="379">
        <f t="shared" si="26"/>
        <v>123</v>
      </c>
      <c r="B219" s="768"/>
      <c r="C219" s="324" t="s">
        <v>356</v>
      </c>
      <c r="D219" s="437">
        <v>2018</v>
      </c>
      <c r="E219" s="787">
        <v>235653723.36999995</v>
      </c>
      <c r="F219" s="787">
        <v>28030607.327651583</v>
      </c>
      <c r="G219" s="5">
        <f t="shared" si="25"/>
        <v>207623116.04234836</v>
      </c>
      <c r="H219" s="5">
        <f t="shared" si="27"/>
        <v>0.20000001788139343</v>
      </c>
    </row>
    <row r="220" spans="1:8">
      <c r="A220" s="379">
        <f t="shared" si="26"/>
        <v>124</v>
      </c>
      <c r="B220" s="768"/>
      <c r="C220" s="324" t="s">
        <v>357</v>
      </c>
      <c r="D220" s="437">
        <v>2018</v>
      </c>
      <c r="E220" s="787">
        <v>235653723.36999995</v>
      </c>
      <c r="F220" s="787">
        <v>28527357.90484608</v>
      </c>
      <c r="G220" s="5">
        <f t="shared" si="25"/>
        <v>207126365.46515387</v>
      </c>
      <c r="H220" s="5">
        <f t="shared" si="27"/>
        <v>0</v>
      </c>
    </row>
    <row r="221" spans="1:8">
      <c r="A221" s="379">
        <f t="shared" si="26"/>
        <v>125</v>
      </c>
      <c r="B221" s="768"/>
      <c r="C221" s="326" t="s">
        <v>358</v>
      </c>
      <c r="D221" s="437">
        <v>2018</v>
      </c>
      <c r="E221" s="787">
        <v>235653723.36999995</v>
      </c>
      <c r="F221" s="787">
        <v>29024108.482045576</v>
      </c>
      <c r="G221" s="5">
        <f t="shared" si="25"/>
        <v>206629614.88795435</v>
      </c>
      <c r="H221" s="5">
        <f t="shared" si="27"/>
        <v>0</v>
      </c>
    </row>
    <row r="222" spans="1:8">
      <c r="A222" s="379">
        <f t="shared" si="26"/>
        <v>126</v>
      </c>
      <c r="B222" s="768"/>
      <c r="C222" s="324" t="s">
        <v>359</v>
      </c>
      <c r="D222" s="437">
        <v>2018</v>
      </c>
      <c r="E222" s="787">
        <v>235653723.36999995</v>
      </c>
      <c r="F222" s="787">
        <v>29520859.059245076</v>
      </c>
      <c r="G222" s="5">
        <f t="shared" si="25"/>
        <v>206132864.31075487</v>
      </c>
      <c r="H222" s="5">
        <f t="shared" si="27"/>
        <v>0</v>
      </c>
    </row>
    <row r="223" spans="1:8">
      <c r="A223" s="379">
        <f t="shared" si="26"/>
        <v>127</v>
      </c>
      <c r="B223" s="768"/>
      <c r="C223" s="324" t="s">
        <v>360</v>
      </c>
      <c r="D223" s="437">
        <v>2018</v>
      </c>
      <c r="E223" s="787">
        <v>235653723.36999995</v>
      </c>
      <c r="F223" s="787">
        <v>30017609.636444572</v>
      </c>
      <c r="G223" s="5">
        <f t="shared" si="25"/>
        <v>205636113.73355538</v>
      </c>
      <c r="H223" s="5">
        <f t="shared" si="27"/>
        <v>0</v>
      </c>
    </row>
    <row r="224" spans="1:8">
      <c r="A224" s="379">
        <f t="shared" si="26"/>
        <v>128</v>
      </c>
      <c r="B224" s="768"/>
      <c r="C224" s="326" t="s">
        <v>1070</v>
      </c>
      <c r="D224" s="437">
        <v>2018</v>
      </c>
      <c r="E224" s="787">
        <v>235653784.23999995</v>
      </c>
      <c r="F224" s="787">
        <v>30514360.213644069</v>
      </c>
      <c r="G224" s="5">
        <f t="shared" si="25"/>
        <v>205139424.02635589</v>
      </c>
      <c r="H224" s="5">
        <f t="shared" si="27"/>
        <v>60.870000004768372</v>
      </c>
    </row>
    <row r="225" spans="1:8">
      <c r="A225" s="379">
        <f t="shared" si="26"/>
        <v>129</v>
      </c>
      <c r="B225" s="768"/>
      <c r="C225" s="326" t="s">
        <v>362</v>
      </c>
      <c r="D225" s="437">
        <v>2018</v>
      </c>
      <c r="E225" s="787">
        <v>235653780.98999995</v>
      </c>
      <c r="F225" s="787">
        <v>31011110.921206824</v>
      </c>
      <c r="G225" s="5">
        <f t="shared" si="25"/>
        <v>204642670.06879312</v>
      </c>
      <c r="H225" s="5">
        <f t="shared" si="27"/>
        <v>-3.25</v>
      </c>
    </row>
    <row r="226" spans="1:8">
      <c r="A226" s="379">
        <f t="shared" si="26"/>
        <v>130</v>
      </c>
      <c r="B226" s="768"/>
      <c r="C226" s="326" t="s">
        <v>350</v>
      </c>
      <c r="D226" s="437">
        <v>2018</v>
      </c>
      <c r="E226" s="787">
        <v>235653780.98999995</v>
      </c>
      <c r="F226" s="787">
        <v>31507861.621809158</v>
      </c>
      <c r="G226" s="5">
        <f t="shared" si="25"/>
        <v>204145919.3681908</v>
      </c>
      <c r="H226" s="5">
        <f t="shared" si="27"/>
        <v>0</v>
      </c>
    </row>
    <row r="228" spans="1:8">
      <c r="A228" s="768"/>
      <c r="B228" s="768"/>
      <c r="C228" s="443" t="s">
        <v>1310</v>
      </c>
      <c r="D228" s="768"/>
      <c r="E228" s="768"/>
      <c r="F228" s="768"/>
      <c r="G228" s="768"/>
      <c r="H228" s="52" t="s">
        <v>310</v>
      </c>
    </row>
    <row r="229" spans="1:8">
      <c r="A229" s="768"/>
      <c r="B229" s="768"/>
      <c r="C229" s="768"/>
      <c r="D229" s="768"/>
      <c r="E229" s="52" t="s">
        <v>307</v>
      </c>
      <c r="F229" s="52" t="s">
        <v>308</v>
      </c>
      <c r="G229" s="200" t="s">
        <v>309</v>
      </c>
      <c r="H229" s="354" t="s">
        <v>1300</v>
      </c>
    </row>
    <row r="230" spans="1:8">
      <c r="A230" s="768"/>
      <c r="B230" s="768"/>
      <c r="C230" s="379" t="s">
        <v>1280</v>
      </c>
      <c r="D230" s="768"/>
      <c r="E230" s="768"/>
      <c r="F230" s="768"/>
      <c r="G230" s="354" t="s">
        <v>1289</v>
      </c>
      <c r="H230" s="1020" t="s">
        <v>1301</v>
      </c>
    </row>
    <row r="231" spans="1:8">
      <c r="A231" s="768"/>
      <c r="B231" s="768"/>
      <c r="C231" s="379" t="s">
        <v>343</v>
      </c>
      <c r="D231" s="768"/>
      <c r="E231" s="379" t="s">
        <v>771</v>
      </c>
      <c r="F231" s="379" t="s">
        <v>1302</v>
      </c>
      <c r="G231" s="379" t="s">
        <v>1303</v>
      </c>
      <c r="H231" s="379" t="s">
        <v>814</v>
      </c>
    </row>
    <row r="232" spans="1:8">
      <c r="A232" s="768"/>
      <c r="B232" s="768"/>
      <c r="C232" s="13" t="s">
        <v>342</v>
      </c>
      <c r="D232" s="13" t="s">
        <v>343</v>
      </c>
      <c r="E232" s="2" t="s">
        <v>1304</v>
      </c>
      <c r="F232" s="2" t="s">
        <v>40</v>
      </c>
      <c r="G232" s="2" t="s">
        <v>1270</v>
      </c>
      <c r="H232" s="2" t="s">
        <v>1294</v>
      </c>
    </row>
    <row r="233" spans="1:8">
      <c r="A233" s="379">
        <f>A226+1</f>
        <v>131</v>
      </c>
      <c r="B233" s="768"/>
      <c r="C233" s="326" t="s">
        <v>350</v>
      </c>
      <c r="D233" s="859">
        <v>2017</v>
      </c>
      <c r="E233" s="787">
        <v>87531655.490000039</v>
      </c>
      <c r="F233" s="787">
        <v>4897104.8798991675</v>
      </c>
      <c r="G233" s="5">
        <f t="shared" ref="G233:G245" si="28">E233-F233</f>
        <v>82634550.610100865</v>
      </c>
      <c r="H233" s="5">
        <f>E233-E233</f>
        <v>0</v>
      </c>
    </row>
    <row r="234" spans="1:8">
      <c r="A234" s="379">
        <f>A233+1</f>
        <v>132</v>
      </c>
      <c r="B234" s="768"/>
      <c r="C234" s="326" t="s">
        <v>352</v>
      </c>
      <c r="D234" s="437">
        <v>2018</v>
      </c>
      <c r="E234" s="787">
        <v>87544339.050000042</v>
      </c>
      <c r="F234" s="787">
        <v>5077374.9692577515</v>
      </c>
      <c r="G234" s="5">
        <f t="shared" si="28"/>
        <v>82466964.080742285</v>
      </c>
      <c r="H234" s="5">
        <f>E234-E233</f>
        <v>12683.560000002384</v>
      </c>
    </row>
    <row r="235" spans="1:8">
      <c r="A235" s="379">
        <f t="shared" ref="A235:A245" si="29">A234+1</f>
        <v>133</v>
      </c>
      <c r="B235" s="768"/>
      <c r="C235" s="324" t="s">
        <v>353</v>
      </c>
      <c r="D235" s="437">
        <v>2018</v>
      </c>
      <c r="E235" s="787">
        <v>87551177.590000033</v>
      </c>
      <c r="F235" s="787">
        <v>5257671.1723890007</v>
      </c>
      <c r="G235" s="5">
        <f t="shared" si="28"/>
        <v>82293506.417611033</v>
      </c>
      <c r="H235" s="5">
        <f t="shared" ref="H235:H245" si="30">E235-E234</f>
        <v>6838.5399999916553</v>
      </c>
    </row>
    <row r="236" spans="1:8">
      <c r="A236" s="379">
        <f t="shared" si="29"/>
        <v>134</v>
      </c>
      <c r="B236" s="768"/>
      <c r="C236" s="324" t="s">
        <v>354</v>
      </c>
      <c r="D236" s="437">
        <v>2018</v>
      </c>
      <c r="E236" s="787">
        <v>87558239.64000003</v>
      </c>
      <c r="F236" s="787">
        <v>5437981.4546850845</v>
      </c>
      <c r="G236" s="5">
        <f t="shared" si="28"/>
        <v>82120258.185314953</v>
      </c>
      <c r="H236" s="5">
        <f t="shared" si="30"/>
        <v>7062.0499999970198</v>
      </c>
    </row>
    <row r="237" spans="1:8">
      <c r="A237" s="379">
        <f t="shared" si="29"/>
        <v>135</v>
      </c>
      <c r="B237" s="768"/>
      <c r="C237" s="326" t="s">
        <v>355</v>
      </c>
      <c r="D237" s="437">
        <v>2018</v>
      </c>
      <c r="E237" s="787">
        <v>87558733.410000026</v>
      </c>
      <c r="F237" s="787">
        <v>5618306.2768949177</v>
      </c>
      <c r="G237" s="5">
        <f t="shared" si="28"/>
        <v>81940427.133105114</v>
      </c>
      <c r="H237" s="5">
        <f t="shared" si="30"/>
        <v>493.76999999582767</v>
      </c>
    </row>
    <row r="238" spans="1:8">
      <c r="A238" s="379">
        <f t="shared" si="29"/>
        <v>136</v>
      </c>
      <c r="B238" s="768"/>
      <c r="C238" s="324" t="s">
        <v>356</v>
      </c>
      <c r="D238" s="437">
        <v>2018</v>
      </c>
      <c r="E238" s="787">
        <v>87567792.270000026</v>
      </c>
      <c r="F238" s="787">
        <v>5798632.1154479999</v>
      </c>
      <c r="G238" s="5">
        <f t="shared" si="28"/>
        <v>81769160.154552028</v>
      </c>
      <c r="H238" s="5">
        <f t="shared" si="30"/>
        <v>9058.859999999404</v>
      </c>
    </row>
    <row r="239" spans="1:8">
      <c r="A239" s="379">
        <f t="shared" si="29"/>
        <v>137</v>
      </c>
      <c r="B239" s="768"/>
      <c r="C239" s="324" t="s">
        <v>357</v>
      </c>
      <c r="D239" s="437">
        <v>2018</v>
      </c>
      <c r="E239" s="787">
        <v>87585661.410000026</v>
      </c>
      <c r="F239" s="787">
        <v>5978976.603578751</v>
      </c>
      <c r="G239" s="5">
        <f t="shared" si="28"/>
        <v>81606684.80642128</v>
      </c>
      <c r="H239" s="5">
        <f t="shared" si="30"/>
        <v>17869.140000000596</v>
      </c>
    </row>
    <row r="240" spans="1:8">
      <c r="A240" s="379">
        <f t="shared" si="29"/>
        <v>138</v>
      </c>
      <c r="B240" s="768"/>
      <c r="C240" s="326" t="s">
        <v>358</v>
      </c>
      <c r="D240" s="437">
        <v>2018</v>
      </c>
      <c r="E240" s="787">
        <v>87554471.420000032</v>
      </c>
      <c r="F240" s="787">
        <v>6159357.8795426674</v>
      </c>
      <c r="G240" s="5">
        <f t="shared" si="28"/>
        <v>81395113.540457368</v>
      </c>
      <c r="H240" s="5">
        <f t="shared" si="30"/>
        <v>-31189.989999994636</v>
      </c>
    </row>
    <row r="241" spans="1:8">
      <c r="A241" s="379">
        <f t="shared" si="29"/>
        <v>139</v>
      </c>
      <c r="B241" s="768"/>
      <c r="C241" s="324" t="s">
        <v>359</v>
      </c>
      <c r="D241" s="437">
        <v>2018</v>
      </c>
      <c r="E241" s="787">
        <v>87554226.38000004</v>
      </c>
      <c r="F241" s="787">
        <v>6339674.9382730005</v>
      </c>
      <c r="G241" s="5">
        <f t="shared" si="28"/>
        <v>81214551.441727042</v>
      </c>
      <c r="H241" s="5">
        <f t="shared" si="30"/>
        <v>-245.03999999165535</v>
      </c>
    </row>
    <row r="242" spans="1:8">
      <c r="A242" s="379">
        <f t="shared" si="29"/>
        <v>140</v>
      </c>
      <c r="B242" s="768"/>
      <c r="C242" s="324" t="s">
        <v>360</v>
      </c>
      <c r="D242" s="437">
        <v>2018</v>
      </c>
      <c r="E242" s="787">
        <v>87560373.620000035</v>
      </c>
      <c r="F242" s="787">
        <v>6519991.4927110001</v>
      </c>
      <c r="G242" s="5">
        <f t="shared" si="28"/>
        <v>81040382.127289027</v>
      </c>
      <c r="H242" s="5">
        <f t="shared" si="30"/>
        <v>6147.2399999946356</v>
      </c>
    </row>
    <row r="243" spans="1:8">
      <c r="A243" s="379">
        <f t="shared" si="29"/>
        <v>141</v>
      </c>
      <c r="B243" s="768"/>
      <c r="C243" s="326" t="s">
        <v>1070</v>
      </c>
      <c r="D243" s="437">
        <v>2018</v>
      </c>
      <c r="E243" s="787">
        <v>87573156.310000032</v>
      </c>
      <c r="F243" s="787">
        <v>6700320.7002180004</v>
      </c>
      <c r="G243" s="5">
        <f t="shared" si="28"/>
        <v>80872835.609782025</v>
      </c>
      <c r="H243" s="5">
        <f t="shared" si="30"/>
        <v>12782.689999997616</v>
      </c>
    </row>
    <row r="244" spans="1:8">
      <c r="A244" s="379">
        <f t="shared" si="29"/>
        <v>142</v>
      </c>
      <c r="B244" s="768"/>
      <c r="C244" s="326" t="s">
        <v>362</v>
      </c>
      <c r="D244" s="437">
        <v>2018</v>
      </c>
      <c r="E244" s="787">
        <v>87571819.89000003</v>
      </c>
      <c r="F244" s="787">
        <v>6880676.2187619172</v>
      </c>
      <c r="G244" s="5">
        <f t="shared" si="28"/>
        <v>80691143.671238109</v>
      </c>
      <c r="H244" s="5">
        <f t="shared" si="30"/>
        <v>-1336.4200000017881</v>
      </c>
    </row>
    <row r="245" spans="1:8">
      <c r="A245" s="379">
        <f t="shared" si="29"/>
        <v>143</v>
      </c>
      <c r="B245" s="768"/>
      <c r="C245" s="326" t="s">
        <v>350</v>
      </c>
      <c r="D245" s="437">
        <v>2018</v>
      </c>
      <c r="E245" s="787">
        <v>87571819.89000003</v>
      </c>
      <c r="F245" s="787">
        <v>7061028.9865846671</v>
      </c>
      <c r="G245" s="5">
        <f t="shared" si="28"/>
        <v>80510790.903415367</v>
      </c>
      <c r="H245" s="5">
        <f t="shared" si="30"/>
        <v>0</v>
      </c>
    </row>
    <row r="247" spans="1:8">
      <c r="A247" s="768"/>
      <c r="B247" s="768"/>
      <c r="C247" s="115" t="s">
        <v>1311</v>
      </c>
      <c r="D247" s="768"/>
      <c r="E247" s="768"/>
      <c r="F247" s="768"/>
      <c r="G247" s="768"/>
      <c r="H247" s="52" t="s">
        <v>310</v>
      </c>
    </row>
    <row r="248" spans="1:8">
      <c r="A248" s="768"/>
      <c r="B248" s="768"/>
      <c r="C248" s="768"/>
      <c r="D248" s="768"/>
      <c r="E248" s="52" t="s">
        <v>307</v>
      </c>
      <c r="F248" s="52" t="s">
        <v>308</v>
      </c>
      <c r="G248" s="200" t="s">
        <v>309</v>
      </c>
      <c r="H248" s="354" t="s">
        <v>1300</v>
      </c>
    </row>
    <row r="249" spans="1:8">
      <c r="A249" s="768"/>
      <c r="B249" s="768"/>
      <c r="C249" s="379" t="s">
        <v>1280</v>
      </c>
      <c r="D249" s="768"/>
      <c r="E249" s="768"/>
      <c r="F249" s="768"/>
      <c r="G249" s="354" t="s">
        <v>1289</v>
      </c>
      <c r="H249" s="1020" t="s">
        <v>1301</v>
      </c>
    </row>
    <row r="250" spans="1:8">
      <c r="A250" s="768"/>
      <c r="B250" s="768"/>
      <c r="C250" s="379" t="s">
        <v>343</v>
      </c>
      <c r="D250" s="768"/>
      <c r="E250" s="379" t="s">
        <v>771</v>
      </c>
      <c r="F250" s="379" t="s">
        <v>1302</v>
      </c>
      <c r="G250" s="379" t="s">
        <v>1303</v>
      </c>
      <c r="H250" s="379" t="s">
        <v>814</v>
      </c>
    </row>
    <row r="251" spans="1:8">
      <c r="A251" s="768"/>
      <c r="B251" s="768"/>
      <c r="C251" s="13" t="s">
        <v>342</v>
      </c>
      <c r="D251" s="13" t="s">
        <v>343</v>
      </c>
      <c r="E251" s="2" t="s">
        <v>1304</v>
      </c>
      <c r="F251" s="2" t="s">
        <v>40</v>
      </c>
      <c r="G251" s="2" t="s">
        <v>1270</v>
      </c>
      <c r="H251" s="2" t="s">
        <v>1294</v>
      </c>
    </row>
    <row r="252" spans="1:8">
      <c r="A252" s="379">
        <f>A245+1</f>
        <v>144</v>
      </c>
      <c r="B252" s="768"/>
      <c r="C252" s="326" t="s">
        <v>350</v>
      </c>
      <c r="D252" s="859">
        <v>2017</v>
      </c>
      <c r="E252" s="787">
        <v>71499906.740000039</v>
      </c>
      <c r="F252" s="787">
        <v>7769637.3541483358</v>
      </c>
      <c r="G252" s="5">
        <f t="shared" ref="G252:G264" si="31">E252-F252</f>
        <v>63730269.385851704</v>
      </c>
      <c r="H252" s="5">
        <f>E252-E252</f>
        <v>0</v>
      </c>
    </row>
    <row r="253" spans="1:8">
      <c r="A253" s="379">
        <f>A252+1</f>
        <v>145</v>
      </c>
      <c r="B253" s="768"/>
      <c r="C253" s="326" t="s">
        <v>352</v>
      </c>
      <c r="D253" s="437">
        <v>2018</v>
      </c>
      <c r="E253" s="787">
        <v>71500777.050000042</v>
      </c>
      <c r="F253" s="787">
        <v>7917798.6355590019</v>
      </c>
      <c r="G253" s="5">
        <f t="shared" si="31"/>
        <v>63582978.414441042</v>
      </c>
      <c r="H253" s="5">
        <f>E253-E252</f>
        <v>870.31000000238419</v>
      </c>
    </row>
    <row r="254" spans="1:8">
      <c r="A254" s="379">
        <f t="shared" ref="A254:A264" si="32">A253+1</f>
        <v>146</v>
      </c>
      <c r="B254" s="768"/>
      <c r="C254" s="324" t="s">
        <v>353</v>
      </c>
      <c r="D254" s="437">
        <v>2018</v>
      </c>
      <c r="E254" s="787">
        <v>71502535.690000027</v>
      </c>
      <c r="F254" s="787">
        <v>8065961.7083577523</v>
      </c>
      <c r="G254" s="5">
        <f t="shared" si="31"/>
        <v>63436573.981642276</v>
      </c>
      <c r="H254" s="5">
        <f t="shared" ref="H254:H264" si="33">E254-E253</f>
        <v>1758.6399999856949</v>
      </c>
    </row>
    <row r="255" spans="1:8">
      <c r="A255" s="379">
        <f t="shared" si="32"/>
        <v>147</v>
      </c>
      <c r="B255" s="768"/>
      <c r="C255" s="324" t="s">
        <v>354</v>
      </c>
      <c r="D255" s="437">
        <v>2018</v>
      </c>
      <c r="E255" s="787">
        <v>71503641.160000026</v>
      </c>
      <c r="F255" s="787">
        <v>8214128.4010238359</v>
      </c>
      <c r="G255" s="5">
        <f t="shared" si="31"/>
        <v>63289512.758976191</v>
      </c>
      <c r="H255" s="5">
        <f t="shared" si="33"/>
        <v>1105.4699999988079</v>
      </c>
    </row>
    <row r="256" spans="1:8">
      <c r="A256" s="379">
        <f t="shared" si="32"/>
        <v>148</v>
      </c>
      <c r="B256" s="768"/>
      <c r="C256" s="326" t="s">
        <v>355</v>
      </c>
      <c r="D256" s="437">
        <v>2018</v>
      </c>
      <c r="E256" s="787">
        <v>71452617.00000003</v>
      </c>
      <c r="F256" s="787">
        <v>8362297.3691156693</v>
      </c>
      <c r="G256" s="5">
        <f t="shared" si="31"/>
        <v>63090319.630884364</v>
      </c>
      <c r="H256" s="5">
        <f t="shared" si="33"/>
        <v>-51024.159999996424</v>
      </c>
    </row>
    <row r="257" spans="1:8">
      <c r="A257" s="379">
        <f t="shared" si="32"/>
        <v>149</v>
      </c>
      <c r="B257" s="768"/>
      <c r="C257" s="324" t="s">
        <v>356</v>
      </c>
      <c r="D257" s="437">
        <v>2018</v>
      </c>
      <c r="E257" s="787">
        <v>71454563.220000044</v>
      </c>
      <c r="F257" s="787">
        <v>8510361.3124781698</v>
      </c>
      <c r="G257" s="5">
        <f t="shared" si="31"/>
        <v>62944201.907521874</v>
      </c>
      <c r="H257" s="5">
        <f t="shared" si="33"/>
        <v>1946.2200000137091</v>
      </c>
    </row>
    <row r="258" spans="1:8">
      <c r="A258" s="379">
        <f t="shared" si="32"/>
        <v>150</v>
      </c>
      <c r="B258" s="768"/>
      <c r="C258" s="324" t="s">
        <v>357</v>
      </c>
      <c r="D258" s="437">
        <v>2018</v>
      </c>
      <c r="E258" s="787">
        <v>71460731.340000048</v>
      </c>
      <c r="F258" s="787">
        <v>8658429.2617726699</v>
      </c>
      <c r="G258" s="5">
        <f t="shared" si="31"/>
        <v>62802302.078227378</v>
      </c>
      <c r="H258" s="5">
        <f t="shared" si="33"/>
        <v>6168.1200000047684</v>
      </c>
    </row>
    <row r="259" spans="1:8">
      <c r="A259" s="379">
        <f t="shared" si="32"/>
        <v>151</v>
      </c>
      <c r="B259" s="768"/>
      <c r="C259" s="326" t="s">
        <v>358</v>
      </c>
      <c r="D259" s="437">
        <v>2018</v>
      </c>
      <c r="E259" s="787">
        <v>71461054.180000052</v>
      </c>
      <c r="F259" s="787">
        <v>8806509.9263691679</v>
      </c>
      <c r="G259" s="5">
        <f t="shared" si="31"/>
        <v>62654544.253630884</v>
      </c>
      <c r="H259" s="5">
        <f t="shared" si="33"/>
        <v>322.84000000357628</v>
      </c>
    </row>
    <row r="260" spans="1:8">
      <c r="A260" s="379">
        <f t="shared" si="32"/>
        <v>152</v>
      </c>
      <c r="B260" s="768"/>
      <c r="C260" s="324" t="s">
        <v>359</v>
      </c>
      <c r="D260" s="437">
        <v>2018</v>
      </c>
      <c r="E260" s="787">
        <v>71461054.180000052</v>
      </c>
      <c r="F260" s="787">
        <v>8954591.2362605017</v>
      </c>
      <c r="G260" s="5">
        <f t="shared" si="31"/>
        <v>62506462.943739548</v>
      </c>
      <c r="H260" s="5">
        <f t="shared" si="33"/>
        <v>0</v>
      </c>
    </row>
    <row r="261" spans="1:8">
      <c r="A261" s="379">
        <f t="shared" si="32"/>
        <v>153</v>
      </c>
      <c r="B261" s="768"/>
      <c r="C261" s="324" t="s">
        <v>360</v>
      </c>
      <c r="D261" s="437">
        <v>2018</v>
      </c>
      <c r="E261" s="787">
        <v>71460708.900000051</v>
      </c>
      <c r="F261" s="787">
        <v>9102672.5461518355</v>
      </c>
      <c r="G261" s="5">
        <f t="shared" si="31"/>
        <v>62358036.353848219</v>
      </c>
      <c r="H261" s="5">
        <f t="shared" si="33"/>
        <v>-345.28000000119209</v>
      </c>
    </row>
    <row r="262" spans="1:8">
      <c r="A262" s="379">
        <f t="shared" si="32"/>
        <v>154</v>
      </c>
      <c r="B262" s="768"/>
      <c r="C262" s="326" t="s">
        <v>1070</v>
      </c>
      <c r="D262" s="437">
        <v>2018</v>
      </c>
      <c r="E262" s="787">
        <v>71454672.110000044</v>
      </c>
      <c r="F262" s="787">
        <v>9250753.1453418359</v>
      </c>
      <c r="G262" s="5">
        <f t="shared" si="31"/>
        <v>62203918.964658208</v>
      </c>
      <c r="H262" s="5">
        <f t="shared" si="33"/>
        <v>-6036.7900000065565</v>
      </c>
    </row>
    <row r="263" spans="1:8">
      <c r="A263" s="379">
        <f t="shared" si="32"/>
        <v>155</v>
      </c>
      <c r="B263" s="768"/>
      <c r="C263" s="326" t="s">
        <v>362</v>
      </c>
      <c r="D263" s="437">
        <v>2018</v>
      </c>
      <c r="E263" s="787">
        <v>71454672.110000044</v>
      </c>
      <c r="F263" s="787">
        <v>9398821.3188057542</v>
      </c>
      <c r="G263" s="5">
        <f t="shared" si="31"/>
        <v>62055850.79119429</v>
      </c>
      <c r="H263" s="5">
        <f t="shared" si="33"/>
        <v>0</v>
      </c>
    </row>
    <row r="264" spans="1:8">
      <c r="A264" s="379">
        <f t="shared" si="32"/>
        <v>156</v>
      </c>
      <c r="B264" s="768"/>
      <c r="C264" s="326" t="s">
        <v>350</v>
      </c>
      <c r="D264" s="437">
        <v>2018</v>
      </c>
      <c r="E264" s="787">
        <v>71454672.110000044</v>
      </c>
      <c r="F264" s="787">
        <v>9546889.4922696687</v>
      </c>
      <c r="G264" s="5">
        <f t="shared" si="31"/>
        <v>61907782.617730379</v>
      </c>
      <c r="H264" s="5">
        <f t="shared" si="33"/>
        <v>0</v>
      </c>
    </row>
    <row r="266" spans="1:8">
      <c r="A266" s="768"/>
      <c r="B266" s="768"/>
      <c r="C266" s="1085" t="s">
        <v>1312</v>
      </c>
      <c r="D266" s="768"/>
      <c r="E266" s="52" t="s">
        <v>307</v>
      </c>
      <c r="F266" s="52" t="s">
        <v>308</v>
      </c>
      <c r="G266" s="52" t="s">
        <v>309</v>
      </c>
      <c r="H266" s="52" t="s">
        <v>310</v>
      </c>
    </row>
    <row r="267" spans="1:8">
      <c r="A267" s="768"/>
      <c r="B267" s="768"/>
      <c r="C267" s="768"/>
      <c r="D267" s="768"/>
      <c r="E267" s="768"/>
      <c r="F267" s="768"/>
      <c r="G267" s="354" t="s">
        <v>1289</v>
      </c>
      <c r="H267" s="354" t="s">
        <v>1300</v>
      </c>
    </row>
    <row r="268" spans="1:8">
      <c r="A268" s="768"/>
      <c r="B268" s="768"/>
      <c r="C268" s="379" t="s">
        <v>1280</v>
      </c>
      <c r="D268" s="768"/>
      <c r="E268" s="768"/>
      <c r="F268" s="768"/>
      <c r="G268" s="10"/>
      <c r="H268" s="1020" t="s">
        <v>1301</v>
      </c>
    </row>
    <row r="269" spans="1:8">
      <c r="A269" s="768"/>
      <c r="B269" s="768"/>
      <c r="C269" s="379" t="s">
        <v>343</v>
      </c>
      <c r="D269" s="768"/>
      <c r="E269" s="379" t="s">
        <v>771</v>
      </c>
      <c r="F269" s="379" t="s">
        <v>1302</v>
      </c>
      <c r="G269" s="379" t="s">
        <v>1303</v>
      </c>
      <c r="H269" s="379" t="s">
        <v>814</v>
      </c>
    </row>
    <row r="270" spans="1:8">
      <c r="A270" s="768"/>
      <c r="B270" s="768"/>
      <c r="C270" s="13" t="s">
        <v>342</v>
      </c>
      <c r="D270" s="13" t="s">
        <v>343</v>
      </c>
      <c r="E270" s="2" t="s">
        <v>1304</v>
      </c>
      <c r="F270" s="2" t="s">
        <v>40</v>
      </c>
      <c r="G270" s="2" t="s">
        <v>1270</v>
      </c>
      <c r="H270" s="2" t="s">
        <v>1294</v>
      </c>
    </row>
    <row r="271" spans="1:8">
      <c r="A271" s="379">
        <f>A264+1</f>
        <v>157</v>
      </c>
      <c r="B271" s="768"/>
      <c r="C271" s="326" t="s">
        <v>350</v>
      </c>
      <c r="D271" s="859">
        <v>2017</v>
      </c>
      <c r="E271" s="787">
        <v>1657267.8875</v>
      </c>
      <c r="F271" s="787">
        <v>0</v>
      </c>
      <c r="G271" s="5">
        <f t="shared" ref="G271:G283" si="34">E271-F271</f>
        <v>1657267.8875</v>
      </c>
      <c r="H271" s="5">
        <f>E271-E271</f>
        <v>0</v>
      </c>
    </row>
    <row r="272" spans="1:8">
      <c r="A272" s="379">
        <f>A271+1</f>
        <v>158</v>
      </c>
      <c r="B272" s="768"/>
      <c r="C272" s="326" t="s">
        <v>352</v>
      </c>
      <c r="D272" s="437">
        <v>2018</v>
      </c>
      <c r="E272" s="787">
        <v>1657267.8875</v>
      </c>
      <c r="F272" s="787">
        <v>0</v>
      </c>
      <c r="G272" s="5">
        <f t="shared" si="34"/>
        <v>1657267.8875</v>
      </c>
      <c r="H272" s="5">
        <f>E272-E271</f>
        <v>0</v>
      </c>
    </row>
    <row r="273" spans="1:8">
      <c r="A273" s="379">
        <f t="shared" ref="A273:A283" si="35">A272+1</f>
        <v>159</v>
      </c>
      <c r="B273" s="768"/>
      <c r="C273" s="324" t="s">
        <v>353</v>
      </c>
      <c r="D273" s="437">
        <v>2018</v>
      </c>
      <c r="E273" s="787">
        <v>1657267.8875</v>
      </c>
      <c r="F273" s="787">
        <v>0</v>
      </c>
      <c r="G273" s="5">
        <f t="shared" si="34"/>
        <v>1657267.8875</v>
      </c>
      <c r="H273" s="5">
        <f t="shared" ref="H273:H283" si="36">E273-E272</f>
        <v>0</v>
      </c>
    </row>
    <row r="274" spans="1:8">
      <c r="A274" s="379">
        <f t="shared" si="35"/>
        <v>160</v>
      </c>
      <c r="B274" s="768"/>
      <c r="C274" s="324" t="s">
        <v>354</v>
      </c>
      <c r="D274" s="437">
        <v>2018</v>
      </c>
      <c r="E274" s="787">
        <v>1657267.8875</v>
      </c>
      <c r="F274" s="787">
        <v>0</v>
      </c>
      <c r="G274" s="5">
        <f t="shared" si="34"/>
        <v>1657267.8875</v>
      </c>
      <c r="H274" s="5">
        <f t="shared" si="36"/>
        <v>0</v>
      </c>
    </row>
    <row r="275" spans="1:8">
      <c r="A275" s="379">
        <f t="shared" si="35"/>
        <v>161</v>
      </c>
      <c r="B275" s="768"/>
      <c r="C275" s="326" t="s">
        <v>355</v>
      </c>
      <c r="D275" s="437">
        <v>2018</v>
      </c>
      <c r="E275" s="787">
        <v>1657267.8875</v>
      </c>
      <c r="F275" s="787">
        <v>0</v>
      </c>
      <c r="G275" s="5">
        <f t="shared" si="34"/>
        <v>1657267.8875</v>
      </c>
      <c r="H275" s="5">
        <f t="shared" si="36"/>
        <v>0</v>
      </c>
    </row>
    <row r="276" spans="1:8">
      <c r="A276" s="379">
        <f t="shared" si="35"/>
        <v>162</v>
      </c>
      <c r="B276" s="768"/>
      <c r="C276" s="324" t="s">
        <v>356</v>
      </c>
      <c r="D276" s="437">
        <v>2018</v>
      </c>
      <c r="E276" s="787">
        <v>2638392.1775000002</v>
      </c>
      <c r="F276" s="787">
        <v>0</v>
      </c>
      <c r="G276" s="5">
        <f t="shared" si="34"/>
        <v>2638392.1775000002</v>
      </c>
      <c r="H276" s="5">
        <f t="shared" si="36"/>
        <v>981124.29000000027</v>
      </c>
    </row>
    <row r="277" spans="1:8">
      <c r="A277" s="379">
        <f t="shared" si="35"/>
        <v>163</v>
      </c>
      <c r="B277" s="768"/>
      <c r="C277" s="324" t="s">
        <v>357</v>
      </c>
      <c r="D277" s="437">
        <v>2018</v>
      </c>
      <c r="E277" s="787">
        <v>9186358.3287000004</v>
      </c>
      <c r="F277" s="787">
        <v>2493.69090375</v>
      </c>
      <c r="G277" s="5">
        <f t="shared" si="34"/>
        <v>9183864.6377962511</v>
      </c>
      <c r="H277" s="5">
        <f t="shared" si="36"/>
        <v>6547966.1512000002</v>
      </c>
    </row>
    <row r="278" spans="1:8">
      <c r="A278" s="379">
        <f t="shared" si="35"/>
        <v>164</v>
      </c>
      <c r="B278" s="768"/>
      <c r="C278" s="326" t="s">
        <v>358</v>
      </c>
      <c r="D278" s="437">
        <v>2018</v>
      </c>
      <c r="E278" s="787">
        <v>9204546.9475000016</v>
      </c>
      <c r="F278" s="787">
        <v>18611.998028386668</v>
      </c>
      <c r="G278" s="5">
        <f t="shared" si="34"/>
        <v>9185934.9494716153</v>
      </c>
      <c r="H278" s="5">
        <f t="shared" si="36"/>
        <v>18188.618800001219</v>
      </c>
    </row>
    <row r="279" spans="1:8">
      <c r="A279" s="379">
        <f t="shared" si="35"/>
        <v>165</v>
      </c>
      <c r="B279" s="768"/>
      <c r="C279" s="324" t="s">
        <v>359</v>
      </c>
      <c r="D279" s="437">
        <v>2018</v>
      </c>
      <c r="E279" s="787">
        <v>9204672.6955000013</v>
      </c>
      <c r="F279" s="787">
        <v>34775.331683220007</v>
      </c>
      <c r="G279" s="5">
        <f t="shared" si="34"/>
        <v>9169897.363816781</v>
      </c>
      <c r="H279" s="5">
        <f t="shared" si="36"/>
        <v>125.74799999967217</v>
      </c>
    </row>
    <row r="280" spans="1:8">
      <c r="A280" s="379">
        <f t="shared" si="35"/>
        <v>166</v>
      </c>
      <c r="B280" s="768"/>
      <c r="C280" s="324" t="s">
        <v>360</v>
      </c>
      <c r="D280" s="437">
        <v>2018</v>
      </c>
      <c r="E280" s="787">
        <v>9206451.0655000005</v>
      </c>
      <c r="F280" s="787">
        <v>50938.92416935334</v>
      </c>
      <c r="G280" s="5">
        <f t="shared" si="34"/>
        <v>9155512.1413306464</v>
      </c>
      <c r="H280" s="5">
        <f t="shared" si="36"/>
        <v>1778.3699999991804</v>
      </c>
    </row>
    <row r="281" spans="1:8">
      <c r="A281" s="379">
        <f t="shared" si="35"/>
        <v>167</v>
      </c>
      <c r="B281" s="768"/>
      <c r="C281" s="326" t="s">
        <v>1070</v>
      </c>
      <c r="D281" s="437">
        <v>2018</v>
      </c>
      <c r="E281" s="787">
        <v>9206451.0655000005</v>
      </c>
      <c r="F281" s="787">
        <v>67106.457288236663</v>
      </c>
      <c r="G281" s="5">
        <f t="shared" si="34"/>
        <v>9139344.6082117632</v>
      </c>
      <c r="H281" s="5">
        <f t="shared" si="36"/>
        <v>0</v>
      </c>
    </row>
    <row r="282" spans="1:8">
      <c r="A282" s="379">
        <f t="shared" si="35"/>
        <v>168</v>
      </c>
      <c r="B282" s="768"/>
      <c r="C282" s="326" t="s">
        <v>362</v>
      </c>
      <c r="D282" s="437">
        <v>2018</v>
      </c>
      <c r="E282" s="787">
        <v>9206451.0655000005</v>
      </c>
      <c r="F282" s="787">
        <v>83273.99040712</v>
      </c>
      <c r="G282" s="5">
        <f t="shared" si="34"/>
        <v>9123177.0750928801</v>
      </c>
      <c r="H282" s="5">
        <f t="shared" si="36"/>
        <v>0</v>
      </c>
    </row>
    <row r="283" spans="1:8">
      <c r="A283" s="379">
        <f t="shared" si="35"/>
        <v>169</v>
      </c>
      <c r="B283" s="768"/>
      <c r="C283" s="326" t="s">
        <v>350</v>
      </c>
      <c r="D283" s="437">
        <v>2018</v>
      </c>
      <c r="E283" s="787">
        <v>9207853.4755000006</v>
      </c>
      <c r="F283" s="787">
        <v>99441.523526003337</v>
      </c>
      <c r="G283" s="5">
        <f t="shared" si="34"/>
        <v>9108411.9519739971</v>
      </c>
      <c r="H283" s="5">
        <f t="shared" si="36"/>
        <v>1402.410000000149</v>
      </c>
    </row>
    <row r="285" spans="1:8">
      <c r="A285" s="768"/>
      <c r="B285" s="768"/>
      <c r="C285" s="1085" t="s">
        <v>1313</v>
      </c>
      <c r="D285" s="768"/>
      <c r="E285" s="52" t="s">
        <v>307</v>
      </c>
      <c r="F285" s="52" t="s">
        <v>308</v>
      </c>
      <c r="G285" s="52" t="s">
        <v>309</v>
      </c>
      <c r="H285" s="52" t="s">
        <v>310</v>
      </c>
    </row>
    <row r="286" spans="1:8">
      <c r="A286" s="768"/>
      <c r="B286" s="768"/>
      <c r="C286" s="768"/>
      <c r="D286" s="768"/>
      <c r="E286" s="768"/>
      <c r="F286" s="768"/>
      <c r="G286" s="354" t="s">
        <v>1289</v>
      </c>
      <c r="H286" s="354" t="s">
        <v>1300</v>
      </c>
    </row>
    <row r="287" spans="1:8">
      <c r="A287" s="768"/>
      <c r="B287" s="768"/>
      <c r="C287" s="379" t="s">
        <v>1280</v>
      </c>
      <c r="D287" s="768"/>
      <c r="E287" s="768"/>
      <c r="F287" s="768"/>
      <c r="G287" s="10"/>
      <c r="H287" s="1020" t="s">
        <v>1301</v>
      </c>
    </row>
    <row r="288" spans="1:8">
      <c r="A288" s="768"/>
      <c r="B288" s="768"/>
      <c r="C288" s="379" t="s">
        <v>343</v>
      </c>
      <c r="D288" s="768"/>
      <c r="E288" s="379" t="s">
        <v>771</v>
      </c>
      <c r="F288" s="379" t="s">
        <v>1302</v>
      </c>
      <c r="G288" s="64" t="s">
        <v>1303</v>
      </c>
      <c r="H288" s="64" t="s">
        <v>814</v>
      </c>
    </row>
    <row r="289" spans="1:8">
      <c r="A289" s="768"/>
      <c r="B289" s="768"/>
      <c r="C289" s="13" t="s">
        <v>342</v>
      </c>
      <c r="D289" s="13" t="s">
        <v>343</v>
      </c>
      <c r="E289" s="2" t="s">
        <v>1304</v>
      </c>
      <c r="F289" s="2" t="s">
        <v>40</v>
      </c>
      <c r="G289" s="2" t="s">
        <v>1270</v>
      </c>
      <c r="H289" s="2" t="s">
        <v>1294</v>
      </c>
    </row>
    <row r="290" spans="1:8">
      <c r="A290" s="379">
        <f>A283+1</f>
        <v>170</v>
      </c>
      <c r="B290" s="768"/>
      <c r="C290" s="326" t="s">
        <v>350</v>
      </c>
      <c r="D290" s="859">
        <v>2017</v>
      </c>
      <c r="E290" s="787">
        <v>0</v>
      </c>
      <c r="F290" s="787">
        <v>0</v>
      </c>
      <c r="G290" s="5">
        <f t="shared" ref="G290:G302" si="37">E290-F290</f>
        <v>0</v>
      </c>
      <c r="H290" s="5">
        <f>E290-E290</f>
        <v>0</v>
      </c>
    </row>
    <row r="291" spans="1:8">
      <c r="A291" s="379">
        <f>A290+1</f>
        <v>171</v>
      </c>
      <c r="B291" s="768"/>
      <c r="C291" s="326" t="s">
        <v>352</v>
      </c>
      <c r="D291" s="437">
        <v>2018</v>
      </c>
      <c r="E291" s="787">
        <v>0</v>
      </c>
      <c r="F291" s="787">
        <v>0</v>
      </c>
      <c r="G291" s="5">
        <f t="shared" si="37"/>
        <v>0</v>
      </c>
      <c r="H291" s="5">
        <f>E291-E290</f>
        <v>0</v>
      </c>
    </row>
    <row r="292" spans="1:8">
      <c r="A292" s="379">
        <f t="shared" ref="A292:A302" si="38">A291+1</f>
        <v>172</v>
      </c>
      <c r="B292" s="768"/>
      <c r="C292" s="324" t="s">
        <v>353</v>
      </c>
      <c r="D292" s="437">
        <v>2018</v>
      </c>
      <c r="E292" s="787">
        <v>0</v>
      </c>
      <c r="F292" s="787">
        <v>0</v>
      </c>
      <c r="G292" s="5">
        <f t="shared" si="37"/>
        <v>0</v>
      </c>
      <c r="H292" s="5">
        <f t="shared" ref="H292:H302" si="39">E292-E291</f>
        <v>0</v>
      </c>
    </row>
    <row r="293" spans="1:8">
      <c r="A293" s="379">
        <f t="shared" si="38"/>
        <v>173</v>
      </c>
      <c r="B293" s="768"/>
      <c r="C293" s="324" t="s">
        <v>354</v>
      </c>
      <c r="D293" s="437">
        <v>2018</v>
      </c>
      <c r="E293" s="787">
        <v>0</v>
      </c>
      <c r="F293" s="787">
        <v>0</v>
      </c>
      <c r="G293" s="5">
        <f t="shared" si="37"/>
        <v>0</v>
      </c>
      <c r="H293" s="5">
        <f t="shared" si="39"/>
        <v>0</v>
      </c>
    </row>
    <row r="294" spans="1:8">
      <c r="A294" s="379">
        <f t="shared" si="38"/>
        <v>174</v>
      </c>
      <c r="B294" s="768"/>
      <c r="C294" s="326" t="s">
        <v>355</v>
      </c>
      <c r="D294" s="437">
        <v>2018</v>
      </c>
      <c r="E294" s="787">
        <v>0</v>
      </c>
      <c r="F294" s="787">
        <v>0</v>
      </c>
      <c r="G294" s="5">
        <f t="shared" si="37"/>
        <v>0</v>
      </c>
      <c r="H294" s="5">
        <f t="shared" si="39"/>
        <v>0</v>
      </c>
    </row>
    <row r="295" spans="1:8">
      <c r="A295" s="379">
        <f t="shared" si="38"/>
        <v>175</v>
      </c>
      <c r="B295" s="768"/>
      <c r="C295" s="324" t="s">
        <v>356</v>
      </c>
      <c r="D295" s="437">
        <v>2018</v>
      </c>
      <c r="E295" s="787">
        <v>0</v>
      </c>
      <c r="F295" s="787">
        <v>0</v>
      </c>
      <c r="G295" s="5">
        <f t="shared" si="37"/>
        <v>0</v>
      </c>
      <c r="H295" s="5">
        <f t="shared" si="39"/>
        <v>0</v>
      </c>
    </row>
    <row r="296" spans="1:8">
      <c r="A296" s="379">
        <f t="shared" si="38"/>
        <v>176</v>
      </c>
      <c r="B296" s="768"/>
      <c r="C296" s="324" t="s">
        <v>357</v>
      </c>
      <c r="D296" s="437">
        <v>2018</v>
      </c>
      <c r="E296" s="787">
        <v>0</v>
      </c>
      <c r="F296" s="787">
        <v>0</v>
      </c>
      <c r="G296" s="5">
        <f t="shared" si="37"/>
        <v>0</v>
      </c>
      <c r="H296" s="5">
        <f t="shared" si="39"/>
        <v>0</v>
      </c>
    </row>
    <row r="297" spans="1:8">
      <c r="A297" s="379">
        <f t="shared" si="38"/>
        <v>177</v>
      </c>
      <c r="B297" s="768"/>
      <c r="C297" s="326" t="s">
        <v>358</v>
      </c>
      <c r="D297" s="437">
        <v>2018</v>
      </c>
      <c r="E297" s="787">
        <v>0</v>
      </c>
      <c r="F297" s="787">
        <v>0</v>
      </c>
      <c r="G297" s="5">
        <f t="shared" si="37"/>
        <v>0</v>
      </c>
      <c r="H297" s="5">
        <f t="shared" si="39"/>
        <v>0</v>
      </c>
    </row>
    <row r="298" spans="1:8">
      <c r="A298" s="379">
        <f t="shared" si="38"/>
        <v>178</v>
      </c>
      <c r="B298" s="768"/>
      <c r="C298" s="324" t="s">
        <v>359</v>
      </c>
      <c r="D298" s="437">
        <v>2018</v>
      </c>
      <c r="E298" s="787">
        <v>0</v>
      </c>
      <c r="F298" s="787">
        <v>0</v>
      </c>
      <c r="G298" s="5">
        <f t="shared" si="37"/>
        <v>0</v>
      </c>
      <c r="H298" s="5">
        <f t="shared" si="39"/>
        <v>0</v>
      </c>
    </row>
    <row r="299" spans="1:8">
      <c r="A299" s="379">
        <f t="shared" si="38"/>
        <v>179</v>
      </c>
      <c r="B299" s="768"/>
      <c r="C299" s="324" t="s">
        <v>360</v>
      </c>
      <c r="D299" s="437">
        <v>2018</v>
      </c>
      <c r="E299" s="787">
        <v>0</v>
      </c>
      <c r="F299" s="787">
        <v>0</v>
      </c>
      <c r="G299" s="5">
        <f t="shared" si="37"/>
        <v>0</v>
      </c>
      <c r="H299" s="5">
        <f t="shared" si="39"/>
        <v>0</v>
      </c>
    </row>
    <row r="300" spans="1:8">
      <c r="A300" s="379">
        <f t="shared" si="38"/>
        <v>180</v>
      </c>
      <c r="B300" s="768"/>
      <c r="C300" s="326" t="s">
        <v>1070</v>
      </c>
      <c r="D300" s="437">
        <v>2018</v>
      </c>
      <c r="E300" s="787">
        <v>0</v>
      </c>
      <c r="F300" s="787">
        <v>0</v>
      </c>
      <c r="G300" s="5">
        <f t="shared" si="37"/>
        <v>0</v>
      </c>
      <c r="H300" s="5">
        <f t="shared" si="39"/>
        <v>0</v>
      </c>
    </row>
    <row r="301" spans="1:8">
      <c r="A301" s="379">
        <f t="shared" si="38"/>
        <v>181</v>
      </c>
      <c r="B301" s="768"/>
      <c r="C301" s="326" t="s">
        <v>362</v>
      </c>
      <c r="D301" s="437">
        <v>2018</v>
      </c>
      <c r="E301" s="787">
        <v>0</v>
      </c>
      <c r="F301" s="787">
        <v>0</v>
      </c>
      <c r="G301" s="5">
        <f t="shared" si="37"/>
        <v>0</v>
      </c>
      <c r="H301" s="5">
        <f t="shared" si="39"/>
        <v>0</v>
      </c>
    </row>
    <row r="302" spans="1:8">
      <c r="A302" s="379">
        <f t="shared" si="38"/>
        <v>182</v>
      </c>
      <c r="B302" s="768"/>
      <c r="C302" s="326" t="s">
        <v>350</v>
      </c>
      <c r="D302" s="437">
        <v>2018</v>
      </c>
      <c r="E302" s="787">
        <v>0</v>
      </c>
      <c r="F302" s="787">
        <v>0</v>
      </c>
      <c r="G302" s="5">
        <f t="shared" si="37"/>
        <v>0</v>
      </c>
      <c r="H302" s="5">
        <f t="shared" si="39"/>
        <v>0</v>
      </c>
    </row>
    <row r="304" spans="1:8">
      <c r="A304" s="768"/>
      <c r="B304" s="768"/>
      <c r="C304" s="1085" t="s">
        <v>1314</v>
      </c>
      <c r="D304" s="768"/>
      <c r="E304" s="52" t="s">
        <v>307</v>
      </c>
      <c r="F304" s="52" t="s">
        <v>308</v>
      </c>
      <c r="G304" s="52" t="s">
        <v>309</v>
      </c>
      <c r="H304" s="52" t="s">
        <v>310</v>
      </c>
    </row>
    <row r="305" spans="1:8">
      <c r="A305" s="768"/>
      <c r="B305" s="768"/>
      <c r="C305" s="768"/>
      <c r="D305" s="768"/>
      <c r="E305" s="768"/>
      <c r="F305" s="768"/>
      <c r="G305" s="354" t="s">
        <v>1289</v>
      </c>
      <c r="H305" s="354" t="s">
        <v>1300</v>
      </c>
    </row>
    <row r="306" spans="1:8">
      <c r="A306" s="768"/>
      <c r="B306" s="768"/>
      <c r="C306" s="379" t="s">
        <v>1280</v>
      </c>
      <c r="D306" s="768"/>
      <c r="E306" s="768"/>
      <c r="F306" s="768"/>
      <c r="G306" s="10"/>
      <c r="H306" s="1020" t="s">
        <v>1301</v>
      </c>
    </row>
    <row r="307" spans="1:8">
      <c r="A307" s="768"/>
      <c r="B307" s="768"/>
      <c r="C307" s="379" t="s">
        <v>343</v>
      </c>
      <c r="D307" s="768"/>
      <c r="E307" s="379" t="s">
        <v>771</v>
      </c>
      <c r="F307" s="379" t="s">
        <v>1302</v>
      </c>
      <c r="G307" s="379" t="s">
        <v>1303</v>
      </c>
      <c r="H307" s="379" t="s">
        <v>814</v>
      </c>
    </row>
    <row r="308" spans="1:8">
      <c r="A308" s="768"/>
      <c r="B308" s="768"/>
      <c r="C308" s="13" t="s">
        <v>342</v>
      </c>
      <c r="D308" s="13" t="s">
        <v>343</v>
      </c>
      <c r="E308" s="2" t="s">
        <v>1304</v>
      </c>
      <c r="F308" s="2" t="s">
        <v>40</v>
      </c>
      <c r="G308" s="2" t="s">
        <v>1270</v>
      </c>
      <c r="H308" s="2" t="s">
        <v>1294</v>
      </c>
    </row>
    <row r="309" spans="1:8">
      <c r="A309" s="379">
        <f>A302+1</f>
        <v>183</v>
      </c>
      <c r="B309" s="768"/>
      <c r="C309" s="326" t="s">
        <v>350</v>
      </c>
      <c r="D309" s="859">
        <v>2017</v>
      </c>
      <c r="E309" s="787">
        <v>0</v>
      </c>
      <c r="F309" s="787">
        <v>0</v>
      </c>
      <c r="G309" s="5">
        <f t="shared" ref="G309:G321" si="40">E309-F309</f>
        <v>0</v>
      </c>
      <c r="H309" s="5">
        <f>E309-E309</f>
        <v>0</v>
      </c>
    </row>
    <row r="310" spans="1:8">
      <c r="A310" s="379">
        <f>A309+1</f>
        <v>184</v>
      </c>
      <c r="B310" s="768"/>
      <c r="C310" s="326" t="s">
        <v>352</v>
      </c>
      <c r="D310" s="437">
        <v>2018</v>
      </c>
      <c r="E310" s="787">
        <v>0</v>
      </c>
      <c r="F310" s="787">
        <v>0</v>
      </c>
      <c r="G310" s="5">
        <f t="shared" si="40"/>
        <v>0</v>
      </c>
      <c r="H310" s="5">
        <f>E310-E309</f>
        <v>0</v>
      </c>
    </row>
    <row r="311" spans="1:8">
      <c r="A311" s="379">
        <f t="shared" ref="A311:A321" si="41">A310+1</f>
        <v>185</v>
      </c>
      <c r="B311" s="768"/>
      <c r="C311" s="324" t="s">
        <v>353</v>
      </c>
      <c r="D311" s="437">
        <v>2018</v>
      </c>
      <c r="E311" s="787">
        <v>0</v>
      </c>
      <c r="F311" s="787">
        <v>0</v>
      </c>
      <c r="G311" s="5">
        <f t="shared" si="40"/>
        <v>0</v>
      </c>
      <c r="H311" s="5">
        <f t="shared" ref="H311:H321" si="42">E311-E310</f>
        <v>0</v>
      </c>
    </row>
    <row r="312" spans="1:8">
      <c r="A312" s="379">
        <f t="shared" si="41"/>
        <v>186</v>
      </c>
      <c r="B312" s="768"/>
      <c r="C312" s="324" t="s">
        <v>354</v>
      </c>
      <c r="D312" s="437">
        <v>2018</v>
      </c>
      <c r="E312" s="787">
        <v>0</v>
      </c>
      <c r="F312" s="787">
        <v>0</v>
      </c>
      <c r="G312" s="5">
        <f t="shared" si="40"/>
        <v>0</v>
      </c>
      <c r="H312" s="5">
        <f t="shared" si="42"/>
        <v>0</v>
      </c>
    </row>
    <row r="313" spans="1:8">
      <c r="A313" s="379">
        <f t="shared" si="41"/>
        <v>187</v>
      </c>
      <c r="B313" s="768"/>
      <c r="C313" s="326" t="s">
        <v>355</v>
      </c>
      <c r="D313" s="437">
        <v>2018</v>
      </c>
      <c r="E313" s="787">
        <v>0</v>
      </c>
      <c r="F313" s="787">
        <v>0</v>
      </c>
      <c r="G313" s="5">
        <f t="shared" si="40"/>
        <v>0</v>
      </c>
      <c r="H313" s="5">
        <f t="shared" si="42"/>
        <v>0</v>
      </c>
    </row>
    <row r="314" spans="1:8">
      <c r="A314" s="379">
        <f t="shared" si="41"/>
        <v>188</v>
      </c>
      <c r="B314" s="768"/>
      <c r="C314" s="324" t="s">
        <v>356</v>
      </c>
      <c r="D314" s="437">
        <v>2018</v>
      </c>
      <c r="E314" s="787">
        <v>0</v>
      </c>
      <c r="F314" s="787">
        <v>0</v>
      </c>
      <c r="G314" s="5">
        <f t="shared" si="40"/>
        <v>0</v>
      </c>
      <c r="H314" s="5">
        <f t="shared" si="42"/>
        <v>0</v>
      </c>
    </row>
    <row r="315" spans="1:8">
      <c r="A315" s="379">
        <f t="shared" si="41"/>
        <v>189</v>
      </c>
      <c r="B315" s="768"/>
      <c r="C315" s="324" t="s">
        <v>357</v>
      </c>
      <c r="D315" s="437">
        <v>2018</v>
      </c>
      <c r="E315" s="787">
        <v>0</v>
      </c>
      <c r="F315" s="787">
        <v>0</v>
      </c>
      <c r="G315" s="5">
        <f t="shared" si="40"/>
        <v>0</v>
      </c>
      <c r="H315" s="5">
        <f t="shared" si="42"/>
        <v>0</v>
      </c>
    </row>
    <row r="316" spans="1:8">
      <c r="A316" s="379">
        <f t="shared" si="41"/>
        <v>190</v>
      </c>
      <c r="B316" s="768"/>
      <c r="C316" s="326" t="s">
        <v>358</v>
      </c>
      <c r="D316" s="437">
        <v>2018</v>
      </c>
      <c r="E316" s="787">
        <v>0</v>
      </c>
      <c r="F316" s="787">
        <v>0</v>
      </c>
      <c r="G316" s="5">
        <f t="shared" si="40"/>
        <v>0</v>
      </c>
      <c r="H316" s="5">
        <f t="shared" si="42"/>
        <v>0</v>
      </c>
    </row>
    <row r="317" spans="1:8">
      <c r="A317" s="379">
        <f t="shared" si="41"/>
        <v>191</v>
      </c>
      <c r="B317" s="768"/>
      <c r="C317" s="324" t="s">
        <v>359</v>
      </c>
      <c r="D317" s="437">
        <v>2018</v>
      </c>
      <c r="E317" s="787">
        <v>0</v>
      </c>
      <c r="F317" s="787">
        <v>0</v>
      </c>
      <c r="G317" s="5">
        <f t="shared" si="40"/>
        <v>0</v>
      </c>
      <c r="H317" s="5">
        <f t="shared" si="42"/>
        <v>0</v>
      </c>
    </row>
    <row r="318" spans="1:8">
      <c r="A318" s="379">
        <f t="shared" si="41"/>
        <v>192</v>
      </c>
      <c r="B318" s="768"/>
      <c r="C318" s="324" t="s">
        <v>360</v>
      </c>
      <c r="D318" s="437">
        <v>2018</v>
      </c>
      <c r="E318" s="787">
        <v>0</v>
      </c>
      <c r="F318" s="787">
        <v>0</v>
      </c>
      <c r="G318" s="5">
        <f t="shared" si="40"/>
        <v>0</v>
      </c>
      <c r="H318" s="5">
        <f t="shared" si="42"/>
        <v>0</v>
      </c>
    </row>
    <row r="319" spans="1:8">
      <c r="A319" s="379">
        <f t="shared" si="41"/>
        <v>193</v>
      </c>
      <c r="B319" s="768"/>
      <c r="C319" s="326" t="s">
        <v>1070</v>
      </c>
      <c r="D319" s="437">
        <v>2018</v>
      </c>
      <c r="E319" s="787">
        <v>0</v>
      </c>
      <c r="F319" s="787">
        <v>0</v>
      </c>
      <c r="G319" s="5">
        <f t="shared" si="40"/>
        <v>0</v>
      </c>
      <c r="H319" s="5">
        <f t="shared" si="42"/>
        <v>0</v>
      </c>
    </row>
    <row r="320" spans="1:8">
      <c r="A320" s="379">
        <f t="shared" si="41"/>
        <v>194</v>
      </c>
      <c r="B320" s="768"/>
      <c r="C320" s="326" t="s">
        <v>362</v>
      </c>
      <c r="D320" s="437">
        <v>2018</v>
      </c>
      <c r="E320" s="787">
        <v>0</v>
      </c>
      <c r="F320" s="787">
        <v>0</v>
      </c>
      <c r="G320" s="5">
        <f t="shared" si="40"/>
        <v>0</v>
      </c>
      <c r="H320" s="5">
        <f t="shared" si="42"/>
        <v>0</v>
      </c>
    </row>
    <row r="321" spans="1:10">
      <c r="A321" s="379">
        <f t="shared" si="41"/>
        <v>195</v>
      </c>
      <c r="B321" s="768"/>
      <c r="C321" s="326" t="s">
        <v>350</v>
      </c>
      <c r="D321" s="437">
        <v>2018</v>
      </c>
      <c r="E321" s="787">
        <v>0</v>
      </c>
      <c r="F321" s="787">
        <v>0</v>
      </c>
      <c r="G321" s="5">
        <f t="shared" si="40"/>
        <v>0</v>
      </c>
      <c r="H321" s="5">
        <f t="shared" si="42"/>
        <v>0</v>
      </c>
      <c r="I321" s="768"/>
      <c r="J321" s="768"/>
    </row>
    <row r="322" spans="1:10" s="10" customFormat="1">
      <c r="A322" s="64"/>
      <c r="C322" s="966"/>
      <c r="D322" s="330"/>
      <c r="E322" s="37"/>
      <c r="F322" s="37"/>
      <c r="G322" s="37"/>
      <c r="H322" s="37"/>
    </row>
    <row r="323" spans="1:10">
      <c r="A323" s="768"/>
      <c r="B323" s="1"/>
      <c r="C323" s="1" t="s">
        <v>1315</v>
      </c>
      <c r="D323" s="296"/>
      <c r="E323" s="5"/>
      <c r="F323" s="768"/>
      <c r="G323" s="768"/>
      <c r="H323" s="768"/>
      <c r="I323" s="768"/>
      <c r="J323" s="768"/>
    </row>
    <row r="324" spans="1:10">
      <c r="A324" s="768"/>
      <c r="B324" s="1"/>
      <c r="C324" s="768"/>
      <c r="D324" s="768"/>
      <c r="E324" s="768"/>
      <c r="F324" s="768"/>
      <c r="G324" s="768"/>
      <c r="H324" s="768"/>
      <c r="I324" s="768"/>
      <c r="J324" s="768"/>
    </row>
    <row r="325" spans="1:10">
      <c r="A325" s="768"/>
      <c r="B325" s="768"/>
      <c r="C325" s="222" t="s">
        <v>1316</v>
      </c>
      <c r="D325" s="58"/>
      <c r="E325" s="58"/>
      <c r="F325" s="58"/>
      <c r="G325" s="114" t="s">
        <v>1317</v>
      </c>
      <c r="H325" s="58"/>
      <c r="I325" s="58"/>
      <c r="J325" s="58"/>
    </row>
    <row r="326" spans="1:10">
      <c r="A326" s="379">
        <f>A321+1</f>
        <v>196</v>
      </c>
      <c r="B326" s="768"/>
      <c r="C326" s="341" t="s">
        <v>1318</v>
      </c>
      <c r="D326" s="58"/>
      <c r="E326" s="223"/>
      <c r="F326" s="746" t="s">
        <v>1319</v>
      </c>
      <c r="G326" s="770" t="s">
        <v>1320</v>
      </c>
      <c r="H326" s="58"/>
      <c r="I326" s="58"/>
      <c r="J326" s="58"/>
    </row>
    <row r="327" spans="1:10">
      <c r="A327" s="379">
        <f>A326+1</f>
        <v>197</v>
      </c>
      <c r="B327" s="768"/>
      <c r="C327" s="217" t="s">
        <v>1321</v>
      </c>
      <c r="D327" s="58"/>
      <c r="E327" s="224"/>
      <c r="F327" s="747">
        <v>7.4999999999999997E-3</v>
      </c>
      <c r="G327" s="770" t="s">
        <v>1322</v>
      </c>
      <c r="H327" s="58"/>
      <c r="I327" s="58"/>
      <c r="J327" s="58"/>
    </row>
    <row r="328" spans="1:10">
      <c r="A328" s="379">
        <f>A327+1</f>
        <v>198</v>
      </c>
      <c r="B328" s="768"/>
      <c r="C328" s="217" t="s">
        <v>1323</v>
      </c>
      <c r="D328" s="58"/>
      <c r="E328" s="223"/>
      <c r="F328" s="746" t="s">
        <v>1324</v>
      </c>
      <c r="G328" s="94" t="s">
        <v>1325</v>
      </c>
      <c r="H328" s="58"/>
      <c r="I328" s="58"/>
      <c r="J328" s="58"/>
    </row>
    <row r="329" spans="1:10">
      <c r="A329" s="768"/>
      <c r="B329" s="768"/>
      <c r="C329" s="58"/>
      <c r="D329" s="58"/>
      <c r="E329" s="223"/>
      <c r="F329" s="218"/>
      <c r="G329" s="58"/>
      <c r="H329" s="58"/>
      <c r="I329" s="58"/>
      <c r="J329" s="58"/>
    </row>
    <row r="330" spans="1:10">
      <c r="A330" s="768"/>
      <c r="B330" s="768"/>
      <c r="C330" s="222" t="s">
        <v>1326</v>
      </c>
      <c r="D330" s="58"/>
      <c r="E330" s="58"/>
      <c r="F330" s="218"/>
      <c r="G330" s="114" t="s">
        <v>1317</v>
      </c>
      <c r="H330" s="58"/>
      <c r="I330" s="58"/>
      <c r="J330" s="58"/>
    </row>
    <row r="331" spans="1:10">
      <c r="A331" s="379">
        <f>A328+1</f>
        <v>199</v>
      </c>
      <c r="B331" s="768"/>
      <c r="C331" s="341" t="s">
        <v>1318</v>
      </c>
      <c r="D331" s="58"/>
      <c r="E331" s="223"/>
      <c r="F331" s="746" t="s">
        <v>1319</v>
      </c>
      <c r="G331" s="770" t="s">
        <v>1320</v>
      </c>
      <c r="H331" s="58"/>
      <c r="I331" s="58"/>
      <c r="J331" s="58"/>
    </row>
    <row r="332" spans="1:10">
      <c r="A332" s="379">
        <f>A331+1</f>
        <v>200</v>
      </c>
      <c r="B332" s="768"/>
      <c r="C332" s="217" t="s">
        <v>1321</v>
      </c>
      <c r="D332" s="58"/>
      <c r="E332" s="224"/>
      <c r="F332" s="747">
        <v>1.2500000000000001E-2</v>
      </c>
      <c r="G332" s="770" t="s">
        <v>1322</v>
      </c>
      <c r="H332" s="58"/>
      <c r="I332" s="58"/>
      <c r="J332" s="58"/>
    </row>
    <row r="333" spans="1:10">
      <c r="A333" s="379">
        <f>A332+1</f>
        <v>201</v>
      </c>
      <c r="B333" s="768"/>
      <c r="C333" s="217" t="s">
        <v>1323</v>
      </c>
      <c r="D333" s="58"/>
      <c r="E333" s="223"/>
      <c r="F333" s="746" t="s">
        <v>1319</v>
      </c>
      <c r="G333" s="770" t="s">
        <v>1327</v>
      </c>
      <c r="H333" s="58"/>
      <c r="I333" s="58"/>
      <c r="J333" s="58"/>
    </row>
    <row r="334" spans="1:10">
      <c r="A334" s="768"/>
      <c r="B334" s="768"/>
      <c r="C334" s="217"/>
      <c r="D334" s="58"/>
      <c r="E334" s="223"/>
      <c r="F334" s="746"/>
      <c r="G334" s="58"/>
      <c r="H334" s="58"/>
      <c r="I334" s="58"/>
      <c r="J334" s="58"/>
    </row>
    <row r="335" spans="1:10">
      <c r="A335" s="768"/>
      <c r="B335" s="768"/>
      <c r="C335" s="222" t="s">
        <v>1328</v>
      </c>
      <c r="D335" s="58"/>
      <c r="E335" s="770"/>
      <c r="F335" s="342"/>
      <c r="G335" s="114" t="s">
        <v>1317</v>
      </c>
      <c r="H335" s="58"/>
      <c r="I335" s="58"/>
      <c r="J335" s="58"/>
    </row>
    <row r="336" spans="1:10">
      <c r="A336" s="379">
        <f>A333+1</f>
        <v>202</v>
      </c>
      <c r="B336" s="768"/>
      <c r="C336" s="341" t="s">
        <v>1318</v>
      </c>
      <c r="D336" s="58"/>
      <c r="E336" s="223"/>
      <c r="F336" s="746" t="s">
        <v>1319</v>
      </c>
      <c r="G336" s="770" t="s">
        <v>1320</v>
      </c>
      <c r="H336" s="58"/>
      <c r="I336" s="58"/>
      <c r="J336" s="58"/>
    </row>
    <row r="337" spans="1:10">
      <c r="A337" s="379">
        <f>A336+1</f>
        <v>203</v>
      </c>
      <c r="B337" s="768"/>
      <c r="C337" s="217" t="s">
        <v>1321</v>
      </c>
      <c r="D337" s="58"/>
      <c r="E337" s="224"/>
      <c r="F337" s="747">
        <v>0.01</v>
      </c>
      <c r="G337" s="770" t="s">
        <v>1329</v>
      </c>
      <c r="H337" s="58"/>
      <c r="I337" s="58"/>
      <c r="J337" s="58"/>
    </row>
    <row r="338" spans="1:10">
      <c r="A338" s="379">
        <f>A337+1</f>
        <v>204</v>
      </c>
      <c r="B338" s="768"/>
      <c r="C338" s="217"/>
      <c r="D338" s="58"/>
      <c r="E338" s="224"/>
      <c r="F338" s="747"/>
      <c r="G338" s="770" t="s">
        <v>1330</v>
      </c>
      <c r="H338" s="58"/>
      <c r="I338" s="58"/>
      <c r="J338" s="58"/>
    </row>
    <row r="339" spans="1:10">
      <c r="A339" s="379">
        <f>A338+1</f>
        <v>205</v>
      </c>
      <c r="B339" s="768"/>
      <c r="C339" s="217" t="s">
        <v>1323</v>
      </c>
      <c r="D339" s="58"/>
      <c r="E339" s="223"/>
      <c r="F339" s="746" t="s">
        <v>1319</v>
      </c>
      <c r="G339" s="770" t="s">
        <v>1327</v>
      </c>
      <c r="H339" s="58"/>
      <c r="I339" s="58"/>
      <c r="J339" s="58"/>
    </row>
    <row r="340" spans="1:10">
      <c r="A340" s="768"/>
      <c r="B340" s="768"/>
      <c r="C340" s="217"/>
      <c r="D340" s="58"/>
      <c r="E340" s="223"/>
      <c r="F340" s="746"/>
      <c r="G340" s="58"/>
      <c r="H340" s="58"/>
      <c r="I340" s="58"/>
      <c r="J340" s="58"/>
    </row>
    <row r="341" spans="1:10">
      <c r="A341" s="768"/>
      <c r="B341" s="768"/>
      <c r="C341" s="222" t="s">
        <v>1331</v>
      </c>
      <c r="D341" s="58"/>
      <c r="E341" s="770"/>
      <c r="F341" s="342"/>
      <c r="G341" s="114" t="s">
        <v>1317</v>
      </c>
      <c r="H341" s="58"/>
      <c r="I341" s="58"/>
      <c r="J341" s="58"/>
    </row>
    <row r="342" spans="1:10">
      <c r="A342" s="379">
        <f>A339+1</f>
        <v>206</v>
      </c>
      <c r="B342" s="768"/>
      <c r="C342" s="341" t="s">
        <v>1318</v>
      </c>
      <c r="D342" s="58"/>
      <c r="E342" s="223"/>
      <c r="F342" s="746" t="s">
        <v>1324</v>
      </c>
      <c r="G342" s="770" t="s">
        <v>1332</v>
      </c>
      <c r="H342" s="58"/>
      <c r="I342" s="58"/>
      <c r="J342" s="58"/>
    </row>
    <row r="343" spans="1:10">
      <c r="A343" s="379">
        <f>A342+1</f>
        <v>207</v>
      </c>
      <c r="B343" s="768"/>
      <c r="C343" s="341"/>
      <c r="D343" s="58"/>
      <c r="E343" s="223"/>
      <c r="F343" s="746"/>
      <c r="G343" s="58" t="s">
        <v>1330</v>
      </c>
      <c r="H343" s="58"/>
      <c r="I343" s="58"/>
      <c r="J343" s="58"/>
    </row>
    <row r="344" spans="1:10">
      <c r="A344" s="379">
        <f>A343+1</f>
        <v>208</v>
      </c>
      <c r="B344" s="768"/>
      <c r="C344" s="217" t="s">
        <v>1321</v>
      </c>
      <c r="D344" s="58"/>
      <c r="E344" s="224"/>
      <c r="F344" s="747">
        <v>0</v>
      </c>
      <c r="G344" s="770" t="s">
        <v>1333</v>
      </c>
      <c r="H344" s="58"/>
      <c r="I344" s="58"/>
      <c r="J344" s="58"/>
    </row>
    <row r="345" spans="1:10">
      <c r="A345" s="379">
        <f>A344+1</f>
        <v>209</v>
      </c>
      <c r="B345" s="768"/>
      <c r="C345" s="217"/>
      <c r="D345" s="58"/>
      <c r="E345" s="224"/>
      <c r="F345" s="747"/>
      <c r="G345" s="770" t="s">
        <v>1334</v>
      </c>
      <c r="H345" s="58"/>
      <c r="I345" s="58"/>
      <c r="J345" s="58"/>
    </row>
    <row r="346" spans="1:10">
      <c r="A346" s="379">
        <f>A345+1</f>
        <v>210</v>
      </c>
      <c r="B346" s="768"/>
      <c r="C346" s="217" t="s">
        <v>1323</v>
      </c>
      <c r="D346" s="58"/>
      <c r="E346" s="223"/>
      <c r="F346" s="746" t="s">
        <v>1319</v>
      </c>
      <c r="G346" s="770" t="s">
        <v>1327</v>
      </c>
      <c r="H346" s="58"/>
      <c r="I346" s="58"/>
      <c r="J346" s="58"/>
    </row>
    <row r="347" spans="1:10">
      <c r="A347" s="768"/>
      <c r="B347" s="768"/>
      <c r="C347" s="217"/>
      <c r="D347" s="58"/>
      <c r="E347" s="223"/>
      <c r="F347" s="746"/>
      <c r="G347" s="58"/>
      <c r="H347" s="58"/>
      <c r="I347" s="58"/>
      <c r="J347" s="58"/>
    </row>
    <row r="348" spans="1:10">
      <c r="A348" s="768"/>
      <c r="B348" s="768"/>
      <c r="C348" s="222" t="s">
        <v>1335</v>
      </c>
      <c r="D348" s="58"/>
      <c r="E348" s="770"/>
      <c r="F348" s="342"/>
      <c r="G348" s="114" t="s">
        <v>1317</v>
      </c>
      <c r="H348" s="58"/>
      <c r="I348" s="58"/>
      <c r="J348" s="58"/>
    </row>
    <row r="349" spans="1:10">
      <c r="A349" s="379">
        <f>A346+1</f>
        <v>211</v>
      </c>
      <c r="B349" s="768"/>
      <c r="C349" s="341" t="s">
        <v>1318</v>
      </c>
      <c r="D349" s="58"/>
      <c r="E349" s="223"/>
      <c r="F349" s="746" t="s">
        <v>1319</v>
      </c>
      <c r="G349" s="343" t="s">
        <v>1336</v>
      </c>
      <c r="H349" s="58"/>
      <c r="I349" s="58"/>
      <c r="J349" s="58"/>
    </row>
    <row r="350" spans="1:10">
      <c r="A350" s="379">
        <f>A349+1</f>
        <v>212</v>
      </c>
      <c r="B350" s="768"/>
      <c r="C350" s="217" t="s">
        <v>1321</v>
      </c>
      <c r="D350" s="58"/>
      <c r="E350" s="224"/>
      <c r="F350" s="747">
        <v>0</v>
      </c>
      <c r="G350" s="745" t="s">
        <v>351</v>
      </c>
      <c r="H350" s="58"/>
      <c r="I350" s="58"/>
      <c r="J350" s="58"/>
    </row>
    <row r="351" spans="1:10">
      <c r="A351" s="379">
        <f>A350+1</f>
        <v>213</v>
      </c>
      <c r="B351" s="768"/>
      <c r="C351" s="217" t="s">
        <v>1323</v>
      </c>
      <c r="D351" s="58"/>
      <c r="E351" s="223"/>
      <c r="F351" s="746" t="s">
        <v>1319</v>
      </c>
      <c r="G351" s="343" t="s">
        <v>1336</v>
      </c>
      <c r="H351" s="58"/>
      <c r="I351" s="58"/>
      <c r="J351" s="58"/>
    </row>
    <row r="352" spans="1:10">
      <c r="A352" s="768"/>
      <c r="B352" s="768"/>
      <c r="C352" s="58"/>
      <c r="D352" s="58"/>
      <c r="E352" s="58"/>
      <c r="F352" s="746"/>
      <c r="G352" s="58"/>
      <c r="H352" s="58"/>
      <c r="I352" s="58"/>
      <c r="J352" s="58"/>
    </row>
    <row r="353" spans="1:10">
      <c r="A353" s="768"/>
      <c r="B353" s="768"/>
      <c r="C353" s="222" t="s">
        <v>1337</v>
      </c>
      <c r="D353" s="58"/>
      <c r="E353" s="770"/>
      <c r="F353" s="342"/>
      <c r="G353" s="114" t="s">
        <v>1317</v>
      </c>
      <c r="H353" s="58"/>
      <c r="I353" s="58"/>
      <c r="J353" s="58"/>
    </row>
    <row r="354" spans="1:10">
      <c r="A354" s="379">
        <f>A351+1</f>
        <v>214</v>
      </c>
      <c r="B354" s="768"/>
      <c r="C354" s="341" t="s">
        <v>1318</v>
      </c>
      <c r="D354" s="58"/>
      <c r="E354" s="223"/>
      <c r="F354" s="746" t="s">
        <v>1319</v>
      </c>
      <c r="G354" s="343" t="s">
        <v>1336</v>
      </c>
      <c r="H354" s="58"/>
      <c r="I354" s="770"/>
      <c r="J354" s="770"/>
    </row>
    <row r="355" spans="1:10">
      <c r="A355" s="379">
        <f>A354+1</f>
        <v>215</v>
      </c>
      <c r="B355" s="768"/>
      <c r="C355" s="217" t="s">
        <v>1321</v>
      </c>
      <c r="D355" s="58"/>
      <c r="E355" s="224"/>
      <c r="F355" s="747">
        <v>0</v>
      </c>
      <c r="G355" s="745" t="s">
        <v>351</v>
      </c>
      <c r="H355" s="58"/>
      <c r="I355" s="770"/>
      <c r="J355" s="770"/>
    </row>
    <row r="356" spans="1:10">
      <c r="A356" s="379">
        <f>A355+1</f>
        <v>216</v>
      </c>
      <c r="B356" s="768"/>
      <c r="C356" s="217" t="s">
        <v>1323</v>
      </c>
      <c r="D356" s="58"/>
      <c r="E356" s="223"/>
      <c r="F356" s="746" t="s">
        <v>1319</v>
      </c>
      <c r="G356" s="343" t="s">
        <v>1336</v>
      </c>
      <c r="H356" s="58"/>
      <c r="I356" s="770"/>
      <c r="J356" s="770"/>
    </row>
    <row r="357" spans="1:10">
      <c r="A357" s="768"/>
      <c r="B357" s="768"/>
      <c r="C357" s="217"/>
      <c r="D357" s="58"/>
      <c r="E357" s="224"/>
      <c r="F357" s="747"/>
      <c r="G357" s="770"/>
      <c r="H357" s="58"/>
      <c r="I357" s="770"/>
      <c r="J357" s="770"/>
    </row>
    <row r="358" spans="1:10">
      <c r="A358" s="768"/>
      <c r="B358" s="768"/>
      <c r="C358" s="222" t="s">
        <v>1338</v>
      </c>
      <c r="D358" s="58"/>
      <c r="E358" s="770"/>
      <c r="F358" s="342"/>
      <c r="G358" s="114" t="s">
        <v>1317</v>
      </c>
      <c r="H358" s="58"/>
      <c r="I358" s="770"/>
      <c r="J358" s="770"/>
    </row>
    <row r="359" spans="1:10">
      <c r="A359" s="379">
        <f>A356+1</f>
        <v>217</v>
      </c>
      <c r="B359" s="768"/>
      <c r="C359" s="341" t="s">
        <v>1318</v>
      </c>
      <c r="D359" s="58"/>
      <c r="E359" s="223"/>
      <c r="F359" s="746" t="s">
        <v>1319</v>
      </c>
      <c r="G359" s="770" t="s">
        <v>1339</v>
      </c>
      <c r="H359" s="58"/>
      <c r="I359" s="770"/>
      <c r="J359" s="770"/>
    </row>
    <row r="360" spans="1:10">
      <c r="A360" s="379">
        <f>A359+1</f>
        <v>218</v>
      </c>
      <c r="B360" s="768"/>
      <c r="C360" s="217" t="s">
        <v>1321</v>
      </c>
      <c r="D360" s="58"/>
      <c r="E360" s="224"/>
      <c r="F360" s="747">
        <v>0</v>
      </c>
      <c r="G360" s="770" t="s">
        <v>1340</v>
      </c>
      <c r="H360" s="58"/>
      <c r="I360" s="770"/>
      <c r="J360" s="770"/>
    </row>
    <row r="361" spans="1:10">
      <c r="A361" s="379">
        <f>A360+1</f>
        <v>219</v>
      </c>
      <c r="B361" s="768"/>
      <c r="C361" s="217" t="s">
        <v>1323</v>
      </c>
      <c r="D361" s="58"/>
      <c r="E361" s="223"/>
      <c r="F361" s="746" t="s">
        <v>1319</v>
      </c>
      <c r="G361" s="770" t="s">
        <v>1341</v>
      </c>
      <c r="H361" s="58"/>
      <c r="I361" s="770"/>
      <c r="J361" s="770"/>
    </row>
    <row r="362" spans="1:10">
      <c r="A362" s="768"/>
      <c r="B362" s="768"/>
      <c r="C362" s="58"/>
      <c r="D362" s="58"/>
      <c r="E362" s="58"/>
      <c r="F362" s="746"/>
      <c r="G362" s="58"/>
      <c r="H362" s="58"/>
      <c r="I362" s="58"/>
      <c r="J362" s="58"/>
    </row>
    <row r="363" spans="1:10">
      <c r="A363" s="768"/>
      <c r="B363" s="768"/>
      <c r="C363" s="222" t="s">
        <v>1342</v>
      </c>
      <c r="D363" s="58"/>
      <c r="E363" s="770"/>
      <c r="F363" s="342"/>
      <c r="G363" s="114" t="s">
        <v>1317</v>
      </c>
      <c r="H363" s="58"/>
      <c r="I363" s="58"/>
      <c r="J363" s="58"/>
    </row>
    <row r="364" spans="1:10">
      <c r="A364" s="379">
        <f>A361+1</f>
        <v>220</v>
      </c>
      <c r="B364" s="768"/>
      <c r="C364" s="341" t="s">
        <v>1318</v>
      </c>
      <c r="D364" s="58"/>
      <c r="E364" s="223"/>
      <c r="F364" s="746" t="s">
        <v>1319</v>
      </c>
      <c r="G364" s="343" t="s">
        <v>1336</v>
      </c>
      <c r="H364" s="58"/>
      <c r="I364" s="58"/>
      <c r="J364" s="58"/>
    </row>
    <row r="365" spans="1:10">
      <c r="A365" s="379">
        <f>A364+1</f>
        <v>221</v>
      </c>
      <c r="B365" s="768"/>
      <c r="C365" s="217" t="s">
        <v>1321</v>
      </c>
      <c r="D365" s="58"/>
      <c r="E365" s="224"/>
      <c r="F365" s="747">
        <v>0</v>
      </c>
      <c r="G365" s="745" t="s">
        <v>351</v>
      </c>
      <c r="H365" s="58"/>
      <c r="I365" s="58"/>
      <c r="J365" s="58"/>
    </row>
    <row r="366" spans="1:10">
      <c r="A366" s="379">
        <f>A365+1</f>
        <v>222</v>
      </c>
      <c r="B366" s="768"/>
      <c r="C366" s="217" t="s">
        <v>1323</v>
      </c>
      <c r="D366" s="58"/>
      <c r="E366" s="223"/>
      <c r="F366" s="746" t="s">
        <v>1319</v>
      </c>
      <c r="G366" s="343" t="s">
        <v>1336</v>
      </c>
      <c r="H366" s="58"/>
      <c r="I366" s="58"/>
      <c r="J366" s="58"/>
    </row>
    <row r="367" spans="1:10">
      <c r="A367" s="768"/>
      <c r="B367" s="768"/>
      <c r="C367" s="58"/>
      <c r="D367" s="58"/>
      <c r="E367" s="58"/>
      <c r="F367" s="746"/>
      <c r="G367" s="58"/>
      <c r="H367" s="58"/>
      <c r="I367" s="58"/>
      <c r="J367" s="58"/>
    </row>
    <row r="368" spans="1:10">
      <c r="A368" s="768"/>
      <c r="B368" s="768"/>
      <c r="C368" s="222" t="s">
        <v>1343</v>
      </c>
      <c r="D368" s="58"/>
      <c r="E368" s="770"/>
      <c r="F368" s="342"/>
      <c r="G368" s="114" t="s">
        <v>1317</v>
      </c>
      <c r="H368" s="58"/>
      <c r="I368" s="58"/>
      <c r="J368" s="58"/>
    </row>
    <row r="369" spans="1:10">
      <c r="A369" s="379">
        <f>A366+1</f>
        <v>223</v>
      </c>
      <c r="B369" s="768"/>
      <c r="C369" s="341" t="s">
        <v>1318</v>
      </c>
      <c r="D369" s="58"/>
      <c r="E369" s="223"/>
      <c r="F369" s="746" t="s">
        <v>1319</v>
      </c>
      <c r="G369" s="343" t="s">
        <v>1336</v>
      </c>
      <c r="H369" s="58"/>
      <c r="I369" s="58"/>
      <c r="J369" s="58"/>
    </row>
    <row r="370" spans="1:10">
      <c r="A370" s="379">
        <f>A369+1</f>
        <v>224</v>
      </c>
      <c r="B370" s="768"/>
      <c r="C370" s="217" t="s">
        <v>1321</v>
      </c>
      <c r="D370" s="58"/>
      <c r="E370" s="224"/>
      <c r="F370" s="747">
        <v>0</v>
      </c>
      <c r="G370" s="745" t="s">
        <v>351</v>
      </c>
      <c r="H370" s="58"/>
      <c r="I370" s="58"/>
      <c r="J370" s="58"/>
    </row>
    <row r="371" spans="1:10">
      <c r="A371" s="379">
        <f>A370+1</f>
        <v>225</v>
      </c>
      <c r="B371" s="768"/>
      <c r="C371" s="217" t="s">
        <v>1323</v>
      </c>
      <c r="D371" s="58"/>
      <c r="E371" s="223"/>
      <c r="F371" s="746" t="s">
        <v>1319</v>
      </c>
      <c r="G371" s="343" t="s">
        <v>1336</v>
      </c>
      <c r="H371" s="58"/>
      <c r="I371" s="58"/>
      <c r="J371" s="58"/>
    </row>
    <row r="372" spans="1:10">
      <c r="A372" s="768"/>
      <c r="B372" s="768"/>
      <c r="C372" s="58"/>
      <c r="D372" s="58"/>
      <c r="E372" s="58"/>
      <c r="F372" s="746"/>
      <c r="G372" s="58"/>
      <c r="H372" s="58"/>
      <c r="I372" s="58"/>
      <c r="J372" s="58"/>
    </row>
    <row r="373" spans="1:10">
      <c r="A373" s="768"/>
      <c r="B373" s="768"/>
      <c r="C373" s="964" t="s">
        <v>1344</v>
      </c>
      <c r="D373" s="58"/>
      <c r="E373" s="58"/>
      <c r="F373" s="58"/>
      <c r="G373" s="114" t="s">
        <v>1317</v>
      </c>
      <c r="H373" s="58"/>
      <c r="I373" s="58"/>
      <c r="J373" s="58"/>
    </row>
    <row r="374" spans="1:10">
      <c r="A374" s="379">
        <f>A371+1</f>
        <v>226</v>
      </c>
      <c r="B374" s="768"/>
      <c r="C374" s="341" t="s">
        <v>1318</v>
      </c>
      <c r="D374" s="58"/>
      <c r="E374" s="58"/>
      <c r="F374" s="770" t="s">
        <v>1319</v>
      </c>
      <c r="G374" s="770" t="s">
        <v>1345</v>
      </c>
      <c r="H374" s="58"/>
      <c r="I374" s="58"/>
      <c r="J374" s="58"/>
    </row>
    <row r="375" spans="1:10">
      <c r="A375" s="379">
        <f>A374+1</f>
        <v>227</v>
      </c>
      <c r="B375" s="768"/>
      <c r="C375" s="217" t="s">
        <v>1321</v>
      </c>
      <c r="D375" s="58"/>
      <c r="E375" s="58"/>
      <c r="F375" s="747">
        <v>0</v>
      </c>
      <c r="G375" s="745" t="s">
        <v>351</v>
      </c>
      <c r="H375" s="58"/>
      <c r="I375" s="58"/>
      <c r="J375" s="58"/>
    </row>
    <row r="376" spans="1:10">
      <c r="A376" s="379">
        <f>A375+1</f>
        <v>228</v>
      </c>
      <c r="B376" s="768"/>
      <c r="C376" s="217" t="s">
        <v>1323</v>
      </c>
      <c r="D376" s="58"/>
      <c r="E376" s="58"/>
      <c r="F376" s="770" t="s">
        <v>1324</v>
      </c>
      <c r="G376" s="745" t="s">
        <v>351</v>
      </c>
      <c r="H376" s="58"/>
      <c r="I376" s="58"/>
      <c r="J376" s="58"/>
    </row>
    <row r="377" spans="1:10">
      <c r="A377" s="768"/>
      <c r="B377" s="768"/>
      <c r="C377" s="58"/>
      <c r="D377" s="58"/>
      <c r="E377" s="58"/>
      <c r="F377" s="58"/>
      <c r="G377" s="58"/>
      <c r="H377" s="58"/>
      <c r="I377" s="58"/>
      <c r="J377" s="58"/>
    </row>
    <row r="378" spans="1:10">
      <c r="A378" s="768"/>
      <c r="B378" s="768"/>
      <c r="C378" s="964" t="s">
        <v>1346</v>
      </c>
      <c r="D378" s="58"/>
      <c r="E378" s="58"/>
      <c r="F378" s="58"/>
      <c r="G378" s="114" t="s">
        <v>1317</v>
      </c>
      <c r="H378" s="58"/>
      <c r="I378" s="58"/>
      <c r="J378" s="58"/>
    </row>
    <row r="379" spans="1:10">
      <c r="A379" s="379">
        <f>A376+1</f>
        <v>229</v>
      </c>
      <c r="B379" s="768"/>
      <c r="C379" s="341" t="s">
        <v>1318</v>
      </c>
      <c r="D379" s="58"/>
      <c r="E379" s="58"/>
      <c r="F379" s="770" t="s">
        <v>1319</v>
      </c>
      <c r="G379" s="770" t="s">
        <v>1345</v>
      </c>
      <c r="H379" s="58"/>
      <c r="I379" s="58"/>
      <c r="J379" s="58"/>
    </row>
    <row r="380" spans="1:10">
      <c r="A380" s="379">
        <f>A379+1</f>
        <v>230</v>
      </c>
      <c r="B380" s="768"/>
      <c r="C380" s="217" t="s">
        <v>1321</v>
      </c>
      <c r="D380" s="58"/>
      <c r="E380" s="58"/>
      <c r="F380" s="747">
        <v>0</v>
      </c>
      <c r="G380" s="745" t="s">
        <v>351</v>
      </c>
      <c r="H380" s="58"/>
      <c r="I380" s="58"/>
      <c r="J380" s="58"/>
    </row>
    <row r="381" spans="1:10">
      <c r="A381" s="379">
        <f>A380+1</f>
        <v>231</v>
      </c>
      <c r="B381" s="768"/>
      <c r="C381" s="217" t="s">
        <v>1323</v>
      </c>
      <c r="D381" s="58"/>
      <c r="E381" s="58"/>
      <c r="F381" s="770" t="s">
        <v>1319</v>
      </c>
      <c r="G381" s="770" t="s">
        <v>1347</v>
      </c>
      <c r="H381" s="58"/>
      <c r="I381" s="58"/>
      <c r="J381" s="58"/>
    </row>
    <row r="382" spans="1:10">
      <c r="A382" s="768"/>
      <c r="B382" s="768"/>
      <c r="C382" s="58"/>
      <c r="D382" s="58"/>
      <c r="E382" s="58"/>
      <c r="F382" s="58"/>
      <c r="G382" s="58"/>
      <c r="H382" s="58"/>
      <c r="I382" s="58"/>
      <c r="J382" s="58"/>
    </row>
    <row r="383" spans="1:10">
      <c r="A383" s="768"/>
      <c r="B383" s="768"/>
      <c r="C383" s="964" t="s">
        <v>1348</v>
      </c>
      <c r="D383" s="58"/>
      <c r="E383" s="58"/>
      <c r="F383" s="58"/>
      <c r="G383" s="114" t="s">
        <v>1317</v>
      </c>
      <c r="H383" s="58"/>
      <c r="I383" s="58"/>
      <c r="J383" s="58"/>
    </row>
    <row r="384" spans="1:10">
      <c r="A384" s="379">
        <f>A381+1</f>
        <v>232</v>
      </c>
      <c r="B384" s="768"/>
      <c r="C384" s="341" t="s">
        <v>1318</v>
      </c>
      <c r="D384" s="58"/>
      <c r="E384" s="58"/>
      <c r="F384" s="770" t="s">
        <v>1319</v>
      </c>
      <c r="G384" s="770" t="s">
        <v>1345</v>
      </c>
      <c r="H384" s="58"/>
      <c r="I384" s="58"/>
      <c r="J384" s="58"/>
    </row>
    <row r="385" spans="1:10">
      <c r="A385" s="379">
        <f>A384+1</f>
        <v>233</v>
      </c>
      <c r="B385" s="768"/>
      <c r="C385" s="217" t="s">
        <v>1321</v>
      </c>
      <c r="D385" s="58"/>
      <c r="E385" s="58"/>
      <c r="F385" s="747">
        <v>0</v>
      </c>
      <c r="G385" s="745" t="s">
        <v>351</v>
      </c>
      <c r="H385" s="58"/>
      <c r="I385" s="58"/>
      <c r="J385" s="58"/>
    </row>
    <row r="386" spans="1:10">
      <c r="A386" s="379">
        <f>A385+1</f>
        <v>234</v>
      </c>
      <c r="B386" s="768"/>
      <c r="C386" s="217" t="s">
        <v>1323</v>
      </c>
      <c r="D386" s="58"/>
      <c r="E386" s="58"/>
      <c r="F386" s="770" t="s">
        <v>1319</v>
      </c>
      <c r="G386" s="770" t="s">
        <v>1347</v>
      </c>
      <c r="H386" s="58"/>
      <c r="I386" s="58"/>
      <c r="J386" s="58"/>
    </row>
    <row r="387" spans="1:10">
      <c r="A387" s="768"/>
      <c r="B387" s="768"/>
      <c r="C387" s="988"/>
      <c r="D387" s="58"/>
      <c r="E387" s="58"/>
      <c r="F387" s="58"/>
      <c r="G387" s="58"/>
      <c r="H387" s="58"/>
      <c r="I387" s="58"/>
      <c r="J387" s="58"/>
    </row>
    <row r="388" spans="1:10" s="768" customFormat="1">
      <c r="C388" s="964" t="s">
        <v>1349</v>
      </c>
      <c r="D388" s="58"/>
      <c r="E388" s="58"/>
      <c r="F388" s="58"/>
      <c r="G388" s="114" t="s">
        <v>1317</v>
      </c>
      <c r="H388" s="58"/>
      <c r="I388" s="58"/>
      <c r="J388" s="58"/>
    </row>
    <row r="389" spans="1:10" s="768" customFormat="1">
      <c r="A389" s="379">
        <f>A386+1</f>
        <v>235</v>
      </c>
      <c r="C389" s="341" t="s">
        <v>1318</v>
      </c>
      <c r="D389" s="58"/>
      <c r="E389" s="58"/>
      <c r="F389" s="770"/>
      <c r="G389" s="770"/>
      <c r="H389" s="58"/>
      <c r="I389" s="58"/>
      <c r="J389" s="58"/>
    </row>
    <row r="390" spans="1:10" s="768" customFormat="1">
      <c r="A390" s="379">
        <f>A389+1</f>
        <v>236</v>
      </c>
      <c r="C390" s="217" t="s">
        <v>1321</v>
      </c>
      <c r="D390" s="58"/>
      <c r="E390" s="58"/>
      <c r="F390" s="747"/>
      <c r="G390" s="745"/>
      <c r="H390" s="58"/>
      <c r="I390" s="58"/>
      <c r="J390" s="58"/>
    </row>
    <row r="391" spans="1:10" s="768" customFormat="1">
      <c r="A391" s="379">
        <f>A390+1</f>
        <v>237</v>
      </c>
      <c r="C391" s="217" t="s">
        <v>1323</v>
      </c>
      <c r="D391" s="58"/>
      <c r="E391" s="58"/>
      <c r="F391" s="770"/>
      <c r="G391" s="770"/>
      <c r="H391" s="58"/>
      <c r="I391" s="58"/>
      <c r="J391" s="58"/>
    </row>
    <row r="392" spans="1:10" s="768" customFormat="1">
      <c r="C392" s="219" t="s">
        <v>661</v>
      </c>
    </row>
    <row r="394" spans="1:10">
      <c r="A394" s="768"/>
      <c r="B394" s="220" t="s">
        <v>408</v>
      </c>
      <c r="C394" s="768"/>
      <c r="D394" s="768"/>
      <c r="E394" s="768"/>
      <c r="F394" s="768"/>
      <c r="G394" s="768"/>
      <c r="H394" s="768"/>
      <c r="I394" s="768"/>
      <c r="J394" s="768"/>
    </row>
    <row r="395" spans="1:10">
      <c r="A395" s="768"/>
      <c r="B395" s="768"/>
      <c r="C395" s="298" t="s">
        <v>1350</v>
      </c>
      <c r="D395" s="768"/>
      <c r="E395" s="768"/>
      <c r="F395" s="768"/>
      <c r="G395" s="768"/>
      <c r="H395" s="768"/>
      <c r="I395" s="768"/>
      <c r="J395" s="768"/>
    </row>
    <row r="396" spans="1:10">
      <c r="A396" s="768"/>
      <c r="B396" s="768"/>
      <c r="C396" s="768" t="s">
        <v>1351</v>
      </c>
      <c r="D396" s="768"/>
      <c r="E396" s="768"/>
      <c r="F396" s="768"/>
      <c r="G396" s="768"/>
      <c r="H396" s="768"/>
      <c r="I396" s="768"/>
      <c r="J396" s="768"/>
    </row>
  </sheetData>
  <phoneticPr fontId="22" type="noConversion"/>
  <pageMargins left="0.75" right="0.75" top="1" bottom="1" header="0.5" footer="0.5"/>
  <pageSetup scale="70" orientation="portrait" cellComments="asDisplayed" r:id="rId1"/>
  <headerFooter alignWithMargins="0">
    <oddHeader>&amp;CSchedule 14
Incentive Plant
&amp;RTO2020 Draft Annual Update 
Attachment1</oddHeader>
    <oddFooter>&amp;R&amp;A</oddFooter>
  </headerFooter>
  <rowBreaks count="5" manualBreakCount="5">
    <brk id="66" max="16383" man="1"/>
    <brk id="131" max="16383" man="1"/>
    <brk id="189" max="16383" man="1"/>
    <brk id="246" max="16383" man="1"/>
    <brk id="3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1352</v>
      </c>
      <c r="B1" s="1"/>
      <c r="C1" s="768"/>
      <c r="D1" s="768"/>
      <c r="E1" s="768"/>
      <c r="F1" s="768"/>
      <c r="G1" s="768"/>
      <c r="H1" s="768"/>
      <c r="I1" s="768"/>
    </row>
    <row r="2" spans="1:9">
      <c r="A2" s="1"/>
      <c r="B2" s="1"/>
      <c r="C2" s="768"/>
      <c r="D2" s="768"/>
      <c r="E2" s="768"/>
      <c r="F2" s="768"/>
      <c r="G2" s="341" t="s">
        <v>1168</v>
      </c>
      <c r="H2" s="341"/>
      <c r="I2" s="768"/>
    </row>
    <row r="3" spans="1:9">
      <c r="A3" s="1"/>
      <c r="B3" s="298" t="s">
        <v>1353</v>
      </c>
      <c r="C3" s="768"/>
      <c r="D3" s="768"/>
      <c r="E3" s="768"/>
      <c r="F3" s="768"/>
      <c r="G3" s="768"/>
      <c r="H3" s="768"/>
      <c r="I3" s="768"/>
    </row>
    <row r="4" spans="1:9">
      <c r="A4" s="1"/>
      <c r="B4" s="302" t="s">
        <v>1354</v>
      </c>
      <c r="C4" s="768"/>
      <c r="D4" s="768"/>
      <c r="E4" s="768"/>
      <c r="F4" s="768"/>
      <c r="G4" s="768"/>
      <c r="H4" s="768"/>
      <c r="I4" s="768"/>
    </row>
    <row r="5" spans="1:9">
      <c r="A5" s="1"/>
      <c r="B5" s="302" t="s">
        <v>1355</v>
      </c>
      <c r="C5" s="768"/>
      <c r="D5" s="768"/>
      <c r="E5" s="768"/>
      <c r="F5" s="768"/>
      <c r="G5" s="768"/>
      <c r="H5" s="768"/>
      <c r="I5" s="768"/>
    </row>
    <row r="7" spans="1:9" ht="13.5" customHeight="1">
      <c r="A7" s="768"/>
      <c r="B7" s="1" t="s">
        <v>1356</v>
      </c>
      <c r="C7" s="768"/>
      <c r="D7" s="768"/>
      <c r="E7" s="768"/>
      <c r="F7" s="768"/>
      <c r="G7" s="768"/>
      <c r="H7" s="768"/>
      <c r="I7" s="768"/>
    </row>
    <row r="8" spans="1:9">
      <c r="A8" s="1"/>
      <c r="B8" s="1"/>
      <c r="C8" s="768"/>
      <c r="D8" s="768"/>
      <c r="E8" s="768"/>
      <c r="F8" s="768"/>
      <c r="G8" s="768"/>
      <c r="H8" s="768"/>
      <c r="I8" s="768"/>
    </row>
    <row r="9" spans="1:9">
      <c r="A9" s="1"/>
      <c r="B9" s="1"/>
      <c r="C9" s="298" t="s">
        <v>1357</v>
      </c>
      <c r="D9" s="768"/>
      <c r="E9" s="768"/>
      <c r="F9" s="768"/>
      <c r="G9" s="768"/>
      <c r="H9" s="768"/>
      <c r="I9" s="768"/>
    </row>
    <row r="10" spans="1:9">
      <c r="A10" s="1"/>
      <c r="B10" s="1"/>
      <c r="C10" s="298" t="s">
        <v>1358</v>
      </c>
      <c r="D10" s="768"/>
      <c r="E10" s="768"/>
      <c r="F10" s="768"/>
      <c r="G10" s="768"/>
      <c r="H10" s="768"/>
      <c r="I10" s="768"/>
    </row>
    <row r="11" spans="1:9">
      <c r="A11" s="1"/>
      <c r="B11" s="1"/>
      <c r="C11" s="298"/>
      <c r="D11" s="768"/>
      <c r="E11" s="768"/>
      <c r="F11" s="768"/>
      <c r="G11" s="768"/>
      <c r="H11" s="768"/>
      <c r="I11" s="768"/>
    </row>
    <row r="12" spans="1:9">
      <c r="A12" s="1"/>
      <c r="B12" s="1"/>
      <c r="C12" s="298" t="s">
        <v>1359</v>
      </c>
      <c r="D12" s="768"/>
      <c r="E12" s="768"/>
      <c r="F12" s="768"/>
      <c r="G12" s="768"/>
      <c r="H12" s="768"/>
      <c r="I12" s="768"/>
    </row>
    <row r="13" spans="1:9">
      <c r="A13" s="1"/>
      <c r="B13" s="1"/>
      <c r="C13" s="768"/>
      <c r="D13" s="768"/>
      <c r="E13" s="768"/>
      <c r="F13" s="768"/>
      <c r="G13" s="768"/>
      <c r="H13" s="768"/>
      <c r="I13" s="768"/>
    </row>
    <row r="14" spans="1:9">
      <c r="A14" s="28" t="s">
        <v>243</v>
      </c>
      <c r="B14" s="1"/>
      <c r="C14" s="298" t="s">
        <v>248</v>
      </c>
      <c r="D14" s="768"/>
      <c r="E14" s="768"/>
      <c r="F14" s="768"/>
      <c r="G14" s="69" t="s">
        <v>100</v>
      </c>
      <c r="H14" s="768"/>
      <c r="I14" s="2" t="s">
        <v>763</v>
      </c>
    </row>
    <row r="15" spans="1:9">
      <c r="A15" s="64">
        <v>1</v>
      </c>
      <c r="B15" s="25"/>
      <c r="C15" s="297" t="s">
        <v>1360</v>
      </c>
      <c r="D15" s="10"/>
      <c r="E15" s="10"/>
      <c r="F15" s="10"/>
      <c r="G15" s="39">
        <f>'1-BaseTRR'!K80</f>
        <v>0.47467683631000485</v>
      </c>
      <c r="H15" s="10"/>
      <c r="I15" s="300" t="str">
        <f>"1-BaseTRR, L "&amp;'1-BaseTRR'!A80&amp;""</f>
        <v>1-BaseTRR, L 47</v>
      </c>
    </row>
    <row r="16" spans="1:9">
      <c r="A16" s="64">
        <v>2</v>
      </c>
      <c r="B16" s="25"/>
      <c r="C16" s="297" t="s">
        <v>196</v>
      </c>
      <c r="D16" s="10"/>
      <c r="E16" s="10"/>
      <c r="F16" s="10"/>
      <c r="G16" s="39">
        <f>'1-BaseTRR'!K102</f>
        <v>0.27983599999999997</v>
      </c>
      <c r="H16" s="10"/>
      <c r="I16" s="300" t="str">
        <f>"1-BaseTRR, L "&amp;'1-BaseTRR'!A102&amp;""</f>
        <v>1-BaseTRR, L 59</v>
      </c>
    </row>
    <row r="17" spans="1:9">
      <c r="A17" s="64">
        <v>3</v>
      </c>
      <c r="B17" s="25"/>
      <c r="C17" s="10"/>
      <c r="D17" s="10"/>
      <c r="E17" s="10"/>
      <c r="F17" s="669" t="s">
        <v>1361</v>
      </c>
      <c r="G17" s="37">
        <f>G15*(1/(1-G16))* 10000</f>
        <v>6591.2325013469817</v>
      </c>
      <c r="H17" s="10"/>
      <c r="I17" s="300" t="s">
        <v>1362</v>
      </c>
    </row>
    <row r="18" spans="1:9">
      <c r="A18" s="10"/>
      <c r="B18" s="10"/>
      <c r="C18" s="10"/>
      <c r="D18" s="10"/>
      <c r="E18" s="10"/>
      <c r="F18" s="10"/>
      <c r="G18" s="10"/>
      <c r="H18" s="10"/>
      <c r="I18" s="10"/>
    </row>
    <row r="19" spans="1:9">
      <c r="A19" s="10"/>
      <c r="B19" s="25" t="s">
        <v>1363</v>
      </c>
      <c r="C19" s="10"/>
      <c r="D19" s="10"/>
      <c r="E19" s="10"/>
      <c r="F19" s="10"/>
      <c r="G19" s="10"/>
      <c r="H19" s="10"/>
      <c r="I19" s="10"/>
    </row>
    <row r="20" spans="1:9">
      <c r="A20" s="25"/>
      <c r="B20" s="25"/>
      <c r="C20" s="300" t="s">
        <v>1364</v>
      </c>
      <c r="D20" s="10"/>
      <c r="E20" s="10"/>
      <c r="F20" s="10"/>
      <c r="G20" s="10"/>
      <c r="H20" s="10"/>
      <c r="I20" s="10"/>
    </row>
    <row r="21" spans="1:9">
      <c r="A21" s="25"/>
      <c r="B21" s="25"/>
      <c r="C21" s="300" t="s">
        <v>1365</v>
      </c>
      <c r="D21" s="10"/>
      <c r="E21" s="10"/>
      <c r="F21" s="10"/>
      <c r="G21" s="10"/>
      <c r="H21" s="10"/>
      <c r="I21" s="10"/>
    </row>
    <row r="22" spans="1:9">
      <c r="A22" s="25"/>
      <c r="B22" s="25"/>
      <c r="C22" s="10"/>
      <c r="D22" s="10"/>
      <c r="E22" s="10"/>
      <c r="F22" s="10"/>
      <c r="G22" s="10"/>
      <c r="H22" s="10"/>
      <c r="I22" s="10"/>
    </row>
    <row r="23" spans="1:9">
      <c r="A23" s="25"/>
      <c r="B23" s="25"/>
      <c r="C23" s="10"/>
      <c r="D23" s="10"/>
      <c r="E23" s="10"/>
      <c r="F23" s="64" t="s">
        <v>1366</v>
      </c>
      <c r="G23" s="10"/>
      <c r="H23" s="10"/>
      <c r="I23" s="10"/>
    </row>
    <row r="24" spans="1:9">
      <c r="A24" s="663" t="s">
        <v>243</v>
      </c>
      <c r="B24" s="663"/>
      <c r="C24" s="10"/>
      <c r="D24" s="10"/>
      <c r="E24" s="74" t="s">
        <v>1367</v>
      </c>
      <c r="F24" s="74" t="s">
        <v>1368</v>
      </c>
      <c r="G24" s="74" t="s">
        <v>763</v>
      </c>
      <c r="H24" s="10"/>
      <c r="I24" s="10"/>
    </row>
    <row r="25" spans="1:9">
      <c r="A25" s="64">
        <f>A17+1</f>
        <v>4</v>
      </c>
      <c r="B25" s="64"/>
      <c r="C25" s="10" t="s">
        <v>1271</v>
      </c>
      <c r="D25" s="10"/>
      <c r="E25" s="47">
        <f>'14-IncentivePlant'!F327</f>
        <v>7.4999999999999997E-3</v>
      </c>
      <c r="F25" s="697">
        <f>E25/0.01</f>
        <v>0.75</v>
      </c>
      <c r="G25" s="297" t="str">
        <f>"14-IncentivePlant, L "&amp;'14-IncentivePlant'!A327&amp;""</f>
        <v>14-IncentivePlant, L 197</v>
      </c>
      <c r="H25" s="10"/>
      <c r="I25" s="10"/>
    </row>
    <row r="26" spans="1:9">
      <c r="A26" s="64">
        <f>A25+1</f>
        <v>5</v>
      </c>
      <c r="B26" s="64"/>
      <c r="C26" s="10" t="s">
        <v>1272</v>
      </c>
      <c r="D26" s="10"/>
      <c r="E26" s="47">
        <f>'14-IncentivePlant'!F332</f>
        <v>1.2500000000000001E-2</v>
      </c>
      <c r="F26" s="697">
        <f>E26/0.01</f>
        <v>1.25</v>
      </c>
      <c r="G26" s="297" t="str">
        <f>"14-IncentivePlant, L "&amp;'14-IncentivePlant'!A332&amp;""</f>
        <v>14-IncentivePlant, L 200</v>
      </c>
      <c r="H26" s="10"/>
      <c r="I26" s="10"/>
    </row>
    <row r="27" spans="1:9">
      <c r="A27" s="64">
        <f>A26+1</f>
        <v>6</v>
      </c>
      <c r="B27" s="64"/>
      <c r="C27" s="300" t="s">
        <v>1369</v>
      </c>
      <c r="D27" s="10"/>
      <c r="E27" s="47">
        <f>'14-IncentivePlant'!F337</f>
        <v>0.01</v>
      </c>
      <c r="F27" s="697">
        <f>E27/0.01</f>
        <v>1</v>
      </c>
      <c r="G27" s="297" t="str">
        <f>"14-IncentivePlant, L "&amp;'14-IncentivePlant'!A337&amp;""</f>
        <v>14-IncentivePlant, L 203</v>
      </c>
      <c r="H27" s="10"/>
      <c r="I27" s="10"/>
    </row>
    <row r="28" spans="1:9">
      <c r="A28" s="379">
        <f>A27+1</f>
        <v>7</v>
      </c>
      <c r="B28" s="379"/>
      <c r="C28" s="770"/>
      <c r="D28" s="58"/>
      <c r="E28" s="23"/>
      <c r="F28" s="59"/>
      <c r="G28" s="768"/>
      <c r="H28" s="768"/>
      <c r="I28" s="768"/>
    </row>
    <row r="29" spans="1:9">
      <c r="A29" s="379">
        <f>A28+1</f>
        <v>8</v>
      </c>
      <c r="B29" s="379"/>
      <c r="C29" s="320" t="s">
        <v>661</v>
      </c>
      <c r="D29" s="768"/>
      <c r="E29" s="23"/>
      <c r="F29" s="59"/>
      <c r="G29" s="768"/>
      <c r="H29" s="768"/>
      <c r="I29" s="768"/>
    </row>
    <row r="31" spans="1:9">
      <c r="A31" s="768"/>
      <c r="B31" s="1" t="s">
        <v>1370</v>
      </c>
      <c r="C31" s="768"/>
      <c r="D31" s="768"/>
      <c r="E31" s="768"/>
      <c r="F31" s="768"/>
      <c r="G31" s="768"/>
      <c r="H31" s="768"/>
      <c r="I31" s="768"/>
    </row>
    <row r="32" spans="1:9">
      <c r="A32" s="1"/>
      <c r="B32" s="1"/>
      <c r="C32" s="298" t="s">
        <v>1371</v>
      </c>
      <c r="D32" s="768"/>
      <c r="E32" s="768"/>
      <c r="F32" s="768"/>
      <c r="G32" s="768"/>
      <c r="H32" s="768"/>
      <c r="I32" s="768"/>
    </row>
    <row r="33" spans="1:9">
      <c r="A33" s="1"/>
      <c r="B33" s="1"/>
      <c r="C33" s="298" t="s">
        <v>1372</v>
      </c>
      <c r="D33" s="768"/>
      <c r="E33" s="768"/>
      <c r="F33" s="768"/>
      <c r="G33" s="768"/>
      <c r="H33" s="768"/>
      <c r="I33" s="768"/>
    </row>
    <row r="34" spans="1:9">
      <c r="A34" s="1"/>
      <c r="B34" s="1"/>
      <c r="C34" s="298" t="s">
        <v>1373</v>
      </c>
      <c r="D34" s="768"/>
      <c r="E34" s="768"/>
      <c r="F34" s="768"/>
      <c r="G34" s="768"/>
      <c r="H34" s="768"/>
      <c r="I34" s="768"/>
    </row>
    <row r="35" spans="1:9">
      <c r="A35" s="768"/>
      <c r="B35" s="768"/>
      <c r="C35" s="768"/>
      <c r="D35" s="768"/>
      <c r="E35" s="379"/>
      <c r="F35" s="768"/>
      <c r="G35" s="379"/>
      <c r="H35" s="768"/>
      <c r="I35" s="768"/>
    </row>
    <row r="36" spans="1:9">
      <c r="A36" s="768"/>
      <c r="B36" s="768"/>
      <c r="C36" s="768"/>
      <c r="D36" s="768"/>
      <c r="E36" s="379" t="s">
        <v>1024</v>
      </c>
      <c r="F36" s="768"/>
      <c r="G36" s="379" t="s">
        <v>1024</v>
      </c>
      <c r="H36" s="768"/>
      <c r="I36" s="768"/>
    </row>
    <row r="37" spans="1:9">
      <c r="A37" s="768"/>
      <c r="B37" s="768"/>
      <c r="C37" s="768"/>
      <c r="D37" s="768"/>
      <c r="E37" s="379" t="s">
        <v>1255</v>
      </c>
      <c r="F37" s="379" t="s">
        <v>1366</v>
      </c>
      <c r="G37" s="379" t="s">
        <v>1255</v>
      </c>
      <c r="H37" s="768"/>
      <c r="I37" s="768"/>
    </row>
    <row r="38" spans="1:9">
      <c r="A38" s="28" t="s">
        <v>243</v>
      </c>
      <c r="B38" s="28"/>
      <c r="C38" s="768"/>
      <c r="D38" s="768"/>
      <c r="E38" s="2" t="s">
        <v>121</v>
      </c>
      <c r="F38" s="2" t="s">
        <v>1368</v>
      </c>
      <c r="G38" s="2" t="s">
        <v>1374</v>
      </c>
      <c r="H38" s="2" t="s">
        <v>763</v>
      </c>
      <c r="I38" s="768"/>
    </row>
    <row r="39" spans="1:9">
      <c r="A39" s="379">
        <f>A29+1</f>
        <v>9</v>
      </c>
      <c r="B39" s="379"/>
      <c r="C39" s="768" t="s">
        <v>1271</v>
      </c>
      <c r="D39" s="768"/>
      <c r="E39" s="5">
        <f>'14-IncentivePlant'!E46</f>
        <v>145492993.73031563</v>
      </c>
      <c r="F39" s="59">
        <f>F25</f>
        <v>0.75</v>
      </c>
      <c r="G39" s="5">
        <f>(E39/1000000)*(F39*$G$17)</f>
        <v>719233.61174514669</v>
      </c>
      <c r="H39" s="297" t="str">
        <f>"14-IncentivePlant, L "&amp;'14-IncentivePlant'!A46&amp;", Col. 1"</f>
        <v>14-IncentivePlant, L 13, Col. 1</v>
      </c>
      <c r="I39" s="10"/>
    </row>
    <row r="40" spans="1:9">
      <c r="A40" s="379">
        <f>A39+1</f>
        <v>10</v>
      </c>
      <c r="B40" s="379"/>
      <c r="C40" s="768" t="s">
        <v>1272</v>
      </c>
      <c r="D40" s="768"/>
      <c r="E40" s="5">
        <f>'14-IncentivePlant'!E47</f>
        <v>2663122729.6135092</v>
      </c>
      <c r="F40" s="59">
        <f>F26</f>
        <v>1.25</v>
      </c>
      <c r="G40" s="5">
        <f>(E40/1000000)*(F40*$G$17)</f>
        <v>21941576.363130566</v>
      </c>
      <c r="H40" s="297" t="str">
        <f>"14-IncentivePlant, L "&amp;'14-IncentivePlant'!A47&amp;", Col. 1"</f>
        <v>14-IncentivePlant, L 14, Col. 1</v>
      </c>
      <c r="I40" s="10"/>
    </row>
    <row r="41" spans="1:9">
      <c r="A41" s="379">
        <f>A40+1</f>
        <v>11</v>
      </c>
      <c r="B41" s="379"/>
      <c r="C41" s="298" t="s">
        <v>1369</v>
      </c>
      <c r="D41" s="768"/>
      <c r="E41" s="5">
        <f>'14-IncentivePlant'!E48</f>
        <v>669164921.1930002</v>
      </c>
      <c r="F41" s="59">
        <f>F27</f>
        <v>1</v>
      </c>
      <c r="G41" s="5">
        <f>(E41/1000000)*(F41*$G$17)</f>
        <v>4410621.5773285944</v>
      </c>
      <c r="H41" s="297" t="str">
        <f>"14-IncentivePlant, L "&amp;'14-IncentivePlant'!A48&amp;", Col. 1"</f>
        <v>14-IncentivePlant, L 15, Col. 1</v>
      </c>
      <c r="I41" s="10"/>
    </row>
    <row r="42" spans="1:9">
      <c r="A42" s="379">
        <f>A41+1</f>
        <v>12</v>
      </c>
      <c r="B42" s="379"/>
      <c r="C42" s="770"/>
      <c r="D42" s="58"/>
      <c r="E42" s="768"/>
      <c r="F42" s="768"/>
      <c r="G42" s="768"/>
      <c r="H42" s="10"/>
      <c r="I42" s="768"/>
    </row>
    <row r="43" spans="1:9">
      <c r="A43" s="379">
        <f>A42+1</f>
        <v>13</v>
      </c>
      <c r="B43" s="379"/>
      <c r="C43" s="320" t="s">
        <v>661</v>
      </c>
      <c r="D43" s="768"/>
      <c r="E43" s="768"/>
      <c r="F43" s="768"/>
      <c r="G43" s="768"/>
      <c r="H43" s="10"/>
      <c r="I43" s="768"/>
    </row>
    <row r="44" spans="1:9">
      <c r="A44" s="379">
        <f>A43+1</f>
        <v>14</v>
      </c>
      <c r="B44" s="768"/>
      <c r="C44" s="768"/>
      <c r="D44" s="768"/>
      <c r="E44" s="768"/>
      <c r="F44" s="18" t="s">
        <v>1375</v>
      </c>
      <c r="G44" s="5">
        <f>SUM(G39:G42)</f>
        <v>27071431.552204303</v>
      </c>
      <c r="H44" s="297" t="s">
        <v>1376</v>
      </c>
      <c r="I44" s="10"/>
    </row>
    <row r="45" spans="1:9">
      <c r="A45" s="768"/>
      <c r="B45" s="768"/>
      <c r="C45" s="768"/>
      <c r="D45" s="768"/>
      <c r="E45" s="768"/>
      <c r="F45" s="768"/>
      <c r="G45" s="768"/>
      <c r="H45" s="297" t="s">
        <v>1377</v>
      </c>
      <c r="I45" s="37"/>
    </row>
    <row r="46" spans="1:9">
      <c r="A46" s="768"/>
      <c r="B46" s="1" t="s">
        <v>1378</v>
      </c>
      <c r="C46" s="768"/>
      <c r="D46" s="768"/>
      <c r="E46" s="768"/>
      <c r="F46" s="768"/>
      <c r="G46" s="768"/>
      <c r="H46" s="10"/>
      <c r="I46" s="768"/>
    </row>
    <row r="47" spans="1:9">
      <c r="A47" s="1"/>
      <c r="B47" s="1"/>
      <c r="C47" s="298" t="s">
        <v>1379</v>
      </c>
      <c r="D47" s="768"/>
      <c r="E47" s="768"/>
      <c r="F47" s="768"/>
      <c r="G47" s="768"/>
      <c r="H47" s="10"/>
      <c r="I47" s="768"/>
    </row>
    <row r="48" spans="1:9">
      <c r="A48" s="1"/>
      <c r="B48" s="1"/>
      <c r="C48" s="298" t="s">
        <v>1380</v>
      </c>
      <c r="D48" s="768"/>
      <c r="E48" s="768"/>
      <c r="F48" s="768"/>
      <c r="G48" s="768"/>
      <c r="H48" s="10"/>
      <c r="I48" s="768"/>
    </row>
    <row r="49" spans="1:9">
      <c r="A49" s="1"/>
      <c r="B49" s="1"/>
      <c r="C49" s="298" t="s">
        <v>1381</v>
      </c>
      <c r="D49" s="768"/>
      <c r="E49" s="768"/>
      <c r="F49" s="768"/>
      <c r="G49" s="768"/>
      <c r="H49" s="10"/>
      <c r="I49" s="768"/>
    </row>
    <row r="50" spans="1:9">
      <c r="A50" s="768"/>
      <c r="B50" s="768"/>
      <c r="C50" s="768"/>
      <c r="D50" s="768"/>
      <c r="E50" s="768"/>
      <c r="F50" s="768"/>
      <c r="G50" s="768"/>
      <c r="H50" s="10"/>
      <c r="I50" s="768"/>
    </row>
    <row r="51" spans="1:9">
      <c r="A51" s="768"/>
      <c r="B51" s="768"/>
      <c r="C51" s="768"/>
      <c r="D51" s="768"/>
      <c r="E51" s="379" t="s">
        <v>1382</v>
      </c>
      <c r="F51" s="768"/>
      <c r="G51" s="379" t="s">
        <v>1382</v>
      </c>
      <c r="H51" s="10"/>
      <c r="I51" s="768"/>
    </row>
    <row r="52" spans="1:9">
      <c r="A52" s="768"/>
      <c r="B52" s="768"/>
      <c r="C52" s="768"/>
      <c r="D52" s="768"/>
      <c r="E52" s="379" t="s">
        <v>1255</v>
      </c>
      <c r="F52" s="379" t="s">
        <v>1366</v>
      </c>
      <c r="G52" s="379" t="s">
        <v>1255</v>
      </c>
      <c r="H52" s="10"/>
      <c r="I52" s="768"/>
    </row>
    <row r="53" spans="1:9">
      <c r="A53" s="28" t="s">
        <v>243</v>
      </c>
      <c r="B53" s="28"/>
      <c r="C53" s="768"/>
      <c r="D53" s="768"/>
      <c r="E53" s="2" t="s">
        <v>1303</v>
      </c>
      <c r="F53" s="2" t="s">
        <v>1368</v>
      </c>
      <c r="G53" s="2" t="s">
        <v>1374</v>
      </c>
      <c r="H53" s="74" t="s">
        <v>763</v>
      </c>
      <c r="I53" s="768"/>
    </row>
    <row r="54" spans="1:9">
      <c r="A54" s="379">
        <f>A44+1</f>
        <v>15</v>
      </c>
      <c r="B54" s="379"/>
      <c r="C54" s="768" t="s">
        <v>1271</v>
      </c>
      <c r="D54" s="768"/>
      <c r="E54" s="5">
        <f>'14-IncentivePlant'!E60</f>
        <v>147862518.26265371</v>
      </c>
      <c r="F54" s="59">
        <f>F25</f>
        <v>0.75</v>
      </c>
      <c r="G54" s="5">
        <f>(E54/1000000)*(F54*$G$17)</f>
        <v>730947.17707786104</v>
      </c>
      <c r="H54" s="297" t="str">
        <f>"14-IncentivePlant, L "&amp;'14-IncentivePlant'!A60&amp;", Col. 1"</f>
        <v>14-IncentivePlant, L 19, Col. 1</v>
      </c>
      <c r="I54" s="10"/>
    </row>
    <row r="55" spans="1:9">
      <c r="A55" s="379">
        <f>A54+1</f>
        <v>16</v>
      </c>
      <c r="B55" s="379"/>
      <c r="C55" s="768" t="s">
        <v>1272</v>
      </c>
      <c r="D55" s="768"/>
      <c r="E55" s="5">
        <f>'14-IncentivePlant'!E61</f>
        <v>2693150442.2823501</v>
      </c>
      <c r="F55" s="59">
        <f>F26</f>
        <v>1.25</v>
      </c>
      <c r="G55" s="5">
        <f>(E55/1000000)*(F55*$G$17)</f>
        <v>22188975.90773553</v>
      </c>
      <c r="H55" s="297" t="str">
        <f>"14-IncentivePlant, L "&amp;'14-IncentivePlant'!A61&amp;", Col. 1"</f>
        <v>14-IncentivePlant, L 20, Col. 1</v>
      </c>
      <c r="I55" s="10"/>
    </row>
    <row r="56" spans="1:9">
      <c r="A56" s="379">
        <f>A55+1</f>
        <v>17</v>
      </c>
      <c r="B56" s="379"/>
      <c r="C56" s="298" t="s">
        <v>1369</v>
      </c>
      <c r="D56" s="768"/>
      <c r="E56" s="5">
        <f>'14-IncentivePlant'!E62</f>
        <v>678332000.23392022</v>
      </c>
      <c r="F56" s="59">
        <f>F27</f>
        <v>1</v>
      </c>
      <c r="G56" s="5">
        <f>(E56/1000000)*(F56*$G$17)</f>
        <v>4471043.9266455229</v>
      </c>
      <c r="H56" s="297" t="str">
        <f>"14-IncentivePlant, L "&amp;'14-IncentivePlant'!A62&amp;", Col. 1"</f>
        <v>14-IncentivePlant, L 21, Col. 1</v>
      </c>
      <c r="I56" s="10"/>
    </row>
    <row r="57" spans="1:9">
      <c r="A57" s="379">
        <f>A56+1</f>
        <v>18</v>
      </c>
      <c r="B57" s="379"/>
      <c r="C57" s="770"/>
      <c r="D57" s="58"/>
      <c r="E57" s="768"/>
      <c r="F57" s="768"/>
      <c r="G57" s="768"/>
      <c r="H57" s="10"/>
      <c r="I57" s="10"/>
    </row>
    <row r="58" spans="1:9">
      <c r="A58" s="379">
        <f>A57+1</f>
        <v>19</v>
      </c>
      <c r="B58" s="379"/>
      <c r="C58" s="320" t="s">
        <v>661</v>
      </c>
      <c r="D58" s="768"/>
      <c r="E58" s="768"/>
      <c r="F58" s="768"/>
      <c r="G58" s="768"/>
      <c r="H58" s="10"/>
      <c r="I58" s="10"/>
    </row>
    <row r="59" spans="1:9">
      <c r="A59" s="379">
        <f>A58+1</f>
        <v>20</v>
      </c>
      <c r="B59" s="768"/>
      <c r="C59" s="768"/>
      <c r="D59" s="768"/>
      <c r="E59" s="768"/>
      <c r="F59" s="296" t="s">
        <v>1383</v>
      </c>
      <c r="G59" s="5">
        <f>SUM(G54:G57)</f>
        <v>27390967.011458911</v>
      </c>
      <c r="H59" s="297" t="s">
        <v>1376</v>
      </c>
      <c r="I59" s="10"/>
    </row>
    <row r="60" spans="1:9">
      <c r="A60" s="768"/>
      <c r="B60" s="768"/>
      <c r="C60" s="768"/>
      <c r="D60" s="768"/>
      <c r="E60" s="768"/>
      <c r="F60" s="768"/>
      <c r="G60" s="768"/>
      <c r="H60" s="297" t="s">
        <v>1377</v>
      </c>
      <c r="I60" s="37"/>
    </row>
    <row r="61" spans="1:9">
      <c r="A61" s="768"/>
      <c r="B61" s="1" t="s">
        <v>1384</v>
      </c>
      <c r="C61" s="768"/>
      <c r="D61" s="768"/>
      <c r="E61" s="768"/>
      <c r="F61" s="768"/>
      <c r="G61" s="768"/>
      <c r="H61" s="768"/>
      <c r="I61" s="768"/>
    </row>
    <row r="63" spans="1:9">
      <c r="A63" s="768"/>
      <c r="B63" s="768"/>
      <c r="C63" s="1" t="s">
        <v>1385</v>
      </c>
      <c r="D63" s="768"/>
      <c r="E63" s="768"/>
      <c r="F63" s="768"/>
      <c r="G63" s="768"/>
      <c r="H63" s="768"/>
      <c r="I63" s="768"/>
    </row>
    <row r="65" spans="1:7">
      <c r="A65" s="768"/>
      <c r="B65" s="768"/>
      <c r="C65" s="768"/>
      <c r="D65" s="768"/>
      <c r="E65" s="379" t="s">
        <v>444</v>
      </c>
      <c r="F65" s="768"/>
      <c r="G65" s="768"/>
    </row>
    <row r="66" spans="1:7">
      <c r="A66" s="768"/>
      <c r="B66" s="768"/>
      <c r="C66" s="379" t="s">
        <v>1255</v>
      </c>
      <c r="D66" s="768"/>
      <c r="E66" s="379" t="s">
        <v>1268</v>
      </c>
      <c r="F66" s="768"/>
      <c r="G66" s="768"/>
    </row>
    <row r="67" spans="1:7">
      <c r="A67" s="28" t="s">
        <v>243</v>
      </c>
      <c r="B67" s="768"/>
      <c r="C67" s="2" t="s">
        <v>1172</v>
      </c>
      <c r="D67" s="768"/>
      <c r="E67" s="2" t="s">
        <v>1270</v>
      </c>
      <c r="F67" s="2" t="s">
        <v>763</v>
      </c>
      <c r="G67" s="768"/>
    </row>
    <row r="68" spans="1:7">
      <c r="A68" s="379">
        <f>A59+1</f>
        <v>21</v>
      </c>
      <c r="B68" s="768"/>
      <c r="C68" s="768" t="s">
        <v>1271</v>
      </c>
      <c r="D68" s="768"/>
      <c r="E68" s="5">
        <f>'14-IncentivePlant'!G60</f>
        <v>147862518.26265371</v>
      </c>
      <c r="F68" s="297" t="str">
        <f>"14-IncentivePlant, L "&amp;'14-IncentivePlant'!A60&amp;", Col. 3"</f>
        <v>14-IncentivePlant, L 19, Col. 3</v>
      </c>
      <c r="G68" s="10"/>
    </row>
    <row r="69" spans="1:7">
      <c r="A69" s="379">
        <f t="shared" ref="A69:A71" si="0">A68+1</f>
        <v>22</v>
      </c>
      <c r="B69" s="768"/>
      <c r="C69" s="768" t="s">
        <v>1272</v>
      </c>
      <c r="D69" s="768"/>
      <c r="E69" s="5">
        <f>'14-IncentivePlant'!G61</f>
        <v>2692995712.1400423</v>
      </c>
      <c r="F69" s="297" t="str">
        <f>"14-IncentivePlant, L "&amp;'14-IncentivePlant'!A61&amp;", Col. 3"</f>
        <v>14-IncentivePlant, L 20, Col. 3</v>
      </c>
      <c r="G69" s="10"/>
    </row>
    <row r="70" spans="1:7">
      <c r="A70" s="379">
        <f t="shared" si="0"/>
        <v>23</v>
      </c>
      <c r="B70" s="768"/>
      <c r="C70" s="298" t="s">
        <v>1369</v>
      </c>
      <c r="D70" s="768"/>
      <c r="E70" s="5">
        <f>'14-IncentivePlant'!G62</f>
        <v>678332000.23392022</v>
      </c>
      <c r="F70" s="297" t="str">
        <f>"14-IncentivePlant, L "&amp;'14-IncentivePlant'!A62&amp;", Col. 3"</f>
        <v>14-IncentivePlant, L 21, Col. 3</v>
      </c>
      <c r="G70" s="10"/>
    </row>
    <row r="71" spans="1:7">
      <c r="A71" s="379">
        <f t="shared" si="0"/>
        <v>24</v>
      </c>
      <c r="B71" s="768"/>
      <c r="C71" s="770"/>
      <c r="D71" s="768"/>
      <c r="E71" s="768"/>
      <c r="F71" s="297"/>
      <c r="G71" s="10"/>
    </row>
    <row r="72" spans="1:7">
      <c r="A72" s="768"/>
      <c r="B72" s="768"/>
      <c r="C72" s="320" t="s">
        <v>661</v>
      </c>
      <c r="D72" s="768"/>
      <c r="E72" s="768"/>
      <c r="F72" s="10"/>
      <c r="G72" s="10"/>
    </row>
    <row r="73" spans="1:7">
      <c r="A73" s="768"/>
      <c r="B73" s="768"/>
      <c r="C73" s="320"/>
      <c r="D73" s="768"/>
      <c r="E73" s="768"/>
      <c r="F73" s="10"/>
      <c r="G73" s="10"/>
    </row>
    <row r="74" spans="1:7">
      <c r="A74" s="768"/>
      <c r="B74" s="768"/>
      <c r="C74" s="1" t="s">
        <v>1386</v>
      </c>
      <c r="D74" s="768"/>
      <c r="E74" s="768"/>
      <c r="F74" s="10"/>
      <c r="G74" s="10"/>
    </row>
    <row r="75" spans="1:7">
      <c r="A75" s="768"/>
      <c r="B75" s="768"/>
      <c r="C75" s="1"/>
      <c r="D75" s="768"/>
      <c r="E75" s="768"/>
      <c r="F75" s="10"/>
      <c r="G75" s="10"/>
    </row>
    <row r="76" spans="1:7">
      <c r="A76" s="768"/>
      <c r="B76" s="768"/>
      <c r="C76" s="768"/>
      <c r="D76" s="768"/>
      <c r="E76" s="2" t="s">
        <v>307</v>
      </c>
      <c r="F76" s="74" t="s">
        <v>308</v>
      </c>
      <c r="G76" s="10"/>
    </row>
    <row r="77" spans="1:7">
      <c r="A77" s="768"/>
      <c r="B77" s="768"/>
      <c r="C77" s="768"/>
      <c r="D77" s="768"/>
      <c r="E77" s="2"/>
      <c r="F77" s="64" t="s">
        <v>1387</v>
      </c>
      <c r="G77" s="10"/>
    </row>
    <row r="78" spans="1:7">
      <c r="A78" s="768"/>
      <c r="B78" s="768"/>
      <c r="C78" s="768"/>
      <c r="D78" s="768"/>
      <c r="E78" s="379" t="s">
        <v>337</v>
      </c>
      <c r="F78" s="64" t="s">
        <v>337</v>
      </c>
      <c r="G78" s="10"/>
    </row>
    <row r="79" spans="1:7">
      <c r="A79" s="768"/>
      <c r="B79" s="768"/>
      <c r="C79" s="379" t="s">
        <v>1255</v>
      </c>
      <c r="D79" s="768"/>
      <c r="E79" s="379" t="s">
        <v>1255</v>
      </c>
      <c r="F79" s="64" t="s">
        <v>1255</v>
      </c>
      <c r="G79" s="10"/>
    </row>
    <row r="80" spans="1:7">
      <c r="A80" s="28" t="s">
        <v>243</v>
      </c>
      <c r="B80" s="768"/>
      <c r="C80" s="2" t="s">
        <v>1172</v>
      </c>
      <c r="D80" s="768"/>
      <c r="E80" s="2" t="s">
        <v>1374</v>
      </c>
      <c r="F80" s="74" t="s">
        <v>1374</v>
      </c>
      <c r="G80" s="74" t="s">
        <v>763</v>
      </c>
    </row>
    <row r="81" spans="1:8">
      <c r="A81" s="379">
        <f>A71+1</f>
        <v>25</v>
      </c>
      <c r="B81" s="768"/>
      <c r="C81" s="768" t="s">
        <v>1271</v>
      </c>
      <c r="D81" s="768"/>
      <c r="E81" s="5">
        <f>(E68/1000000)*(F54*$G$17)</f>
        <v>730947.17707786104</v>
      </c>
      <c r="F81" s="37">
        <f>E81*(1-$G$16)</f>
        <v>526401.8428331007</v>
      </c>
      <c r="G81" s="297" t="s">
        <v>1000</v>
      </c>
      <c r="H81" s="768"/>
    </row>
    <row r="82" spans="1:8">
      <c r="A82" s="379">
        <f t="shared" ref="A82:A86" si="1">A81+1</f>
        <v>26</v>
      </c>
      <c r="B82" s="768"/>
      <c r="C82" s="768" t="s">
        <v>1272</v>
      </c>
      <c r="D82" s="768"/>
      <c r="E82" s="5">
        <f>(E69/1000000)*(F55*$G$17)</f>
        <v>22187701.079806883</v>
      </c>
      <c r="F82" s="37">
        <f>E82*(1-$G$16)</f>
        <v>15978783.560438044</v>
      </c>
      <c r="G82" s="297" t="s">
        <v>1000</v>
      </c>
      <c r="H82" s="768"/>
    </row>
    <row r="83" spans="1:8">
      <c r="A83" s="379">
        <f t="shared" si="1"/>
        <v>27</v>
      </c>
      <c r="B83" s="768"/>
      <c r="C83" s="298" t="s">
        <v>1369</v>
      </c>
      <c r="D83" s="768"/>
      <c r="E83" s="5">
        <f>(E70/1000000)*(F56*$G$17)</f>
        <v>4471043.9266455229</v>
      </c>
      <c r="F83" s="37">
        <f>E83*(1-$G$16)</f>
        <v>3219884.8783887466</v>
      </c>
      <c r="G83" s="297" t="s">
        <v>1000</v>
      </c>
      <c r="H83" s="768"/>
    </row>
    <row r="84" spans="1:8">
      <c r="A84" s="379">
        <f t="shared" si="1"/>
        <v>28</v>
      </c>
      <c r="B84" s="768"/>
      <c r="C84" s="770"/>
      <c r="D84" s="768"/>
      <c r="E84" s="5"/>
      <c r="F84" s="37"/>
      <c r="G84" s="297" t="s">
        <v>1000</v>
      </c>
      <c r="H84" s="768"/>
    </row>
    <row r="85" spans="1:8">
      <c r="A85" s="379">
        <f t="shared" si="1"/>
        <v>29</v>
      </c>
      <c r="B85" s="768"/>
      <c r="C85" s="320" t="s">
        <v>661</v>
      </c>
      <c r="D85" s="768"/>
      <c r="E85" s="5"/>
      <c r="F85" s="37"/>
      <c r="G85" s="10"/>
      <c r="H85" s="768"/>
    </row>
    <row r="86" spans="1:8">
      <c r="A86" s="379">
        <f t="shared" si="1"/>
        <v>30</v>
      </c>
      <c r="B86" s="768"/>
      <c r="C86" s="768"/>
      <c r="D86" s="768"/>
      <c r="E86" s="296" t="s">
        <v>382</v>
      </c>
      <c r="F86" s="37">
        <f>SUM(F81:F85)</f>
        <v>19725070.28165989</v>
      </c>
      <c r="G86" s="10"/>
      <c r="H86" s="768"/>
    </row>
    <row r="87" spans="1:8">
      <c r="A87" s="768"/>
      <c r="B87" s="768"/>
      <c r="C87" s="768"/>
      <c r="D87" s="768"/>
      <c r="E87" s="768"/>
      <c r="F87" s="10"/>
      <c r="G87" s="10"/>
      <c r="H87" s="768"/>
    </row>
    <row r="88" spans="1:8">
      <c r="A88" s="768"/>
      <c r="B88" s="768"/>
      <c r="C88" s="1" t="s">
        <v>1388</v>
      </c>
      <c r="D88" s="768"/>
      <c r="E88" s="768"/>
      <c r="F88" s="10"/>
      <c r="G88" s="10"/>
      <c r="H88" s="768"/>
    </row>
    <row r="89" spans="1:8">
      <c r="A89" s="28" t="s">
        <v>243</v>
      </c>
      <c r="B89" s="768"/>
      <c r="C89" s="768"/>
      <c r="D89" s="768"/>
      <c r="E89" s="768"/>
      <c r="F89" s="74" t="s">
        <v>79</v>
      </c>
      <c r="G89" s="74" t="s">
        <v>763</v>
      </c>
      <c r="H89" s="768"/>
    </row>
    <row r="90" spans="1:8">
      <c r="A90" s="379">
        <f>A86+1</f>
        <v>31</v>
      </c>
      <c r="B90" s="768"/>
      <c r="C90" s="768"/>
      <c r="D90" s="768"/>
      <c r="E90" s="296" t="s">
        <v>1389</v>
      </c>
      <c r="F90" s="37">
        <f>'4-TUTRR'!J29</f>
        <v>5676622649.2917042</v>
      </c>
      <c r="G90" s="297" t="str">
        <f>"4-TUTRR, Line "&amp;'4-TUTRR'!A29&amp;""</f>
        <v>4-TUTRR, Line 18</v>
      </c>
      <c r="H90" s="10"/>
    </row>
    <row r="91" spans="1:8">
      <c r="A91" s="379">
        <f t="shared" ref="A91:A94" si="2">A90+1</f>
        <v>32</v>
      </c>
      <c r="B91" s="768"/>
      <c r="C91" s="768"/>
      <c r="D91" s="768"/>
      <c r="E91" s="296" t="s">
        <v>1390</v>
      </c>
      <c r="F91" s="65">
        <f>'4-TUTRR'!J24</f>
        <v>297221934.48615384</v>
      </c>
      <c r="G91" s="297" t="str">
        <f>"4-TUTRR, Line "&amp;'4-TUTRR'!A24&amp;""</f>
        <v>4-TUTRR, Line 14</v>
      </c>
      <c r="H91" s="10"/>
    </row>
    <row r="92" spans="1:8">
      <c r="A92" s="379">
        <f t="shared" si="2"/>
        <v>33</v>
      </c>
      <c r="B92" s="768"/>
      <c r="C92" s="768"/>
      <c r="D92" s="768"/>
      <c r="E92" s="296" t="s">
        <v>1391</v>
      </c>
      <c r="F92" s="37">
        <f>F90-F91</f>
        <v>5379400714.8055506</v>
      </c>
      <c r="G92" s="67" t="str">
        <f>"Line "&amp;A90&amp;" - Line "&amp;A91&amp;""</f>
        <v>Line 31 - Line 32</v>
      </c>
      <c r="H92" s="10"/>
    </row>
    <row r="93" spans="1:8">
      <c r="A93" s="379">
        <f t="shared" si="2"/>
        <v>34</v>
      </c>
      <c r="B93" s="768"/>
      <c r="C93" s="768"/>
      <c r="D93" s="768"/>
      <c r="E93" s="296" t="s">
        <v>1392</v>
      </c>
      <c r="F93" s="39">
        <f>'1-BaseTRR'!K80</f>
        <v>0.47467683631000485</v>
      </c>
      <c r="G93" s="297" t="str">
        <f>"1-BaseTRR, Line "&amp;'1-BaseTRR'!A80&amp;""</f>
        <v>1-BaseTRR, Line 47</v>
      </c>
      <c r="H93" s="10"/>
    </row>
    <row r="94" spans="1:8">
      <c r="A94" s="379">
        <f t="shared" si="2"/>
        <v>35</v>
      </c>
      <c r="B94" s="768"/>
      <c r="C94" s="768"/>
      <c r="D94" s="768"/>
      <c r="E94" s="296" t="s">
        <v>1393</v>
      </c>
      <c r="F94" s="5">
        <f>F92*F93</f>
        <v>2553476912.5476775</v>
      </c>
      <c r="G94" s="67" t="str">
        <f>"Line "&amp;A92&amp;" * Line "&amp;A93&amp;""</f>
        <v>Line 33 * Line 34</v>
      </c>
      <c r="H94" s="10"/>
    </row>
    <row r="96" spans="1:8">
      <c r="A96" s="768"/>
      <c r="B96" s="768"/>
      <c r="C96" s="1" t="s">
        <v>1394</v>
      </c>
      <c r="D96" s="768"/>
      <c r="E96" s="768"/>
      <c r="F96" s="768"/>
      <c r="G96" s="768"/>
      <c r="H96" s="768"/>
    </row>
    <row r="97" spans="1:9">
      <c r="A97" s="28" t="s">
        <v>243</v>
      </c>
      <c r="B97" s="768"/>
      <c r="C97" s="768"/>
      <c r="D97" s="768"/>
      <c r="E97" s="768"/>
      <c r="F97" s="768"/>
      <c r="G97" s="768"/>
      <c r="H97" s="768"/>
      <c r="I97" s="768"/>
    </row>
    <row r="98" spans="1:9">
      <c r="A98" s="379">
        <f>A94+1</f>
        <v>36</v>
      </c>
      <c r="B98" s="768"/>
      <c r="C98" s="768"/>
      <c r="D98" s="768"/>
      <c r="E98" s="296" t="s">
        <v>1395</v>
      </c>
      <c r="F98" s="23">
        <f>F86/F94</f>
        <v>7.7247889670479216E-3</v>
      </c>
      <c r="G98" s="67" t="str">
        <f>"Line "&amp;A86&amp;" / Line "&amp;A94&amp;""</f>
        <v>Line 30 / Line 35</v>
      </c>
      <c r="H98" s="10"/>
      <c r="I98" s="768"/>
    </row>
    <row r="99" spans="1:9">
      <c r="A99" s="379">
        <f t="shared" ref="A99:A101" si="3">A98+1</f>
        <v>37</v>
      </c>
      <c r="B99" s="768"/>
      <c r="C99" s="768"/>
      <c r="D99" s="768"/>
      <c r="E99" s="296" t="s">
        <v>1396</v>
      </c>
      <c r="F99" s="768"/>
      <c r="G99" s="10"/>
      <c r="H99" s="10"/>
      <c r="I99" s="768"/>
    </row>
    <row r="100" spans="1:9">
      <c r="A100" s="379">
        <f t="shared" si="3"/>
        <v>38</v>
      </c>
      <c r="B100" s="768"/>
      <c r="C100" s="768"/>
      <c r="D100" s="768"/>
      <c r="E100" s="296" t="s">
        <v>1397</v>
      </c>
      <c r="F100" s="321">
        <f>'1-BaseTRR'!K85</f>
        <v>0.1762</v>
      </c>
      <c r="G100" s="297" t="str">
        <f>"1-BaseTRR, Line "&amp;'1-BaseTRR'!A85&amp;""</f>
        <v>1-BaseTRR, Line 50</v>
      </c>
      <c r="H100" s="10"/>
      <c r="I100" s="10"/>
    </row>
    <row r="101" spans="1:9">
      <c r="A101" s="379">
        <f t="shared" si="3"/>
        <v>39</v>
      </c>
      <c r="B101" s="768"/>
      <c r="C101" s="768"/>
      <c r="D101" s="768"/>
      <c r="E101" s="296" t="s">
        <v>1398</v>
      </c>
      <c r="F101" s="23">
        <f>F98+F100</f>
        <v>0.18392478896704792</v>
      </c>
      <c r="G101" s="67" t="str">
        <f>"Line "&amp;A98&amp;" + Line "&amp;A100&amp;""</f>
        <v>Line 36 + Line 38</v>
      </c>
      <c r="H101" s="10"/>
      <c r="I101" s="10"/>
    </row>
    <row r="102" spans="1:9">
      <c r="A102" s="768"/>
      <c r="B102" s="768"/>
      <c r="C102" s="768"/>
      <c r="D102" s="768"/>
      <c r="E102" s="768"/>
      <c r="F102" s="768"/>
      <c r="G102" s="10"/>
      <c r="H102" s="10"/>
      <c r="I102" s="10"/>
    </row>
    <row r="103" spans="1:9">
      <c r="A103" s="768"/>
      <c r="B103" s="1" t="s">
        <v>408</v>
      </c>
      <c r="C103" s="768"/>
      <c r="D103" s="768"/>
      <c r="E103" s="768"/>
      <c r="F103" s="768"/>
      <c r="G103" s="768"/>
      <c r="H103" s="768"/>
      <c r="I103" s="768"/>
    </row>
    <row r="104" spans="1:9">
      <c r="A104" s="768"/>
      <c r="B104" s="298" t="s">
        <v>1399</v>
      </c>
      <c r="C104" s="768"/>
      <c r="D104" s="768"/>
      <c r="E104" s="768"/>
      <c r="F104" s="768"/>
      <c r="G104" s="768"/>
      <c r="H104" s="768"/>
      <c r="I104" s="768"/>
    </row>
    <row r="105" spans="1:9">
      <c r="A105" s="768"/>
      <c r="B105" s="298" t="s">
        <v>1400</v>
      </c>
      <c r="C105" s="768"/>
      <c r="D105" s="768"/>
      <c r="E105" s="768"/>
      <c r="F105" s="768"/>
      <c r="G105" s="768"/>
      <c r="H105" s="768"/>
      <c r="I105" s="768"/>
    </row>
    <row r="107" spans="1:9">
      <c r="A107" s="768"/>
      <c r="B107" s="1" t="s">
        <v>226</v>
      </c>
      <c r="C107" s="768"/>
      <c r="D107" s="768"/>
      <c r="E107" s="768"/>
      <c r="F107" s="768"/>
      <c r="G107" s="768"/>
      <c r="H107" s="768"/>
      <c r="I107" s="768"/>
    </row>
    <row r="108" spans="1:9">
      <c r="A108" s="768"/>
      <c r="B108" s="300" t="str">
        <f>"1) Column 1: The True Up Incentive Adder for each Incentive Project equals the IREF on Line "&amp;A17&amp;","</f>
        <v>1) Column 1: The True Up Incentive Adder for each Incentive Project equals the IREF on Line 3,</v>
      </c>
      <c r="C108" s="768"/>
      <c r="D108" s="768"/>
      <c r="E108" s="768"/>
      <c r="F108" s="768"/>
      <c r="G108" s="768"/>
      <c r="H108" s="768"/>
      <c r="I108" s="768"/>
    </row>
    <row r="109" spans="1:9">
      <c r="A109" s="768"/>
      <c r="B109" s="300" t="str">
        <f>"times the applicable Multiplicative Factor on Lines "&amp;A54&amp;" to "&amp;A57&amp;", times the million $ of"</f>
        <v>times the applicable Multiplicative Factor on Lines 15 to 18, times the million $ of</v>
      </c>
      <c r="C109" s="768"/>
      <c r="D109" s="768"/>
      <c r="E109" s="768"/>
      <c r="F109" s="768"/>
      <c r="G109" s="768"/>
      <c r="H109" s="768"/>
      <c r="I109" s="768"/>
    </row>
    <row r="110" spans="1:9">
      <c r="A110" s="768"/>
      <c r="B110" s="300" t="str">
        <f>"TIP Net Plant In Service on Lines "&amp;A68&amp;" to "&amp;A71&amp;"."</f>
        <v>TIP Net Plant In Service on Lines 21 to 24.</v>
      </c>
      <c r="C110" s="768"/>
      <c r="D110" s="768"/>
      <c r="E110" s="768"/>
      <c r="F110" s="768"/>
      <c r="G110" s="768"/>
      <c r="H110" s="768"/>
      <c r="I110" s="768"/>
    </row>
    <row r="111" spans="1:9">
      <c r="A111" s="768"/>
      <c r="B111" s="300" t="s">
        <v>1401</v>
      </c>
      <c r="C111" s="768"/>
      <c r="D111" s="768"/>
      <c r="E111" s="768"/>
      <c r="F111" s="768"/>
      <c r="G111" s="768"/>
      <c r="H111" s="768"/>
      <c r="I111" s="768"/>
    </row>
    <row r="112" spans="1:9">
      <c r="A112" s="768"/>
      <c r="B112" s="300" t="str">
        <f>"Column 1 by (1 - CTR) (Where the CTR is on Line "&amp;A16&amp;")."</f>
        <v>Column 1 by (1 - CTR) (Where the CTR is on Line 2).</v>
      </c>
      <c r="C112" s="768"/>
      <c r="D112" s="768"/>
      <c r="E112" s="768"/>
      <c r="F112" s="768"/>
      <c r="G112" s="768"/>
      <c r="H112" s="768"/>
      <c r="I112" s="768"/>
    </row>
  </sheetData>
  <phoneticPr fontId="22" type="noConversion"/>
  <pageMargins left="0.75" right="0.75" top="1" bottom="1" header="0.5" footer="0.5"/>
  <pageSetup scale="75" orientation="portrait" cellComments="asDisplayed" r:id="rId1"/>
  <headerFooter alignWithMargins="0">
    <oddHeader>&amp;CSchedule 15
Incentive Adders
&amp;RTO2020 Draft Annual Update 
Attachment1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90" zoomScaleNormal="90" workbookViewId="0"/>
  </sheetViews>
  <sheetFormatPr defaultColWidth="9.140625" defaultRowHeight="12.75"/>
  <cols>
    <col min="1" max="1" width="4.7109375" style="445" customWidth="1"/>
    <col min="2" max="2" width="6" style="445" customWidth="1"/>
    <col min="3" max="3" width="15.7109375" style="445" customWidth="1"/>
    <col min="4" max="4" width="9.140625" style="445" customWidth="1"/>
    <col min="5" max="6" width="14.7109375" style="445" customWidth="1"/>
    <col min="7" max="7" width="16" style="445" bestFit="1" customWidth="1"/>
    <col min="8" max="8" width="18.28515625" style="445" customWidth="1"/>
    <col min="9" max="10" width="15.7109375" style="445" customWidth="1"/>
    <col min="11" max="11" width="16.85546875" style="445" customWidth="1"/>
    <col min="12" max="16" width="15.7109375" style="445" customWidth="1"/>
    <col min="17" max="17" width="2.85546875" style="445" customWidth="1"/>
    <col min="18" max="21" width="18.7109375" style="445" customWidth="1"/>
    <col min="22" max="22" width="15.7109375" style="445" customWidth="1"/>
    <col min="23" max="23" width="20.85546875" style="445" bestFit="1" customWidth="1"/>
    <col min="24" max="40" width="15.7109375" style="445" customWidth="1"/>
    <col min="41" max="16384" width="9.140625" style="445"/>
  </cols>
  <sheetData>
    <row r="1" spans="1:40">
      <c r="A1" s="410" t="s">
        <v>1402</v>
      </c>
    </row>
    <row r="2" spans="1:40">
      <c r="F2" s="446" t="s">
        <v>1403</v>
      </c>
      <c r="G2" s="446"/>
    </row>
    <row r="3" spans="1:40">
      <c r="B3" s="411" t="s">
        <v>1404</v>
      </c>
    </row>
    <row r="4" spans="1:40">
      <c r="B4" s="411" t="s">
        <v>1405</v>
      </c>
    </row>
    <row r="5" spans="1:40">
      <c r="B5" s="411" t="s">
        <v>1406</v>
      </c>
    </row>
    <row r="6" spans="1:40">
      <c r="B6" s="411"/>
    </row>
    <row r="7" spans="1:40">
      <c r="B7" s="410" t="s">
        <v>1407</v>
      </c>
      <c r="H7" s="411"/>
      <c r="I7" s="411"/>
    </row>
    <row r="8" spans="1:40">
      <c r="B8" s="411"/>
      <c r="E8" s="447" t="s">
        <v>307</v>
      </c>
      <c r="F8" s="447" t="s">
        <v>308</v>
      </c>
      <c r="G8" s="447" t="s">
        <v>309</v>
      </c>
      <c r="H8" s="447" t="s">
        <v>310</v>
      </c>
      <c r="I8" s="447" t="s">
        <v>311</v>
      </c>
      <c r="J8" s="447" t="s">
        <v>312</v>
      </c>
      <c r="K8" s="447" t="s">
        <v>313</v>
      </c>
      <c r="L8" s="447" t="s">
        <v>314</v>
      </c>
      <c r="M8" s="447" t="s">
        <v>315</v>
      </c>
      <c r="N8" s="447" t="s">
        <v>534</v>
      </c>
      <c r="O8" s="447" t="s">
        <v>535</v>
      </c>
      <c r="P8" s="447" t="s">
        <v>536</v>
      </c>
      <c r="T8" s="447"/>
      <c r="U8" s="447"/>
      <c r="X8" s="448"/>
      <c r="Y8" s="448"/>
      <c r="Z8" s="448"/>
      <c r="AA8" s="448"/>
      <c r="AB8" s="448"/>
      <c r="AC8" s="448"/>
      <c r="AD8" s="448"/>
      <c r="AE8" s="448"/>
      <c r="AF8" s="448"/>
      <c r="AG8" s="448"/>
      <c r="AH8" s="448"/>
      <c r="AI8" s="448"/>
      <c r="AJ8" s="448"/>
      <c r="AK8" s="448"/>
      <c r="AL8" s="448"/>
      <c r="AM8" s="448"/>
      <c r="AN8" s="448"/>
    </row>
    <row r="9" spans="1:40">
      <c r="B9" s="411"/>
      <c r="E9" s="1012" t="s">
        <v>317</v>
      </c>
      <c r="F9" s="1012" t="s">
        <v>317</v>
      </c>
      <c r="G9" s="1012" t="s">
        <v>317</v>
      </c>
      <c r="H9" s="1012" t="s">
        <v>317</v>
      </c>
      <c r="I9" s="1012" t="s">
        <v>317</v>
      </c>
      <c r="J9" s="1012" t="s">
        <v>317</v>
      </c>
      <c r="K9" s="1012" t="s">
        <v>317</v>
      </c>
      <c r="L9" s="1012" t="s">
        <v>317</v>
      </c>
      <c r="M9" s="1012" t="s">
        <v>317</v>
      </c>
      <c r="N9" s="1012" t="s">
        <v>317</v>
      </c>
      <c r="O9" s="1012" t="s">
        <v>317</v>
      </c>
      <c r="P9" s="1012" t="s">
        <v>317</v>
      </c>
      <c r="Q9" s="450"/>
    </row>
    <row r="10" spans="1:40">
      <c r="C10" s="451" t="s">
        <v>1082</v>
      </c>
      <c r="E10" s="451" t="s">
        <v>1081</v>
      </c>
      <c r="F10" s="451"/>
      <c r="G10" s="451"/>
      <c r="H10" s="452"/>
      <c r="I10" s="452" t="s">
        <v>1408</v>
      </c>
      <c r="J10" s="452"/>
      <c r="K10" s="452"/>
      <c r="L10" s="452"/>
      <c r="M10" s="452"/>
      <c r="O10" s="451" t="s">
        <v>1081</v>
      </c>
      <c r="P10" s="451" t="s">
        <v>1409</v>
      </c>
      <c r="T10" s="452"/>
      <c r="U10" s="452"/>
      <c r="X10" s="452"/>
      <c r="Y10" s="452"/>
      <c r="Z10" s="452"/>
      <c r="AA10" s="452"/>
      <c r="AB10" s="452"/>
      <c r="AC10" s="452"/>
      <c r="AD10" s="452"/>
      <c r="AE10" s="452"/>
      <c r="AF10" s="452"/>
      <c r="AG10" s="452"/>
      <c r="AH10" s="452"/>
      <c r="AI10" s="452"/>
      <c r="AJ10" s="452"/>
      <c r="AK10" s="452"/>
      <c r="AL10" s="452"/>
      <c r="AM10" s="452"/>
      <c r="AN10" s="452"/>
    </row>
    <row r="11" spans="1:40">
      <c r="B11" s="410"/>
      <c r="C11" s="451" t="s">
        <v>1410</v>
      </c>
      <c r="E11" s="451" t="s">
        <v>388</v>
      </c>
      <c r="F11" s="451" t="s">
        <v>1085</v>
      </c>
      <c r="G11" s="452" t="s">
        <v>1086</v>
      </c>
      <c r="H11" s="452" t="s">
        <v>1411</v>
      </c>
      <c r="I11" s="452" t="s">
        <v>1412</v>
      </c>
      <c r="J11" s="452"/>
      <c r="K11" s="452" t="s">
        <v>1253</v>
      </c>
      <c r="L11" s="452" t="s">
        <v>40</v>
      </c>
      <c r="M11" s="452" t="s">
        <v>1253</v>
      </c>
      <c r="O11" s="452" t="s">
        <v>1413</v>
      </c>
      <c r="P11" s="452" t="s">
        <v>1413</v>
      </c>
      <c r="T11" s="452"/>
      <c r="U11" s="452"/>
      <c r="X11" s="452"/>
      <c r="Y11" s="452"/>
      <c r="Z11" s="452"/>
      <c r="AA11" s="452"/>
      <c r="AB11" s="452"/>
      <c r="AC11" s="452"/>
      <c r="AD11" s="452"/>
      <c r="AE11" s="452"/>
      <c r="AF11" s="452"/>
      <c r="AG11" s="452"/>
      <c r="AH11" s="452"/>
      <c r="AI11" s="452"/>
      <c r="AJ11" s="452"/>
      <c r="AK11" s="452"/>
      <c r="AL11" s="452"/>
      <c r="AM11" s="452"/>
      <c r="AN11" s="452"/>
    </row>
    <row r="12" spans="1:40">
      <c r="A12" s="453" t="s">
        <v>243</v>
      </c>
      <c r="C12" s="435" t="s">
        <v>342</v>
      </c>
      <c r="D12" s="435" t="s">
        <v>343</v>
      </c>
      <c r="E12" s="448" t="s">
        <v>1091</v>
      </c>
      <c r="F12" s="448" t="s">
        <v>1092</v>
      </c>
      <c r="G12" s="454" t="s">
        <v>1093</v>
      </c>
      <c r="H12" s="454" t="s">
        <v>1414</v>
      </c>
      <c r="I12" s="454" t="s">
        <v>1415</v>
      </c>
      <c r="J12" s="454" t="s">
        <v>1408</v>
      </c>
      <c r="K12" s="454" t="s">
        <v>1416</v>
      </c>
      <c r="L12" s="454" t="s">
        <v>1417</v>
      </c>
      <c r="M12" s="454" t="s">
        <v>865</v>
      </c>
      <c r="N12" s="454" t="s">
        <v>1303</v>
      </c>
      <c r="O12" s="454" t="s">
        <v>1415</v>
      </c>
      <c r="P12" s="454" t="s">
        <v>1415</v>
      </c>
      <c r="T12" s="454"/>
      <c r="U12" s="454"/>
      <c r="V12" s="454"/>
      <c r="W12" s="454"/>
      <c r="X12" s="454"/>
      <c r="Y12" s="454"/>
      <c r="Z12" s="454"/>
      <c r="AA12" s="454"/>
      <c r="AB12" s="454"/>
      <c r="AC12" s="454"/>
      <c r="AD12" s="454"/>
      <c r="AE12" s="454"/>
      <c r="AF12" s="454"/>
      <c r="AG12" s="454"/>
      <c r="AH12" s="454"/>
      <c r="AI12" s="454"/>
      <c r="AJ12" s="454"/>
      <c r="AK12" s="454"/>
      <c r="AL12" s="454"/>
      <c r="AM12" s="454"/>
      <c r="AN12" s="454"/>
    </row>
    <row r="13" spans="1:40">
      <c r="A13" s="451">
        <v>1</v>
      </c>
      <c r="C13" s="445" t="str">
        <f>C45</f>
        <v>January</v>
      </c>
      <c r="D13" s="665">
        <v>2019</v>
      </c>
      <c r="E13" s="408">
        <f t="shared" ref="E13:P13" si="0">E45+E76</f>
        <v>27548060.797586117</v>
      </c>
      <c r="F13" s="408">
        <f t="shared" si="0"/>
        <v>6281865.528072536</v>
      </c>
      <c r="G13" s="408">
        <f t="shared" si="0"/>
        <v>1594964.6452135185</v>
      </c>
      <c r="H13" s="408">
        <f t="shared" si="0"/>
        <v>1816719.0760781679</v>
      </c>
      <c r="I13" s="408">
        <f t="shared" si="0"/>
        <v>20892269.374898929</v>
      </c>
      <c r="J13" s="408">
        <f t="shared" si="0"/>
        <v>626768.08124696789</v>
      </c>
      <c r="K13" s="408">
        <f t="shared" si="0"/>
        <v>27953074.447968435</v>
      </c>
      <c r="L13" s="408">
        <f t="shared" si="0"/>
        <v>0</v>
      </c>
      <c r="M13" s="408">
        <f>M45+M76</f>
        <v>-1816719.0760781679</v>
      </c>
      <c r="N13" s="408">
        <f t="shared" si="0"/>
        <v>29769793.524046604</v>
      </c>
      <c r="O13" s="408">
        <f t="shared" si="0"/>
        <v>304089.49465583439</v>
      </c>
      <c r="P13" s="408">
        <f t="shared" si="0"/>
        <v>309137.38026712125</v>
      </c>
      <c r="T13" s="455"/>
      <c r="U13" s="455"/>
      <c r="V13" s="456"/>
      <c r="W13" s="455"/>
      <c r="X13" s="457"/>
      <c r="Y13" s="309"/>
      <c r="Z13" s="455"/>
      <c r="AA13" s="455"/>
      <c r="AB13" s="455"/>
      <c r="AC13" s="455"/>
      <c r="AD13" s="455"/>
      <c r="AE13" s="455"/>
      <c r="AF13" s="455"/>
      <c r="AG13" s="455"/>
      <c r="AH13" s="455"/>
      <c r="AI13" s="455"/>
      <c r="AJ13" s="455"/>
      <c r="AK13" s="455"/>
      <c r="AL13" s="455"/>
      <c r="AM13" s="455"/>
      <c r="AN13" s="455"/>
    </row>
    <row r="14" spans="1:40">
      <c r="A14" s="451">
        <f>A13+1</f>
        <v>2</v>
      </c>
      <c r="C14" s="445" t="str">
        <f t="shared" ref="C14:C29" si="1">C46</f>
        <v>February</v>
      </c>
      <c r="D14" s="665">
        <v>2019</v>
      </c>
      <c r="E14" s="408">
        <f t="shared" ref="E14:P14" si="2">E46+E77</f>
        <v>25936114.137586117</v>
      </c>
      <c r="F14" s="408">
        <f t="shared" si="2"/>
        <v>8098569.0680725323</v>
      </c>
      <c r="G14" s="408">
        <f t="shared" si="2"/>
        <v>1337815.8802135186</v>
      </c>
      <c r="H14" s="408">
        <f t="shared" si="2"/>
        <v>1492109.7540781682</v>
      </c>
      <c r="I14" s="408">
        <f t="shared" si="2"/>
        <v>17159262.171898935</v>
      </c>
      <c r="J14" s="408">
        <f t="shared" si="2"/>
        <v>514777.86515696801</v>
      </c>
      <c r="K14" s="408">
        <f t="shared" si="2"/>
        <v>54249672.576846868</v>
      </c>
      <c r="L14" s="408">
        <f t="shared" si="2"/>
        <v>63770.540129372945</v>
      </c>
      <c r="M14" s="408">
        <f t="shared" si="2"/>
        <v>-3245058.2900269632</v>
      </c>
      <c r="N14" s="408">
        <f t="shared" si="2"/>
        <v>57494730.866873831</v>
      </c>
      <c r="O14" s="408">
        <f t="shared" si="2"/>
        <v>608178.98931166879</v>
      </c>
      <c r="P14" s="408">
        <f t="shared" si="2"/>
        <v>618274.76053424249</v>
      </c>
      <c r="T14" s="455"/>
      <c r="U14" s="455"/>
      <c r="V14" s="456"/>
      <c r="W14" s="455"/>
      <c r="X14" s="457"/>
      <c r="Y14" s="309"/>
      <c r="Z14" s="455"/>
      <c r="AA14" s="455"/>
      <c r="AB14" s="455"/>
      <c r="AC14" s="455"/>
      <c r="AD14" s="455"/>
      <c r="AE14" s="455"/>
      <c r="AF14" s="455"/>
      <c r="AG14" s="455"/>
      <c r="AH14" s="455"/>
      <c r="AI14" s="455"/>
      <c r="AJ14" s="455"/>
      <c r="AK14" s="455"/>
      <c r="AL14" s="455"/>
      <c r="AM14" s="455"/>
      <c r="AN14" s="455"/>
    </row>
    <row r="15" spans="1:40">
      <c r="A15" s="451">
        <f t="shared" ref="A15:A37" si="3">A14+1</f>
        <v>3</v>
      </c>
      <c r="C15" s="445" t="str">
        <f t="shared" si="1"/>
        <v>March</v>
      </c>
      <c r="D15" s="665">
        <v>2019</v>
      </c>
      <c r="E15" s="408">
        <f t="shared" ref="E15:P15" si="4">E47+E78</f>
        <v>19173525.907586128</v>
      </c>
      <c r="F15" s="408">
        <f t="shared" si="4"/>
        <v>1470852.8380725328</v>
      </c>
      <c r="G15" s="408">
        <f t="shared" si="4"/>
        <v>1327700.4802135199</v>
      </c>
      <c r="H15" s="408">
        <f t="shared" si="4"/>
        <v>1479525.2020781697</v>
      </c>
      <c r="I15" s="408">
        <f t="shared" si="4"/>
        <v>17014539.823898949</v>
      </c>
      <c r="J15" s="408">
        <f t="shared" si="4"/>
        <v>510436.19471696846</v>
      </c>
      <c r="K15" s="408">
        <f t="shared" si="4"/>
        <v>73781809.957285315</v>
      </c>
      <c r="L15" s="408">
        <f t="shared" si="4"/>
        <v>123762.09023113688</v>
      </c>
      <c r="M15" s="408">
        <f t="shared" si="4"/>
        <v>-4600821.4018739955</v>
      </c>
      <c r="N15" s="408">
        <f t="shared" si="4"/>
        <v>78382631.359159306</v>
      </c>
      <c r="O15" s="408">
        <f t="shared" si="4"/>
        <v>912268.4839675033</v>
      </c>
      <c r="P15" s="408">
        <f t="shared" si="4"/>
        <v>927412.14080136386</v>
      </c>
      <c r="T15" s="455"/>
      <c r="U15" s="455"/>
      <c r="V15" s="456"/>
      <c r="W15" s="455"/>
      <c r="X15" s="457"/>
      <c r="Y15" s="309"/>
      <c r="Z15" s="455"/>
      <c r="AA15" s="455"/>
      <c r="AB15" s="455"/>
      <c r="AC15" s="455"/>
      <c r="AD15" s="455"/>
      <c r="AE15" s="455"/>
      <c r="AF15" s="455"/>
      <c r="AG15" s="455"/>
      <c r="AH15" s="455"/>
      <c r="AI15" s="455"/>
      <c r="AJ15" s="455"/>
      <c r="AK15" s="455"/>
      <c r="AL15" s="455"/>
      <c r="AM15" s="455"/>
      <c r="AN15" s="455"/>
    </row>
    <row r="16" spans="1:40">
      <c r="A16" s="451">
        <f t="shared" si="3"/>
        <v>4</v>
      </c>
      <c r="C16" s="445" t="str">
        <f t="shared" si="1"/>
        <v>April</v>
      </c>
      <c r="D16" s="665">
        <v>2019</v>
      </c>
      <c r="E16" s="408">
        <f t="shared" ref="E16:P16" si="5">E48+E79</f>
        <v>21209437.037586112</v>
      </c>
      <c r="F16" s="408">
        <f t="shared" si="5"/>
        <v>1877033.9280725331</v>
      </c>
      <c r="G16" s="408">
        <f t="shared" si="5"/>
        <v>1449930.233213518</v>
      </c>
      <c r="H16" s="408">
        <f t="shared" si="5"/>
        <v>1621352.7040781674</v>
      </c>
      <c r="I16" s="408">
        <f t="shared" si="5"/>
        <v>18645556.096898925</v>
      </c>
      <c r="J16" s="408">
        <f t="shared" si="5"/>
        <v>559366.6829069677</v>
      </c>
      <c r="K16" s="408">
        <f t="shared" si="5"/>
        <v>95379191.206913739</v>
      </c>
      <c r="L16" s="408">
        <f t="shared" si="5"/>
        <v>168321.58771861994</v>
      </c>
      <c r="M16" s="408">
        <f t="shared" si="5"/>
        <v>-6053852.5182335433</v>
      </c>
      <c r="N16" s="408">
        <f t="shared" si="5"/>
        <v>101433043.72514728</v>
      </c>
      <c r="O16" s="408">
        <f t="shared" si="5"/>
        <v>1216357.9786233376</v>
      </c>
      <c r="P16" s="408">
        <f t="shared" si="5"/>
        <v>1236549.521068485</v>
      </c>
      <c r="T16" s="455"/>
      <c r="U16" s="455"/>
      <c r="V16" s="456"/>
      <c r="W16" s="455"/>
      <c r="X16" s="457"/>
      <c r="Y16" s="309"/>
      <c r="Z16" s="455"/>
      <c r="AA16" s="455"/>
      <c r="AB16" s="455"/>
      <c r="AC16" s="455"/>
      <c r="AD16" s="455"/>
      <c r="AE16" s="455"/>
      <c r="AF16" s="455"/>
      <c r="AG16" s="455"/>
      <c r="AH16" s="455"/>
      <c r="AI16" s="455"/>
      <c r="AJ16" s="455"/>
      <c r="AK16" s="455"/>
      <c r="AL16" s="455"/>
      <c r="AM16" s="455"/>
      <c r="AN16" s="455"/>
    </row>
    <row r="17" spans="1:40">
      <c r="A17" s="451">
        <f t="shared" si="3"/>
        <v>5</v>
      </c>
      <c r="C17" s="445" t="str">
        <f t="shared" si="1"/>
        <v>May</v>
      </c>
      <c r="D17" s="665">
        <v>2019</v>
      </c>
      <c r="E17" s="408">
        <f t="shared" ref="E17:P17" si="6">E49+E80</f>
        <v>33277606.594786126</v>
      </c>
      <c r="F17" s="408">
        <f t="shared" si="6"/>
        <v>13728301.875272533</v>
      </c>
      <c r="G17" s="408">
        <f t="shared" si="6"/>
        <v>1466197.8539635194</v>
      </c>
      <c r="H17" s="408">
        <f t="shared" si="6"/>
        <v>1616394.2880781689</v>
      </c>
      <c r="I17" s="408">
        <f t="shared" si="6"/>
        <v>18588534.312898941</v>
      </c>
      <c r="J17" s="408">
        <f t="shared" si="6"/>
        <v>557656.02938696824</v>
      </c>
      <c r="K17" s="408">
        <f t="shared" si="6"/>
        <v>129064257.39697218</v>
      </c>
      <c r="L17" s="408">
        <f t="shared" si="6"/>
        <v>217592.61406788413</v>
      </c>
      <c r="M17" s="408">
        <f t="shared" si="6"/>
        <v>-7452654.1922438266</v>
      </c>
      <c r="N17" s="408">
        <f t="shared" si="6"/>
        <v>136516911.58921599</v>
      </c>
      <c r="O17" s="408">
        <f t="shared" si="6"/>
        <v>1520447.4732791721</v>
      </c>
      <c r="P17" s="408">
        <f t="shared" si="6"/>
        <v>1545686.9013356064</v>
      </c>
      <c r="T17" s="455"/>
      <c r="U17" s="455"/>
      <c r="V17" s="456"/>
      <c r="W17" s="455"/>
      <c r="X17" s="457"/>
      <c r="Y17" s="309"/>
      <c r="Z17" s="455"/>
      <c r="AA17" s="455"/>
      <c r="AB17" s="455"/>
      <c r="AC17" s="455"/>
      <c r="AD17" s="455"/>
      <c r="AE17" s="455"/>
      <c r="AF17" s="455"/>
      <c r="AG17" s="455"/>
      <c r="AH17" s="455"/>
      <c r="AI17" s="455"/>
      <c r="AJ17" s="455"/>
      <c r="AK17" s="455"/>
      <c r="AL17" s="455"/>
      <c r="AM17" s="455"/>
      <c r="AN17" s="455"/>
    </row>
    <row r="18" spans="1:40">
      <c r="A18" s="451">
        <f t="shared" si="3"/>
        <v>6</v>
      </c>
      <c r="C18" s="445" t="str">
        <f t="shared" si="1"/>
        <v xml:space="preserve">June </v>
      </c>
      <c r="D18" s="665">
        <v>2019</v>
      </c>
      <c r="E18" s="408">
        <f t="shared" ref="E18:P18" si="7">E50+E81</f>
        <v>32464003.267102867</v>
      </c>
      <c r="F18" s="408">
        <f t="shared" si="7"/>
        <v>3610439.3561285017</v>
      </c>
      <c r="G18" s="408">
        <f t="shared" si="7"/>
        <v>2164017.2933230773</v>
      </c>
      <c r="H18" s="408">
        <f t="shared" si="7"/>
        <v>2386335.7323437952</v>
      </c>
      <c r="I18" s="408">
        <f t="shared" si="7"/>
        <v>27442860.921953645</v>
      </c>
      <c r="J18" s="408">
        <f t="shared" si="7"/>
        <v>823285.82765860925</v>
      </c>
      <c r="K18" s="408">
        <f t="shared" si="7"/>
        <v>162129228.05271292</v>
      </c>
      <c r="L18" s="408">
        <f t="shared" si="7"/>
        <v>294439.79126237071</v>
      </c>
      <c r="M18" s="408">
        <f t="shared" si="7"/>
        <v>-9544550.1333252508</v>
      </c>
      <c r="N18" s="408">
        <f t="shared" si="7"/>
        <v>171673778.1860382</v>
      </c>
      <c r="O18" s="408">
        <f t="shared" si="7"/>
        <v>1824536.9679350066</v>
      </c>
      <c r="P18" s="408">
        <f t="shared" si="7"/>
        <v>1854824.2816027277</v>
      </c>
      <c r="T18" s="455"/>
      <c r="U18" s="455"/>
      <c r="V18" s="456"/>
      <c r="W18" s="455"/>
      <c r="X18" s="457"/>
      <c r="Y18" s="309"/>
      <c r="Z18" s="455"/>
      <c r="AA18" s="455"/>
      <c r="AB18" s="455"/>
      <c r="AC18" s="455"/>
      <c r="AD18" s="455"/>
      <c r="AE18" s="455"/>
      <c r="AF18" s="455"/>
      <c r="AG18" s="455"/>
      <c r="AH18" s="455"/>
      <c r="AI18" s="455"/>
      <c r="AJ18" s="455"/>
      <c r="AK18" s="455"/>
      <c r="AL18" s="455"/>
      <c r="AM18" s="455"/>
      <c r="AN18" s="455"/>
    </row>
    <row r="19" spans="1:40">
      <c r="A19" s="451">
        <f t="shared" si="3"/>
        <v>7</v>
      </c>
      <c r="C19" s="445" t="str">
        <f t="shared" si="1"/>
        <v>July</v>
      </c>
      <c r="D19" s="665">
        <v>2019</v>
      </c>
      <c r="E19" s="408">
        <f t="shared" ref="E19:P19" si="8">E51+E82</f>
        <v>35910134.476282775</v>
      </c>
      <c r="F19" s="408">
        <f t="shared" si="8"/>
        <v>12397414.336862359</v>
      </c>
      <c r="G19" s="408">
        <f t="shared" si="8"/>
        <v>1763454.0104565311</v>
      </c>
      <c r="H19" s="408">
        <f t="shared" si="8"/>
        <v>2007625.9799901557</v>
      </c>
      <c r="I19" s="408">
        <f t="shared" si="8"/>
        <v>23087698.769886792</v>
      </c>
      <c r="J19" s="408">
        <f t="shared" si="8"/>
        <v>692630.96309660375</v>
      </c>
      <c r="K19" s="408">
        <f t="shared" si="8"/>
        <v>198487821.52255866</v>
      </c>
      <c r="L19" s="408">
        <f t="shared" si="8"/>
        <v>369872.31808525481</v>
      </c>
      <c r="M19" s="408">
        <f t="shared" si="8"/>
        <v>-11182303.795230152</v>
      </c>
      <c r="N19" s="408">
        <f t="shared" si="8"/>
        <v>209670125.31778881</v>
      </c>
      <c r="O19" s="408">
        <f t="shared" si="8"/>
        <v>2128626.4625908406</v>
      </c>
      <c r="P19" s="408">
        <f t="shared" si="8"/>
        <v>2163961.6618698486</v>
      </c>
      <c r="T19" s="455"/>
      <c r="U19" s="455"/>
      <c r="V19" s="456"/>
      <c r="W19" s="455"/>
      <c r="X19" s="457"/>
      <c r="Y19" s="309"/>
      <c r="Z19" s="455"/>
      <c r="AA19" s="455"/>
      <c r="AB19" s="455"/>
      <c r="AC19" s="455"/>
      <c r="AD19" s="455"/>
      <c r="AE19" s="455"/>
      <c r="AF19" s="455"/>
      <c r="AG19" s="455"/>
      <c r="AH19" s="455"/>
      <c r="AI19" s="455"/>
      <c r="AJ19" s="455"/>
      <c r="AK19" s="455"/>
      <c r="AL19" s="455"/>
      <c r="AM19" s="455"/>
      <c r="AN19" s="455"/>
    </row>
    <row r="20" spans="1:40">
      <c r="A20" s="451">
        <f t="shared" si="3"/>
        <v>8</v>
      </c>
      <c r="C20" s="445" t="str">
        <f t="shared" si="1"/>
        <v>August</v>
      </c>
      <c r="D20" s="665">
        <v>2019</v>
      </c>
      <c r="E20" s="408">
        <f t="shared" ref="E20:P20" si="9">E52+E83</f>
        <v>30638858.813586086</v>
      </c>
      <c r="F20" s="408">
        <f t="shared" si="9"/>
        <v>10294450.394072529</v>
      </c>
      <c r="G20" s="408">
        <f t="shared" si="9"/>
        <v>1525830.6314635165</v>
      </c>
      <c r="H20" s="408">
        <f t="shared" si="9"/>
        <v>1710202.6580781657</v>
      </c>
      <c r="I20" s="408">
        <f t="shared" si="9"/>
        <v>19667330.567898907</v>
      </c>
      <c r="J20" s="408">
        <f t="shared" si="9"/>
        <v>590019.91703696724</v>
      </c>
      <c r="K20" s="408">
        <f t="shared" si="9"/>
        <v>229532328.22656709</v>
      </c>
      <c r="L20" s="408">
        <f t="shared" si="9"/>
        <v>452818.7270118359</v>
      </c>
      <c r="M20" s="408">
        <f t="shared" si="9"/>
        <v>-12439687.726296483</v>
      </c>
      <c r="N20" s="408">
        <f t="shared" si="9"/>
        <v>241972015.95286357</v>
      </c>
      <c r="O20" s="408">
        <f t="shared" si="9"/>
        <v>2432715.9572466752</v>
      </c>
      <c r="P20" s="408">
        <f t="shared" si="9"/>
        <v>2473099.04213697</v>
      </c>
      <c r="T20" s="455"/>
      <c r="U20" s="455"/>
      <c r="V20" s="456"/>
      <c r="W20" s="455"/>
      <c r="X20" s="457"/>
      <c r="Y20" s="309"/>
      <c r="Z20" s="455"/>
      <c r="AA20" s="455"/>
      <c r="AB20" s="455"/>
      <c r="AC20" s="455"/>
      <c r="AD20" s="455"/>
      <c r="AE20" s="455"/>
      <c r="AF20" s="455"/>
      <c r="AG20" s="455"/>
      <c r="AH20" s="455"/>
      <c r="AI20" s="455"/>
      <c r="AJ20" s="455"/>
      <c r="AK20" s="455"/>
      <c r="AL20" s="455"/>
      <c r="AM20" s="455"/>
      <c r="AN20" s="455"/>
    </row>
    <row r="21" spans="1:40">
      <c r="A21" s="451">
        <f t="shared" si="3"/>
        <v>9</v>
      </c>
      <c r="C21" s="445" t="str">
        <f t="shared" si="1"/>
        <v>September</v>
      </c>
      <c r="D21" s="665">
        <v>2019</v>
      </c>
      <c r="E21" s="408">
        <f t="shared" ref="E21:P21" si="10">E53+E84</f>
        <v>22177330.977586139</v>
      </c>
      <c r="F21" s="408">
        <f t="shared" si="10"/>
        <v>4046085.5580725344</v>
      </c>
      <c r="G21" s="408">
        <f t="shared" si="10"/>
        <v>1359843.4064635204</v>
      </c>
      <c r="H21" s="408">
        <f t="shared" si="10"/>
        <v>1505914.5600781699</v>
      </c>
      <c r="I21" s="408">
        <f t="shared" si="10"/>
        <v>17318017.440898955</v>
      </c>
      <c r="J21" s="408">
        <f t="shared" si="10"/>
        <v>519540.52322696865</v>
      </c>
      <c r="K21" s="408">
        <f t="shared" si="10"/>
        <v>252083128.57376555</v>
      </c>
      <c r="L21" s="408">
        <f t="shared" si="10"/>
        <v>523641.88330720499</v>
      </c>
      <c r="M21" s="408">
        <f t="shared" si="10"/>
        <v>-13421960.403067447</v>
      </c>
      <c r="N21" s="408">
        <f t="shared" si="10"/>
        <v>265505088.97683299</v>
      </c>
      <c r="O21" s="408">
        <f t="shared" si="10"/>
        <v>2736805.4519025101</v>
      </c>
      <c r="P21" s="408">
        <f t="shared" si="10"/>
        <v>2782236.4224040918</v>
      </c>
      <c r="T21" s="455"/>
      <c r="U21" s="455"/>
      <c r="V21" s="456"/>
      <c r="W21" s="455"/>
      <c r="X21" s="457"/>
      <c r="Y21" s="309"/>
      <c r="Z21" s="455"/>
      <c r="AA21" s="455"/>
      <c r="AB21" s="455"/>
      <c r="AC21" s="455"/>
      <c r="AD21" s="455"/>
      <c r="AE21" s="455"/>
      <c r="AF21" s="455"/>
      <c r="AG21" s="455"/>
      <c r="AH21" s="455"/>
      <c r="AI21" s="455"/>
      <c r="AJ21" s="455"/>
      <c r="AK21" s="455"/>
      <c r="AL21" s="455"/>
      <c r="AM21" s="455"/>
      <c r="AN21" s="455"/>
    </row>
    <row r="22" spans="1:40">
      <c r="A22" s="451">
        <f t="shared" si="3"/>
        <v>10</v>
      </c>
      <c r="C22" s="445" t="str">
        <f t="shared" si="1"/>
        <v xml:space="preserve">October </v>
      </c>
      <c r="D22" s="665">
        <v>2019</v>
      </c>
      <c r="E22" s="408">
        <f t="shared" ref="E22:P22" si="11">E54+E85</f>
        <v>27980842.465086102</v>
      </c>
      <c r="F22" s="408">
        <f t="shared" si="11"/>
        <v>8635814.1955725327</v>
      </c>
      <c r="G22" s="408">
        <f t="shared" si="11"/>
        <v>1450877.1202135177</v>
      </c>
      <c r="H22" s="408">
        <f t="shared" si="11"/>
        <v>1612224.4791781669</v>
      </c>
      <c r="I22" s="408">
        <f t="shared" si="11"/>
        <v>18540581.510548919</v>
      </c>
      <c r="J22" s="408">
        <f t="shared" si="11"/>
        <v>556217.44531646755</v>
      </c>
      <c r="K22" s="408">
        <f t="shared" si="11"/>
        <v>280458841.12520343</v>
      </c>
      <c r="L22" s="408">
        <f t="shared" si="11"/>
        <v>575087.98527954146</v>
      </c>
      <c r="M22" s="408">
        <f t="shared" si="11"/>
        <v>-14459096.896966072</v>
      </c>
      <c r="N22" s="408">
        <f t="shared" si="11"/>
        <v>294917938.02216953</v>
      </c>
      <c r="O22" s="408">
        <f t="shared" si="11"/>
        <v>3040894.9465583446</v>
      </c>
      <c r="P22" s="408">
        <f t="shared" si="11"/>
        <v>3091373.8026712132</v>
      </c>
      <c r="T22" s="455"/>
      <c r="U22" s="455"/>
      <c r="V22" s="456"/>
      <c r="W22" s="455"/>
      <c r="X22" s="457"/>
      <c r="Y22" s="309"/>
      <c r="Z22" s="455"/>
      <c r="AA22" s="455"/>
      <c r="AB22" s="455"/>
      <c r="AC22" s="455"/>
      <c r="AD22" s="455"/>
      <c r="AE22" s="455"/>
      <c r="AF22" s="455"/>
      <c r="AG22" s="455"/>
      <c r="AH22" s="455"/>
      <c r="AI22" s="455"/>
      <c r="AJ22" s="455"/>
      <c r="AK22" s="455"/>
      <c r="AL22" s="455"/>
      <c r="AM22" s="455"/>
      <c r="AN22" s="455"/>
    </row>
    <row r="23" spans="1:40">
      <c r="A23" s="451">
        <f t="shared" si="3"/>
        <v>11</v>
      </c>
      <c r="C23" s="445" t="str">
        <f t="shared" si="1"/>
        <v>November</v>
      </c>
      <c r="D23" s="665">
        <v>2019</v>
      </c>
      <c r="E23" s="408">
        <f t="shared" ref="E23:P23" si="12">E55+E86</f>
        <v>40238480.066686094</v>
      </c>
      <c r="F23" s="408">
        <f t="shared" si="12"/>
        <v>19044217.777172498</v>
      </c>
      <c r="G23" s="408">
        <f t="shared" si="12"/>
        <v>1589569.6717135196</v>
      </c>
      <c r="H23" s="408">
        <f t="shared" si="12"/>
        <v>1781094.3388981691</v>
      </c>
      <c r="I23" s="408">
        <f t="shared" si="12"/>
        <v>20482584.897328943</v>
      </c>
      <c r="J23" s="408">
        <f t="shared" si="12"/>
        <v>614477.54691986821</v>
      </c>
      <c r="K23" s="408">
        <f t="shared" si="12"/>
        <v>321120274.07162476</v>
      </c>
      <c r="L23" s="408">
        <f t="shared" si="12"/>
        <v>639822.70772766683</v>
      </c>
      <c r="M23" s="408">
        <f t="shared" si="12"/>
        <v>-15600368.528136574</v>
      </c>
      <c r="N23" s="408">
        <f t="shared" si="12"/>
        <v>336720642.59976131</v>
      </c>
      <c r="O23" s="408">
        <f t="shared" si="12"/>
        <v>3344984.4412141792</v>
      </c>
      <c r="P23" s="408">
        <f t="shared" si="12"/>
        <v>3400511.1829383345</v>
      </c>
      <c r="T23" s="455"/>
      <c r="U23" s="455"/>
      <c r="V23" s="456"/>
      <c r="W23" s="455"/>
      <c r="X23" s="457"/>
      <c r="Y23" s="309"/>
      <c r="Z23" s="455"/>
      <c r="AA23" s="455"/>
      <c r="AB23" s="455"/>
      <c r="AC23" s="455"/>
      <c r="AD23" s="455"/>
      <c r="AE23" s="455"/>
      <c r="AF23" s="455"/>
      <c r="AG23" s="455"/>
      <c r="AH23" s="455"/>
      <c r="AI23" s="455"/>
      <c r="AJ23" s="455"/>
      <c r="AK23" s="455"/>
      <c r="AL23" s="455"/>
      <c r="AM23" s="455"/>
      <c r="AN23" s="455"/>
    </row>
    <row r="24" spans="1:40">
      <c r="A24" s="451">
        <f t="shared" si="3"/>
        <v>12</v>
      </c>
      <c r="C24" s="445" t="str">
        <f t="shared" si="1"/>
        <v>December</v>
      </c>
      <c r="D24" s="665">
        <v>2019</v>
      </c>
      <c r="E24" s="408">
        <f t="shared" ref="E24:P24" si="13">E56+E87</f>
        <v>74972044.514522418</v>
      </c>
      <c r="F24" s="408">
        <f t="shared" si="13"/>
        <v>37391700.072165169</v>
      </c>
      <c r="G24" s="408">
        <f t="shared" si="13"/>
        <v>2818525.8331767935</v>
      </c>
      <c r="H24" s="408">
        <f t="shared" si="13"/>
        <v>2999928.0620427234</v>
      </c>
      <c r="I24" s="408">
        <f t="shared" si="13"/>
        <v>34499172.713491321</v>
      </c>
      <c r="J24" s="408">
        <f t="shared" si="13"/>
        <v>1034975.1814047396</v>
      </c>
      <c r="K24" s="408">
        <f t="shared" si="13"/>
        <v>396945891.53868604</v>
      </c>
      <c r="L24" s="408">
        <f t="shared" si="13"/>
        <v>732585.36774397932</v>
      </c>
      <c r="M24" s="408">
        <f t="shared" si="13"/>
        <v>-17867711.222435318</v>
      </c>
      <c r="N24" s="408">
        <f t="shared" si="13"/>
        <v>414813602.76112133</v>
      </c>
      <c r="O24" s="408">
        <f t="shared" si="13"/>
        <v>3649073.9358700137</v>
      </c>
      <c r="P24" s="408">
        <f t="shared" si="13"/>
        <v>3709648.5632054559</v>
      </c>
      <c r="T24" s="455"/>
      <c r="U24" s="455"/>
      <c r="V24" s="456"/>
      <c r="W24" s="455"/>
      <c r="X24" s="457"/>
      <c r="Y24" s="309"/>
      <c r="Z24" s="455"/>
      <c r="AA24" s="455"/>
      <c r="AB24" s="455"/>
      <c r="AC24" s="455"/>
      <c r="AD24" s="455"/>
      <c r="AE24" s="455"/>
      <c r="AF24" s="455"/>
      <c r="AG24" s="455"/>
      <c r="AH24" s="455"/>
      <c r="AI24" s="455"/>
      <c r="AJ24" s="455"/>
      <c r="AK24" s="455"/>
      <c r="AL24" s="455"/>
      <c r="AM24" s="455"/>
      <c r="AN24" s="455"/>
    </row>
    <row r="25" spans="1:40">
      <c r="A25" s="451">
        <f t="shared" si="3"/>
        <v>13</v>
      </c>
      <c r="C25" s="445" t="str">
        <f t="shared" si="1"/>
        <v>January</v>
      </c>
      <c r="D25" s="665">
        <v>2020</v>
      </c>
      <c r="E25" s="408">
        <f t="shared" ref="E25:P25" si="14">E57+E88</f>
        <v>54691485.456506491</v>
      </c>
      <c r="F25" s="408">
        <f t="shared" si="14"/>
        <v>5430332.7999999924</v>
      </c>
      <c r="G25" s="408">
        <f t="shared" si="14"/>
        <v>3694586.4492379874</v>
      </c>
      <c r="H25" s="408">
        <f t="shared" si="14"/>
        <v>4229533.6344595598</v>
      </c>
      <c r="I25" s="408">
        <f t="shared" si="14"/>
        <v>48639636.796284929</v>
      </c>
      <c r="J25" s="408">
        <f t="shared" si="14"/>
        <v>1459189.1038885477</v>
      </c>
      <c r="K25" s="408">
        <f t="shared" si="14"/>
        <v>452561618.91385949</v>
      </c>
      <c r="L25" s="408">
        <f t="shared" si="14"/>
        <v>905569.58064400754</v>
      </c>
      <c r="M25" s="408">
        <f t="shared" si="14"/>
        <v>-21191675.276250869</v>
      </c>
      <c r="N25" s="408">
        <f t="shared" si="14"/>
        <v>473753294.19011039</v>
      </c>
      <c r="O25" s="408">
        <f t="shared" si="14"/>
        <v>3879922.4810399096</v>
      </c>
      <c r="P25" s="408">
        <f t="shared" si="14"/>
        <v>3944329.1942251725</v>
      </c>
      <c r="T25" s="455"/>
      <c r="U25" s="455"/>
      <c r="V25" s="456"/>
      <c r="W25" s="455"/>
      <c r="X25" s="457"/>
      <c r="Y25" s="309"/>
      <c r="Z25" s="455"/>
      <c r="AA25" s="455"/>
      <c r="AB25" s="455"/>
      <c r="AC25" s="455"/>
      <c r="AD25" s="455"/>
      <c r="AE25" s="455"/>
      <c r="AF25" s="455"/>
      <c r="AG25" s="455"/>
      <c r="AH25" s="455"/>
      <c r="AI25" s="455"/>
      <c r="AJ25" s="455"/>
      <c r="AK25" s="455"/>
      <c r="AL25" s="455"/>
      <c r="AM25" s="455"/>
      <c r="AN25" s="455"/>
    </row>
    <row r="26" spans="1:40">
      <c r="A26" s="451">
        <f t="shared" si="3"/>
        <v>14</v>
      </c>
      <c r="C26" s="445" t="str">
        <f t="shared" si="1"/>
        <v>February</v>
      </c>
      <c r="D26" s="665">
        <v>2020</v>
      </c>
      <c r="E26" s="408">
        <f t="shared" ref="E26:P26" si="15">E58+E89</f>
        <v>15752276.656506598</v>
      </c>
      <c r="F26" s="408">
        <f t="shared" si="15"/>
        <v>0</v>
      </c>
      <c r="G26" s="408">
        <f t="shared" si="15"/>
        <v>1181420.7492379949</v>
      </c>
      <c r="H26" s="408">
        <f t="shared" si="15"/>
        <v>1347770.2984595674</v>
      </c>
      <c r="I26" s="408">
        <f t="shared" si="15"/>
        <v>15499358.432285026</v>
      </c>
      <c r="J26" s="408">
        <f t="shared" si="15"/>
        <v>464980.75296855078</v>
      </c>
      <c r="K26" s="408">
        <f t="shared" si="15"/>
        <v>468612526.77411306</v>
      </c>
      <c r="L26" s="408">
        <f t="shared" si="15"/>
        <v>1032448.1099093468</v>
      </c>
      <c r="M26" s="408">
        <f t="shared" si="15"/>
        <v>-21506997.464801092</v>
      </c>
      <c r="N26" s="408">
        <f t="shared" si="15"/>
        <v>490119524.23891419</v>
      </c>
      <c r="O26" s="408">
        <f t="shared" si="15"/>
        <v>4110771.0262098052</v>
      </c>
      <c r="P26" s="408">
        <f t="shared" si="15"/>
        <v>4179009.8252448877</v>
      </c>
      <c r="T26" s="455"/>
      <c r="U26" s="455"/>
      <c r="V26" s="456"/>
      <c r="W26" s="455"/>
      <c r="X26" s="457"/>
      <c r="Y26" s="309"/>
      <c r="Z26" s="455"/>
      <c r="AA26" s="455"/>
      <c r="AB26" s="455"/>
      <c r="AC26" s="455"/>
      <c r="AD26" s="455"/>
      <c r="AE26" s="455"/>
      <c r="AF26" s="455"/>
      <c r="AG26" s="455"/>
      <c r="AH26" s="455"/>
      <c r="AI26" s="455"/>
      <c r="AJ26" s="455"/>
      <c r="AK26" s="455"/>
      <c r="AL26" s="455"/>
      <c r="AM26" s="455"/>
      <c r="AN26" s="455"/>
    </row>
    <row r="27" spans="1:40">
      <c r="A27" s="451">
        <f t="shared" si="3"/>
        <v>15</v>
      </c>
      <c r="C27" s="445" t="str">
        <f t="shared" si="1"/>
        <v>March</v>
      </c>
      <c r="D27" s="665">
        <v>2020</v>
      </c>
      <c r="E27" s="408">
        <f t="shared" ref="E27:P27" si="16">E59+E90</f>
        <v>15812276.656506538</v>
      </c>
      <c r="F27" s="408">
        <f t="shared" si="16"/>
        <v>0</v>
      </c>
      <c r="G27" s="408">
        <f t="shared" si="16"/>
        <v>1185920.7492379905</v>
      </c>
      <c r="H27" s="408">
        <f t="shared" si="16"/>
        <v>1347770.2984595625</v>
      </c>
      <c r="I27" s="408">
        <f t="shared" si="16"/>
        <v>15499358.432284966</v>
      </c>
      <c r="J27" s="408">
        <f t="shared" si="16"/>
        <v>464980.75296854897</v>
      </c>
      <c r="K27" s="408">
        <f t="shared" si="16"/>
        <v>484727934.63436657</v>
      </c>
      <c r="L27" s="408">
        <f t="shared" si="16"/>
        <v>1069065.7301185457</v>
      </c>
      <c r="M27" s="408">
        <f t="shared" si="16"/>
        <v>-21785702.033142108</v>
      </c>
      <c r="N27" s="408">
        <f t="shared" si="16"/>
        <v>506513636.66750872</v>
      </c>
      <c r="O27" s="408">
        <f t="shared" si="16"/>
        <v>4341619.5713797016</v>
      </c>
      <c r="P27" s="408">
        <f t="shared" si="16"/>
        <v>4413690.4562646048</v>
      </c>
      <c r="T27" s="455"/>
      <c r="U27" s="455"/>
      <c r="V27" s="456"/>
      <c r="W27" s="455"/>
      <c r="X27" s="457"/>
      <c r="Y27" s="309"/>
      <c r="Z27" s="455"/>
      <c r="AA27" s="455"/>
      <c r="AB27" s="455"/>
      <c r="AC27" s="455"/>
      <c r="AD27" s="455"/>
      <c r="AE27" s="455"/>
      <c r="AF27" s="455"/>
      <c r="AG27" s="455"/>
      <c r="AH27" s="455"/>
      <c r="AI27" s="455"/>
      <c r="AJ27" s="455"/>
      <c r="AK27" s="455"/>
      <c r="AL27" s="455"/>
      <c r="AM27" s="455"/>
      <c r="AN27" s="455"/>
    </row>
    <row r="28" spans="1:40">
      <c r="A28" s="451">
        <f t="shared" si="3"/>
        <v>16</v>
      </c>
      <c r="C28" s="445" t="str">
        <f t="shared" si="1"/>
        <v>April</v>
      </c>
      <c r="D28" s="665">
        <v>2020</v>
      </c>
      <c r="E28" s="408">
        <f t="shared" ref="E28:P28" si="17">E60+E91</f>
        <v>25329556.00162077</v>
      </c>
      <c r="F28" s="408">
        <f t="shared" si="17"/>
        <v>49379.197519554538</v>
      </c>
      <c r="G28" s="408">
        <f t="shared" si="17"/>
        <v>1896013.2603075909</v>
      </c>
      <c r="H28" s="408">
        <f t="shared" si="17"/>
        <v>2154269.7111527044</v>
      </c>
      <c r="I28" s="408">
        <f t="shared" si="17"/>
        <v>24774101.678256102</v>
      </c>
      <c r="J28" s="408">
        <f t="shared" si="17"/>
        <v>743223.05034768302</v>
      </c>
      <c r="K28" s="408">
        <f t="shared" si="17"/>
        <v>510542457.2354899</v>
      </c>
      <c r="L28" s="408">
        <f t="shared" si="17"/>
        <v>1105830.4969268064</v>
      </c>
      <c r="M28" s="408">
        <f t="shared" si="17"/>
        <v>-22834141.247368008</v>
      </c>
      <c r="N28" s="408">
        <f t="shared" si="17"/>
        <v>533376598.48285788</v>
      </c>
      <c r="O28" s="408">
        <f t="shared" si="17"/>
        <v>4572468.1165495981</v>
      </c>
      <c r="P28" s="408">
        <f t="shared" si="17"/>
        <v>4648371.087284321</v>
      </c>
      <c r="T28" s="455"/>
      <c r="U28" s="455"/>
      <c r="V28" s="456"/>
      <c r="W28" s="455"/>
      <c r="X28" s="457"/>
      <c r="Y28" s="309"/>
      <c r="Z28" s="455"/>
      <c r="AA28" s="455"/>
      <c r="AB28" s="455"/>
      <c r="AC28" s="455"/>
      <c r="AD28" s="455"/>
      <c r="AE28" s="455"/>
      <c r="AF28" s="455"/>
      <c r="AG28" s="455"/>
      <c r="AH28" s="455"/>
      <c r="AI28" s="455"/>
      <c r="AJ28" s="455"/>
      <c r="AK28" s="455"/>
      <c r="AL28" s="455"/>
      <c r="AM28" s="455"/>
      <c r="AN28" s="455"/>
    </row>
    <row r="29" spans="1:40">
      <c r="A29" s="451">
        <f t="shared" si="3"/>
        <v>17</v>
      </c>
      <c r="C29" s="445" t="str">
        <f t="shared" si="1"/>
        <v>May</v>
      </c>
      <c r="D29" s="665">
        <v>2020</v>
      </c>
      <c r="E29" s="408">
        <f t="shared" ref="E29:P29" si="18">E61+E92</f>
        <v>39541409.371306539</v>
      </c>
      <c r="F29" s="408">
        <f t="shared" si="18"/>
        <v>2622462.6947999983</v>
      </c>
      <c r="G29" s="408">
        <f t="shared" si="18"/>
        <v>2768921.0007379903</v>
      </c>
      <c r="H29" s="408">
        <f t="shared" si="18"/>
        <v>3155203.9201795626</v>
      </c>
      <c r="I29" s="408">
        <f t="shared" si="18"/>
        <v>36284845.082064971</v>
      </c>
      <c r="J29" s="408">
        <f t="shared" si="18"/>
        <v>1088545.352461949</v>
      </c>
      <c r="K29" s="408">
        <f t="shared" si="18"/>
        <v>550786129.03981686</v>
      </c>
      <c r="L29" s="408">
        <f t="shared" si="18"/>
        <v>1164722.2675805057</v>
      </c>
      <c r="M29" s="408">
        <f t="shared" si="18"/>
        <v>-24824622.899967063</v>
      </c>
      <c r="N29" s="408">
        <f t="shared" si="18"/>
        <v>575610751.93978393</v>
      </c>
      <c r="O29" s="408">
        <f t="shared" si="18"/>
        <v>4803316.6617194936</v>
      </c>
      <c r="P29" s="408">
        <f t="shared" si="18"/>
        <v>4883051.7183040371</v>
      </c>
      <c r="T29" s="455"/>
      <c r="U29" s="455"/>
      <c r="V29" s="456"/>
      <c r="W29" s="455"/>
      <c r="X29" s="457"/>
      <c r="Y29" s="309"/>
      <c r="Z29" s="455"/>
      <c r="AA29" s="455"/>
      <c r="AB29" s="455"/>
      <c r="AC29" s="455"/>
      <c r="AD29" s="455"/>
      <c r="AE29" s="455"/>
      <c r="AF29" s="455"/>
      <c r="AG29" s="455"/>
      <c r="AH29" s="455"/>
      <c r="AI29" s="455"/>
      <c r="AJ29" s="455"/>
      <c r="AK29" s="455"/>
      <c r="AL29" s="455"/>
      <c r="AM29" s="455"/>
      <c r="AN29" s="455"/>
    </row>
    <row r="30" spans="1:40">
      <c r="A30" s="451">
        <f t="shared" si="3"/>
        <v>18</v>
      </c>
      <c r="C30" s="445" t="str">
        <f t="shared" ref="C30:C33" si="19">C62</f>
        <v xml:space="preserve">June </v>
      </c>
      <c r="D30" s="665">
        <v>2020</v>
      </c>
      <c r="E30" s="408">
        <f t="shared" ref="E30:P30" si="20">E62+E93</f>
        <v>25657522.227934599</v>
      </c>
      <c r="F30" s="408">
        <f t="shared" si="20"/>
        <v>200066.9668008626</v>
      </c>
      <c r="G30" s="408">
        <f t="shared" si="20"/>
        <v>1909309.1445850304</v>
      </c>
      <c r="H30" s="408">
        <f t="shared" si="20"/>
        <v>2182415.6584575018</v>
      </c>
      <c r="I30" s="408">
        <f t="shared" si="20"/>
        <v>25097780.072261266</v>
      </c>
      <c r="J30" s="408">
        <f t="shared" si="20"/>
        <v>752933.40216783795</v>
      </c>
      <c r="K30" s="408">
        <f t="shared" si="20"/>
        <v>576923478.15604675</v>
      </c>
      <c r="L30" s="408">
        <f t="shared" si="20"/>
        <v>1256531.8712979122</v>
      </c>
      <c r="M30" s="408">
        <f t="shared" si="20"/>
        <v>-25750506.687126655</v>
      </c>
      <c r="N30" s="408">
        <f t="shared" si="20"/>
        <v>602673984.84317338</v>
      </c>
      <c r="O30" s="408">
        <f t="shared" si="20"/>
        <v>5126728.20688939</v>
      </c>
      <c r="P30" s="408">
        <f t="shared" si="20"/>
        <v>5211831.8951237537</v>
      </c>
      <c r="T30" s="455"/>
      <c r="U30" s="455"/>
      <c r="V30" s="456"/>
      <c r="W30" s="455"/>
      <c r="X30" s="457"/>
      <c r="Y30" s="309"/>
      <c r="Z30" s="455"/>
      <c r="AA30" s="455"/>
      <c r="AB30" s="455"/>
      <c r="AC30" s="455"/>
      <c r="AD30" s="455"/>
      <c r="AE30" s="455"/>
      <c r="AF30" s="455"/>
      <c r="AG30" s="455"/>
      <c r="AH30" s="455"/>
      <c r="AI30" s="455"/>
      <c r="AJ30" s="455"/>
      <c r="AK30" s="455"/>
      <c r="AL30" s="455"/>
      <c r="AM30" s="455"/>
      <c r="AN30" s="455"/>
    </row>
    <row r="31" spans="1:40">
      <c r="A31" s="451">
        <f t="shared" si="3"/>
        <v>19</v>
      </c>
      <c r="C31" s="445" t="str">
        <f t="shared" si="19"/>
        <v>July</v>
      </c>
      <c r="D31" s="665">
        <v>2020</v>
      </c>
      <c r="E31" s="408">
        <f t="shared" ref="E31:P31" si="21">E63+E94</f>
        <v>15752276.656506658</v>
      </c>
      <c r="F31" s="408">
        <f t="shared" si="21"/>
        <v>0</v>
      </c>
      <c r="G31" s="408">
        <f t="shared" si="21"/>
        <v>1181420.7492379993</v>
      </c>
      <c r="H31" s="408">
        <f t="shared" si="21"/>
        <v>1347770.2984595725</v>
      </c>
      <c r="I31" s="408">
        <f t="shared" si="21"/>
        <v>15499358.432285083</v>
      </c>
      <c r="J31" s="408">
        <f t="shared" si="21"/>
        <v>464980.75296855246</v>
      </c>
      <c r="K31" s="408">
        <f t="shared" si="21"/>
        <v>592974386.01630044</v>
      </c>
      <c r="L31" s="408">
        <f t="shared" si="21"/>
        <v>1316160.1198397505</v>
      </c>
      <c r="M31" s="408">
        <f t="shared" si="21"/>
        <v>-25782116.865746476</v>
      </c>
      <c r="N31" s="408">
        <f t="shared" si="21"/>
        <v>618756502.88204682</v>
      </c>
      <c r="O31" s="408">
        <f t="shared" si="21"/>
        <v>5357576.7520592865</v>
      </c>
      <c r="P31" s="408">
        <f t="shared" si="21"/>
        <v>5446512.5261434717</v>
      </c>
      <c r="T31" s="455"/>
      <c r="U31" s="455"/>
      <c r="V31" s="456"/>
      <c r="W31" s="455"/>
      <c r="X31" s="457"/>
      <c r="Y31" s="309"/>
      <c r="Z31" s="455"/>
      <c r="AA31" s="455"/>
      <c r="AB31" s="455"/>
      <c r="AC31" s="455"/>
      <c r="AD31" s="455"/>
      <c r="AE31" s="455"/>
      <c r="AF31" s="455"/>
      <c r="AG31" s="455"/>
      <c r="AH31" s="455"/>
      <c r="AI31" s="455"/>
      <c r="AJ31" s="455"/>
      <c r="AK31" s="455"/>
      <c r="AL31" s="455"/>
      <c r="AM31" s="455"/>
      <c r="AN31" s="455"/>
    </row>
    <row r="32" spans="1:40">
      <c r="A32" s="451">
        <f t="shared" si="3"/>
        <v>20</v>
      </c>
      <c r="C32" s="445" t="str">
        <f t="shared" si="19"/>
        <v>August</v>
      </c>
      <c r="D32" s="665">
        <v>2020</v>
      </c>
      <c r="E32" s="408">
        <f t="shared" ref="E32:P32" si="22">E64+E95</f>
        <v>24890697.820306659</v>
      </c>
      <c r="F32" s="408">
        <f t="shared" si="22"/>
        <v>1489046.7238</v>
      </c>
      <c r="G32" s="408">
        <f t="shared" si="22"/>
        <v>1755123.8322379994</v>
      </c>
      <c r="H32" s="408">
        <f t="shared" si="22"/>
        <v>2005616.5002995727</v>
      </c>
      <c r="I32" s="408">
        <f t="shared" si="22"/>
        <v>23064589.753445085</v>
      </c>
      <c r="J32" s="408">
        <f t="shared" si="22"/>
        <v>691937.69260335248</v>
      </c>
      <c r="K32" s="408">
        <f t="shared" si="22"/>
        <v>618306528.86114872</v>
      </c>
      <c r="L32" s="408">
        <f t="shared" si="22"/>
        <v>1352777.7400489496</v>
      </c>
      <c r="M32" s="408">
        <f t="shared" si="22"/>
        <v>-26434955.6259971</v>
      </c>
      <c r="N32" s="408">
        <f t="shared" si="22"/>
        <v>644741484.48714578</v>
      </c>
      <c r="O32" s="408">
        <f t="shared" si="22"/>
        <v>12043633.931029184</v>
      </c>
      <c r="P32" s="408">
        <f t="shared" si="22"/>
        <v>12243558.25428427</v>
      </c>
      <c r="T32" s="455"/>
      <c r="U32" s="455"/>
      <c r="V32" s="456"/>
      <c r="W32" s="455"/>
      <c r="X32" s="457"/>
      <c r="Y32" s="309"/>
      <c r="Z32" s="455"/>
      <c r="AA32" s="455"/>
      <c r="AB32" s="455"/>
      <c r="AC32" s="455"/>
      <c r="AD32" s="455"/>
      <c r="AE32" s="455"/>
      <c r="AF32" s="455"/>
      <c r="AG32" s="455"/>
      <c r="AH32" s="455"/>
      <c r="AI32" s="455"/>
      <c r="AJ32" s="455"/>
      <c r="AK32" s="455"/>
      <c r="AL32" s="455"/>
      <c r="AM32" s="455"/>
      <c r="AN32" s="455"/>
    </row>
    <row r="33" spans="1:40">
      <c r="A33" s="451">
        <f t="shared" si="3"/>
        <v>21</v>
      </c>
      <c r="C33" s="445" t="str">
        <f t="shared" si="19"/>
        <v>September</v>
      </c>
      <c r="D33" s="665">
        <v>2020</v>
      </c>
      <c r="E33" s="408">
        <f t="shared" ref="E33:P33" si="23">E65+E96</f>
        <v>15762276.656506538</v>
      </c>
      <c r="F33" s="408">
        <f t="shared" si="23"/>
        <v>0</v>
      </c>
      <c r="G33" s="408">
        <f t="shared" si="23"/>
        <v>1182170.7492379905</v>
      </c>
      <c r="H33" s="408">
        <f t="shared" si="23"/>
        <v>1347770.2984595625</v>
      </c>
      <c r="I33" s="408">
        <f t="shared" si="23"/>
        <v>15499358.432284966</v>
      </c>
      <c r="J33" s="408">
        <f t="shared" si="23"/>
        <v>464980.75296854897</v>
      </c>
      <c r="K33" s="422">
        <f t="shared" si="23"/>
        <v>634368186.72140217</v>
      </c>
      <c r="L33" s="422">
        <f t="shared" si="23"/>
        <v>1410569.0372050949</v>
      </c>
      <c r="M33" s="422">
        <f t="shared" si="23"/>
        <v>-26372156.887251571</v>
      </c>
      <c r="N33" s="422">
        <f t="shared" si="23"/>
        <v>660740343.60865378</v>
      </c>
      <c r="O33" s="422">
        <f t="shared" si="23"/>
        <v>12274482.476199081</v>
      </c>
      <c r="P33" s="422">
        <f t="shared" si="23"/>
        <v>12478238.885303987</v>
      </c>
      <c r="T33" s="455"/>
      <c r="U33" s="455"/>
      <c r="V33" s="456"/>
      <c r="W33" s="455"/>
      <c r="X33" s="457"/>
      <c r="Y33" s="309"/>
      <c r="Z33" s="455"/>
      <c r="AA33" s="455"/>
      <c r="AB33" s="455"/>
      <c r="AC33" s="455"/>
      <c r="AD33" s="455"/>
      <c r="AE33" s="455"/>
      <c r="AF33" s="455"/>
      <c r="AG33" s="455"/>
      <c r="AH33" s="455"/>
      <c r="AI33" s="455"/>
      <c r="AJ33" s="455"/>
      <c r="AK33" s="455"/>
      <c r="AL33" s="455"/>
      <c r="AM33" s="455"/>
      <c r="AN33" s="455"/>
    </row>
    <row r="34" spans="1:40">
      <c r="A34" s="452">
        <f t="shared" si="3"/>
        <v>22</v>
      </c>
      <c r="C34" s="445" t="str">
        <f t="shared" ref="C34" si="24">C66</f>
        <v>October</v>
      </c>
      <c r="D34" s="665">
        <v>2020</v>
      </c>
      <c r="E34" s="408">
        <f t="shared" ref="E34:P34" si="25">E66+E97</f>
        <v>16910009.341906548</v>
      </c>
      <c r="F34" s="408">
        <f t="shared" si="25"/>
        <v>39909.065399999985</v>
      </c>
      <c r="G34" s="408">
        <f t="shared" si="25"/>
        <v>1265257.520737991</v>
      </c>
      <c r="H34" s="408">
        <f t="shared" si="25"/>
        <v>1443043.1297795631</v>
      </c>
      <c r="I34" s="408">
        <f t="shared" si="25"/>
        <v>16594995.992464975</v>
      </c>
      <c r="J34" s="408">
        <f t="shared" si="25"/>
        <v>497849.87977394921</v>
      </c>
      <c r="K34" s="422">
        <f t="shared" si="25"/>
        <v>651598260.33404124</v>
      </c>
      <c r="L34" s="422">
        <f t="shared" si="25"/>
        <v>1447211.1818474708</v>
      </c>
      <c r="M34" s="422">
        <f t="shared" si="25"/>
        <v>-26367988.835183658</v>
      </c>
      <c r="N34" s="422">
        <f t="shared" si="25"/>
        <v>677966249.16922498</v>
      </c>
      <c r="O34" s="422">
        <f t="shared" si="25"/>
        <v>13653063.706768977</v>
      </c>
      <c r="P34" s="422">
        <f t="shared" si="25"/>
        <v>13879704.564301342</v>
      </c>
      <c r="T34" s="455"/>
      <c r="U34" s="455"/>
      <c r="V34" s="456"/>
      <c r="W34" s="455"/>
      <c r="X34" s="457"/>
      <c r="Y34" s="309"/>
      <c r="Z34" s="455"/>
      <c r="AA34" s="455"/>
      <c r="AB34" s="455"/>
      <c r="AC34" s="455"/>
      <c r="AD34" s="455"/>
      <c r="AE34" s="455"/>
      <c r="AF34" s="455"/>
      <c r="AG34" s="455"/>
      <c r="AH34" s="455"/>
      <c r="AI34" s="455"/>
      <c r="AJ34" s="455"/>
      <c r="AK34" s="455"/>
      <c r="AL34" s="455"/>
      <c r="AM34" s="455"/>
      <c r="AN34" s="455"/>
    </row>
    <row r="35" spans="1:40">
      <c r="A35" s="452">
        <f t="shared" si="3"/>
        <v>23</v>
      </c>
      <c r="C35" s="445" t="str">
        <f t="shared" ref="C35" si="26">C67</f>
        <v>November</v>
      </c>
      <c r="D35" s="665">
        <v>2020</v>
      </c>
      <c r="E35" s="408">
        <f t="shared" ref="E35:P35" si="27">E67+E98</f>
        <v>16601663.498506546</v>
      </c>
      <c r="F35" s="408">
        <f t="shared" si="27"/>
        <v>1347.2019999999998</v>
      </c>
      <c r="G35" s="408">
        <f t="shared" si="27"/>
        <v>1245023.7222379909</v>
      </c>
      <c r="H35" s="408">
        <f t="shared" si="27"/>
        <v>1411241.7074995632</v>
      </c>
      <c r="I35" s="408">
        <f t="shared" si="27"/>
        <v>16229279.636244975</v>
      </c>
      <c r="J35" s="408">
        <f t="shared" si="27"/>
        <v>486878.38908734923</v>
      </c>
      <c r="K35" s="422">
        <f t="shared" si="27"/>
        <v>668520584.23637354</v>
      </c>
      <c r="L35" s="422">
        <f t="shared" si="27"/>
        <v>1486518.8831449465</v>
      </c>
      <c r="M35" s="422">
        <f t="shared" si="27"/>
        <v>-26292711.659538276</v>
      </c>
      <c r="N35" s="422">
        <f t="shared" si="27"/>
        <v>694813295.89591193</v>
      </c>
      <c r="O35" s="422">
        <f t="shared" si="27"/>
        <v>13883912.251938872</v>
      </c>
      <c r="P35" s="422">
        <f t="shared" si="27"/>
        <v>14114385.195321059</v>
      </c>
      <c r="T35" s="455"/>
      <c r="U35" s="455"/>
      <c r="V35" s="456"/>
      <c r="W35" s="455"/>
      <c r="X35" s="457"/>
      <c r="Y35" s="309"/>
      <c r="Z35" s="455"/>
      <c r="AA35" s="455"/>
      <c r="AB35" s="455"/>
      <c r="AC35" s="455"/>
      <c r="AD35" s="455"/>
      <c r="AE35" s="455"/>
      <c r="AF35" s="455"/>
      <c r="AG35" s="455"/>
      <c r="AH35" s="455"/>
      <c r="AI35" s="455"/>
      <c r="AJ35" s="455"/>
      <c r="AK35" s="455"/>
      <c r="AL35" s="455"/>
      <c r="AM35" s="455"/>
      <c r="AN35" s="455"/>
    </row>
    <row r="36" spans="1:40">
      <c r="A36" s="452">
        <f t="shared" si="3"/>
        <v>24</v>
      </c>
      <c r="C36" s="445" t="str">
        <f t="shared" ref="C36" si="28">C68</f>
        <v>December</v>
      </c>
      <c r="D36" s="665">
        <v>2020</v>
      </c>
      <c r="E36" s="408">
        <f t="shared" ref="E36:P36" si="29">E68+E99</f>
        <v>223195141.54630649</v>
      </c>
      <c r="F36" s="408">
        <f t="shared" si="29"/>
        <v>111596964.63980001</v>
      </c>
      <c r="G36" s="408">
        <f t="shared" si="29"/>
        <v>8369863.2679879861</v>
      </c>
      <c r="H36" s="408">
        <f t="shared" si="29"/>
        <v>7308360.7459595576</v>
      </c>
      <c r="I36" s="408">
        <f t="shared" si="29"/>
        <v>84046148.578534901</v>
      </c>
      <c r="J36" s="408">
        <f t="shared" si="29"/>
        <v>2521384.4573560469</v>
      </c>
      <c r="K36" s="458">
        <f t="shared" si="29"/>
        <v>895298612.76206458</v>
      </c>
      <c r="L36" s="422">
        <f t="shared" si="29"/>
        <v>1525124.5019116637</v>
      </c>
      <c r="M36" s="422">
        <f t="shared" si="29"/>
        <v>-32075947.903586168</v>
      </c>
      <c r="N36" s="458">
        <f>N68+N99</f>
        <v>927374560.66565073</v>
      </c>
      <c r="O36" s="422">
        <f t="shared" si="29"/>
        <v>14114760.797108769</v>
      </c>
      <c r="P36" s="458">
        <f t="shared" si="29"/>
        <v>14349065.826340776</v>
      </c>
      <c r="T36" s="455"/>
      <c r="U36" s="455"/>
      <c r="V36" s="456"/>
      <c r="W36" s="455"/>
      <c r="X36" s="457"/>
      <c r="Y36" s="309"/>
      <c r="Z36" s="455"/>
      <c r="AA36" s="455"/>
      <c r="AB36" s="455"/>
      <c r="AC36" s="455"/>
      <c r="AD36" s="455"/>
      <c r="AE36" s="455"/>
      <c r="AF36" s="455"/>
      <c r="AG36" s="455"/>
      <c r="AH36" s="455"/>
      <c r="AI36" s="455"/>
      <c r="AJ36" s="455"/>
      <c r="AK36" s="455"/>
      <c r="AL36" s="455"/>
      <c r="AM36" s="455"/>
      <c r="AN36" s="455"/>
    </row>
    <row r="37" spans="1:40" s="410" customFormat="1">
      <c r="A37" s="452">
        <f t="shared" si="3"/>
        <v>25</v>
      </c>
      <c r="D37" s="482" t="s">
        <v>1096</v>
      </c>
      <c r="K37" s="698">
        <f>AVERAGE(K24:K36)</f>
        <v>577089738.09413159</v>
      </c>
      <c r="M37" s="483"/>
      <c r="N37" s="483">
        <f>AVERAGE(N24:N36)</f>
        <v>601634909.98708487</v>
      </c>
      <c r="O37" s="483"/>
      <c r="P37" s="483">
        <f>AVERAGE(P24:P36)</f>
        <v>7961645.9993343959</v>
      </c>
      <c r="Q37" s="484"/>
      <c r="T37" s="468"/>
      <c r="U37" s="468"/>
    </row>
    <row r="38" spans="1:40">
      <c r="A38" s="451"/>
      <c r="T38" s="408"/>
      <c r="U38" s="408"/>
      <c r="Z38" s="408"/>
    </row>
    <row r="39" spans="1:40">
      <c r="A39" s="451"/>
      <c r="B39" s="410" t="s">
        <v>1418</v>
      </c>
      <c r="G39" s="451"/>
      <c r="K39" s="309"/>
      <c r="M39" s="309"/>
      <c r="N39" s="309"/>
      <c r="O39" s="309"/>
      <c r="P39" s="309"/>
    </row>
    <row r="40" spans="1:40">
      <c r="A40" s="451"/>
      <c r="B40" s="410"/>
      <c r="E40" s="448" t="s">
        <v>307</v>
      </c>
      <c r="F40" s="448" t="s">
        <v>308</v>
      </c>
      <c r="G40" s="448" t="s">
        <v>309</v>
      </c>
      <c r="H40" s="448" t="s">
        <v>310</v>
      </c>
      <c r="I40" s="448" t="s">
        <v>311</v>
      </c>
      <c r="J40" s="448" t="s">
        <v>312</v>
      </c>
      <c r="K40" s="485" t="s">
        <v>313</v>
      </c>
      <c r="L40" s="448" t="s">
        <v>314</v>
      </c>
      <c r="M40" s="485" t="s">
        <v>315</v>
      </c>
      <c r="N40" s="485" t="s">
        <v>534</v>
      </c>
      <c r="O40" s="485" t="s">
        <v>535</v>
      </c>
      <c r="P40" s="485" t="s">
        <v>536</v>
      </c>
    </row>
    <row r="41" spans="1:40" ht="25.5">
      <c r="A41" s="451"/>
      <c r="B41" s="410"/>
      <c r="E41" s="1016" t="s">
        <v>1419</v>
      </c>
      <c r="F41" s="1016" t="s">
        <v>1420</v>
      </c>
      <c r="G41" s="1016" t="s">
        <v>1421</v>
      </c>
      <c r="H41" s="1017" t="s">
        <v>1422</v>
      </c>
      <c r="I41" s="1017" t="s">
        <v>1422</v>
      </c>
      <c r="J41" s="1018" t="s">
        <v>1422</v>
      </c>
      <c r="K41" s="1013" t="s">
        <v>1423</v>
      </c>
      <c r="L41" s="1014" t="s">
        <v>1424</v>
      </c>
      <c r="M41" s="1015" t="s">
        <v>1425</v>
      </c>
      <c r="N41" s="1019" t="s">
        <v>1426</v>
      </c>
      <c r="O41" s="1019"/>
      <c r="P41" s="1015" t="s">
        <v>1427</v>
      </c>
    </row>
    <row r="42" spans="1:40">
      <c r="A42" s="451"/>
      <c r="C42" s="451" t="str">
        <f>C10</f>
        <v>Forecast</v>
      </c>
      <c r="E42" s="451" t="str">
        <f>E10</f>
        <v>Unloaded</v>
      </c>
      <c r="F42" s="451"/>
      <c r="G42" s="451"/>
      <c r="I42" s="452" t="str">
        <f>I10</f>
        <v>AFUDC</v>
      </c>
      <c r="J42" s="452"/>
      <c r="K42" s="452"/>
      <c r="L42" s="452"/>
      <c r="M42" s="452"/>
      <c r="N42" s="452"/>
      <c r="O42" s="451" t="str">
        <f t="shared" ref="O42:P44" si="30">O10</f>
        <v>Unloaded</v>
      </c>
      <c r="P42" s="451" t="str">
        <f t="shared" si="30"/>
        <v>Loaded</v>
      </c>
    </row>
    <row r="43" spans="1:40">
      <c r="A43" s="451"/>
      <c r="B43" s="410"/>
      <c r="C43" s="451" t="str">
        <f>C11</f>
        <v>Period</v>
      </c>
      <c r="E43" s="451" t="str">
        <f>E11</f>
        <v>Total</v>
      </c>
      <c r="F43" s="451" t="str">
        <f t="shared" ref="F43:H44" si="31">F11</f>
        <v>Prior Period</v>
      </c>
      <c r="G43" s="452" t="str">
        <f t="shared" si="31"/>
        <v>Over Heads</v>
      </c>
      <c r="H43" s="452" t="str">
        <f t="shared" si="31"/>
        <v xml:space="preserve">Cost of </v>
      </c>
      <c r="I43" s="452" t="str">
        <f>I11</f>
        <v>Eligible Plant</v>
      </c>
      <c r="J43" s="452"/>
      <c r="K43" s="452" t="str">
        <f>K11</f>
        <v>Incremental</v>
      </c>
      <c r="L43" s="452" t="str">
        <f>L11</f>
        <v>Depreciation</v>
      </c>
      <c r="M43" s="452"/>
      <c r="N43" s="452"/>
      <c r="O43" s="452" t="str">
        <f t="shared" si="30"/>
        <v>Low Voltage</v>
      </c>
      <c r="P43" s="452" t="str">
        <f t="shared" si="30"/>
        <v>Low Voltage</v>
      </c>
    </row>
    <row r="44" spans="1:40">
      <c r="A44" s="453" t="s">
        <v>243</v>
      </c>
      <c r="C44" s="435" t="str">
        <f t="shared" ref="C44:D44" si="32">C12</f>
        <v>Month</v>
      </c>
      <c r="D44" s="435" t="str">
        <f t="shared" si="32"/>
        <v>Year</v>
      </c>
      <c r="E44" s="448" t="str">
        <f>E12</f>
        <v>Plant Adds</v>
      </c>
      <c r="F44" s="448" t="str">
        <f t="shared" si="31"/>
        <v>CWIP Closed</v>
      </c>
      <c r="G44" s="454" t="str">
        <f t="shared" si="31"/>
        <v>Closed to PIS</v>
      </c>
      <c r="H44" s="454" t="str">
        <f t="shared" si="31"/>
        <v>Removal</v>
      </c>
      <c r="I44" s="454" t="str">
        <f>I12</f>
        <v>Additions</v>
      </c>
      <c r="J44" s="454" t="str">
        <f>J12</f>
        <v>AFUDC</v>
      </c>
      <c r="K44" s="454" t="str">
        <f>K12</f>
        <v>Gross Plant</v>
      </c>
      <c r="L44" s="454" t="str">
        <f>L12</f>
        <v>Accrual</v>
      </c>
      <c r="M44" s="454" t="str">
        <f>M12</f>
        <v>Reserve</v>
      </c>
      <c r="N44" s="454" t="str">
        <f>N12</f>
        <v>Net Plant</v>
      </c>
      <c r="O44" s="454" t="str">
        <f t="shared" si="30"/>
        <v>Additions</v>
      </c>
      <c r="P44" s="454" t="str">
        <f t="shared" si="30"/>
        <v>Additions</v>
      </c>
      <c r="T44" s="454"/>
      <c r="U44" s="454"/>
      <c r="V44" s="454"/>
      <c r="W44" s="454"/>
      <c r="X44" s="454"/>
      <c r="Y44" s="454"/>
    </row>
    <row r="45" spans="1:40">
      <c r="A45" s="451">
        <f>A37+1</f>
        <v>26</v>
      </c>
      <c r="C45" s="436" t="s">
        <v>352</v>
      </c>
      <c r="D45" s="665">
        <v>2019</v>
      </c>
      <c r="E45" s="461">
        <f>'10-CWIP'!G55</f>
        <v>141554.85</v>
      </c>
      <c r="F45" s="461">
        <f>'10-CWIP'!H55</f>
        <v>0</v>
      </c>
      <c r="G45" s="461">
        <f>'10-CWIP'!I55</f>
        <v>10616.613749999999</v>
      </c>
      <c r="H45" s="486">
        <v>0</v>
      </c>
      <c r="I45" s="455">
        <v>0</v>
      </c>
      <c r="J45" s="487">
        <v>0</v>
      </c>
      <c r="K45" s="1004">
        <f>0+E45+G45</f>
        <v>152171.46375</v>
      </c>
      <c r="L45" s="408">
        <v>0</v>
      </c>
      <c r="M45" s="408">
        <f>L45- H45</f>
        <v>0</v>
      </c>
      <c r="N45" s="408">
        <f>K45-M45</f>
        <v>152171.46375</v>
      </c>
      <c r="O45" s="488">
        <v>0</v>
      </c>
      <c r="P45" s="487">
        <f t="shared" ref="P45:P68" si="33">O45*(1-$E$107)*(1+$E$103+$E$111)</f>
        <v>0</v>
      </c>
      <c r="S45" s="408"/>
      <c r="T45" s="460"/>
      <c r="U45" s="457"/>
      <c r="V45" s="309"/>
      <c r="W45" s="460"/>
      <c r="X45" s="457"/>
      <c r="Y45" s="309"/>
    </row>
    <row r="46" spans="1:40">
      <c r="A46" s="451">
        <f t="shared" ref="A46:A99" si="34">A45+1</f>
        <v>27</v>
      </c>
      <c r="C46" s="439" t="s">
        <v>353</v>
      </c>
      <c r="D46" s="665">
        <v>2019</v>
      </c>
      <c r="E46" s="461">
        <f>'10-CWIP'!G56</f>
        <v>6841512.1600000001</v>
      </c>
      <c r="F46" s="461">
        <f>'10-CWIP'!H56</f>
        <v>6354080.5099999998</v>
      </c>
      <c r="G46" s="461">
        <f>'10-CWIP'!I56</f>
        <v>36557.373749999992</v>
      </c>
      <c r="H46" s="486">
        <v>0</v>
      </c>
      <c r="I46" s="455">
        <v>0</v>
      </c>
      <c r="J46" s="487">
        <v>0</v>
      </c>
      <c r="K46" s="408">
        <f>K45+E46+G46</f>
        <v>7030240.9975000005</v>
      </c>
      <c r="L46" s="408">
        <f t="shared" ref="L46:L68" si="35">K45*$E$133/12</f>
        <v>347.15524597045049</v>
      </c>
      <c r="M46" s="408">
        <f>(M45+L46)-H46</f>
        <v>347.15524597045049</v>
      </c>
      <c r="N46" s="408">
        <f t="shared" ref="N46:N65" si="36">K46-M46</f>
        <v>7029893.8422540305</v>
      </c>
      <c r="O46" s="488">
        <v>0</v>
      </c>
      <c r="P46" s="487">
        <f t="shared" si="33"/>
        <v>0</v>
      </c>
      <c r="S46" s="408"/>
      <c r="T46" s="460"/>
      <c r="U46" s="457"/>
      <c r="V46" s="309"/>
      <c r="W46" s="460"/>
      <c r="X46" s="457"/>
      <c r="Y46" s="309"/>
    </row>
    <row r="47" spans="1:40">
      <c r="A47" s="451">
        <f t="shared" si="34"/>
        <v>28</v>
      </c>
      <c r="C47" s="439" t="s">
        <v>354</v>
      </c>
      <c r="D47" s="665">
        <v>2019</v>
      </c>
      <c r="E47" s="461">
        <f>'10-CWIP'!G57</f>
        <v>498891.65000000008</v>
      </c>
      <c r="F47" s="461">
        <f>'10-CWIP'!H57</f>
        <v>0</v>
      </c>
      <c r="G47" s="461">
        <f>'10-CWIP'!I57</f>
        <v>37416.873750000006</v>
      </c>
      <c r="H47" s="486">
        <v>0</v>
      </c>
      <c r="I47" s="455">
        <v>0</v>
      </c>
      <c r="J47" s="487">
        <v>0</v>
      </c>
      <c r="K47" s="408">
        <f t="shared" ref="K47:K65" si="37">K46+E47+G47</f>
        <v>7566549.5212500012</v>
      </c>
      <c r="L47" s="408">
        <f t="shared" si="35"/>
        <v>16038.388424312296</v>
      </c>
      <c r="M47" s="408">
        <f>(M46+L47)-H47</f>
        <v>16385.543670282746</v>
      </c>
      <c r="N47" s="408">
        <f t="shared" si="36"/>
        <v>7550163.9775797185</v>
      </c>
      <c r="O47" s="488">
        <v>0</v>
      </c>
      <c r="P47" s="487">
        <f t="shared" si="33"/>
        <v>0</v>
      </c>
      <c r="S47" s="408"/>
      <c r="T47" s="460"/>
      <c r="U47" s="457"/>
      <c r="V47" s="309"/>
      <c r="W47" s="460"/>
      <c r="X47" s="457"/>
      <c r="Y47" s="309"/>
    </row>
    <row r="48" spans="1:40">
      <c r="A48" s="451">
        <f t="shared" si="34"/>
        <v>29</v>
      </c>
      <c r="C48" s="436" t="s">
        <v>355</v>
      </c>
      <c r="D48" s="665">
        <v>2019</v>
      </c>
      <c r="E48" s="461">
        <f>'10-CWIP'!G58</f>
        <v>479464.69</v>
      </c>
      <c r="F48" s="461">
        <f>'10-CWIP'!H58</f>
        <v>0</v>
      </c>
      <c r="G48" s="461">
        <f>'10-CWIP'!I58</f>
        <v>35959.851750000002</v>
      </c>
      <c r="H48" s="486">
        <v>0</v>
      </c>
      <c r="I48" s="455">
        <v>0</v>
      </c>
      <c r="J48" s="487">
        <v>0</v>
      </c>
      <c r="K48" s="408">
        <f t="shared" si="37"/>
        <v>8081974.0630000019</v>
      </c>
      <c r="L48" s="408">
        <f t="shared" si="35"/>
        <v>17261.891917610857</v>
      </c>
      <c r="M48" s="408">
        <f t="shared" ref="M48:M67" si="38">(M47+L48)-H48</f>
        <v>33647.435587893604</v>
      </c>
      <c r="N48" s="408">
        <f t="shared" si="36"/>
        <v>8048326.6274121087</v>
      </c>
      <c r="O48" s="488">
        <v>0</v>
      </c>
      <c r="P48" s="487">
        <f t="shared" si="33"/>
        <v>0</v>
      </c>
      <c r="S48" s="408"/>
      <c r="T48" s="460"/>
      <c r="U48" s="457"/>
      <c r="V48" s="309"/>
      <c r="W48" s="460"/>
      <c r="X48" s="457"/>
      <c r="Y48" s="309"/>
    </row>
    <row r="49" spans="1:25">
      <c r="A49" s="451">
        <f t="shared" si="34"/>
        <v>30</v>
      </c>
      <c r="C49" s="439" t="s">
        <v>356</v>
      </c>
      <c r="D49" s="665">
        <v>2019</v>
      </c>
      <c r="E49" s="461">
        <f>'10-CWIP'!G59</f>
        <v>754022.29999999993</v>
      </c>
      <c r="F49" s="461">
        <f>'10-CWIP'!H59</f>
        <v>0</v>
      </c>
      <c r="G49" s="461">
        <f>'10-CWIP'!I59</f>
        <v>56551.672500000001</v>
      </c>
      <c r="H49" s="486">
        <v>0</v>
      </c>
      <c r="I49" s="455">
        <v>0</v>
      </c>
      <c r="J49" s="487">
        <v>0</v>
      </c>
      <c r="K49" s="408">
        <f t="shared" si="37"/>
        <v>8892548.0355000012</v>
      </c>
      <c r="L49" s="408">
        <f t="shared" si="35"/>
        <v>18437.751892674209</v>
      </c>
      <c r="M49" s="408">
        <f t="shared" si="38"/>
        <v>52085.187480567809</v>
      </c>
      <c r="N49" s="408">
        <f t="shared" si="36"/>
        <v>8840462.8480194341</v>
      </c>
      <c r="O49" s="488">
        <v>0</v>
      </c>
      <c r="P49" s="487">
        <f t="shared" si="33"/>
        <v>0</v>
      </c>
      <c r="S49" s="408"/>
      <c r="T49" s="460"/>
      <c r="U49" s="457"/>
      <c r="V49" s="309"/>
      <c r="W49" s="460"/>
      <c r="X49" s="457"/>
      <c r="Y49" s="309"/>
    </row>
    <row r="50" spans="1:25">
      <c r="A50" s="451">
        <f t="shared" si="34"/>
        <v>31</v>
      </c>
      <c r="C50" s="439" t="s">
        <v>357</v>
      </c>
      <c r="D50" s="665">
        <v>2019</v>
      </c>
      <c r="E50" s="461">
        <f>'10-CWIP'!G60</f>
        <v>1797384.17</v>
      </c>
      <c r="F50" s="461">
        <f>'10-CWIP'!H60</f>
        <v>691910.17</v>
      </c>
      <c r="G50" s="461">
        <f>'10-CWIP'!I60</f>
        <v>82910.549999999988</v>
      </c>
      <c r="H50" s="486">
        <v>0</v>
      </c>
      <c r="I50" s="455">
        <v>0</v>
      </c>
      <c r="J50" s="487">
        <v>0</v>
      </c>
      <c r="K50" s="408">
        <f t="shared" si="37"/>
        <v>10772842.755500002</v>
      </c>
      <c r="L50" s="408">
        <f t="shared" si="35"/>
        <v>20286.948843705588</v>
      </c>
      <c r="M50" s="408">
        <f t="shared" si="38"/>
        <v>72372.136324273393</v>
      </c>
      <c r="N50" s="408">
        <f t="shared" si="36"/>
        <v>10700470.619175728</v>
      </c>
      <c r="O50" s="488">
        <v>0</v>
      </c>
      <c r="P50" s="487">
        <f t="shared" si="33"/>
        <v>0</v>
      </c>
      <c r="S50" s="408"/>
      <c r="T50" s="460"/>
      <c r="U50" s="457"/>
      <c r="V50" s="309"/>
      <c r="W50" s="460"/>
      <c r="X50" s="457"/>
      <c r="Y50" s="309"/>
    </row>
    <row r="51" spans="1:25">
      <c r="A51" s="451">
        <f t="shared" si="34"/>
        <v>32</v>
      </c>
      <c r="C51" s="436" t="s">
        <v>358</v>
      </c>
      <c r="D51" s="665">
        <v>2019</v>
      </c>
      <c r="E51" s="461">
        <f>'10-CWIP'!G61</f>
        <v>168232</v>
      </c>
      <c r="F51" s="461">
        <f>'10-CWIP'!H61</f>
        <v>0</v>
      </c>
      <c r="G51" s="461">
        <f>'10-CWIP'!I61</f>
        <v>12617.4</v>
      </c>
      <c r="H51" s="486">
        <v>0</v>
      </c>
      <c r="I51" s="455">
        <v>0</v>
      </c>
      <c r="J51" s="487">
        <v>0</v>
      </c>
      <c r="K51" s="408">
        <f t="shared" si="37"/>
        <v>10953692.155500002</v>
      </c>
      <c r="L51" s="408">
        <f t="shared" si="35"/>
        <v>24576.545328700562</v>
      </c>
      <c r="M51" s="408">
        <f t="shared" si="38"/>
        <v>96948.681652973959</v>
      </c>
      <c r="N51" s="408">
        <f t="shared" si="36"/>
        <v>10856743.473847028</v>
      </c>
      <c r="O51" s="488">
        <v>0</v>
      </c>
      <c r="P51" s="487">
        <f t="shared" si="33"/>
        <v>0</v>
      </c>
      <c r="S51" s="408"/>
      <c r="T51" s="460"/>
      <c r="U51" s="457"/>
      <c r="V51" s="309"/>
      <c r="W51" s="460"/>
      <c r="X51" s="457"/>
      <c r="Y51" s="309"/>
    </row>
    <row r="52" spans="1:25">
      <c r="A52" s="451">
        <f t="shared" si="34"/>
        <v>33</v>
      </c>
      <c r="C52" s="439" t="s">
        <v>359</v>
      </c>
      <c r="D52" s="665">
        <v>2019</v>
      </c>
      <c r="E52" s="461">
        <f>'10-CWIP'!G62</f>
        <v>632199.03</v>
      </c>
      <c r="F52" s="461">
        <f>'10-CWIP'!H62</f>
        <v>173868.03</v>
      </c>
      <c r="G52" s="461">
        <f>'10-CWIP'!I62</f>
        <v>34374.825000000004</v>
      </c>
      <c r="H52" s="486">
        <v>0</v>
      </c>
      <c r="I52" s="455">
        <v>0</v>
      </c>
      <c r="J52" s="487">
        <v>0</v>
      </c>
      <c r="K52" s="408">
        <f t="shared" si="37"/>
        <v>11620266.010500001</v>
      </c>
      <c r="L52" s="408">
        <f t="shared" si="35"/>
        <v>24989.124772923777</v>
      </c>
      <c r="M52" s="408">
        <f t="shared" si="38"/>
        <v>121937.80642589774</v>
      </c>
      <c r="N52" s="408">
        <f t="shared" si="36"/>
        <v>11498328.204074103</v>
      </c>
      <c r="O52" s="488">
        <v>0</v>
      </c>
      <c r="P52" s="487">
        <f t="shared" si="33"/>
        <v>0</v>
      </c>
      <c r="S52" s="408"/>
      <c r="T52" s="460"/>
      <c r="U52" s="457"/>
      <c r="V52" s="309"/>
      <c r="W52" s="460"/>
      <c r="X52" s="457"/>
      <c r="Y52" s="309"/>
    </row>
    <row r="53" spans="1:25">
      <c r="A53" s="451">
        <f t="shared" si="34"/>
        <v>34</v>
      </c>
      <c r="C53" s="439" t="s">
        <v>360</v>
      </c>
      <c r="D53" s="665">
        <v>2019</v>
      </c>
      <c r="E53" s="461">
        <f>'10-CWIP'!G63</f>
        <v>776893.27</v>
      </c>
      <c r="F53" s="461">
        <f>'10-CWIP'!H63</f>
        <v>156282.26999999999</v>
      </c>
      <c r="G53" s="461">
        <f>'10-CWIP'!I63</f>
        <v>46545.824999999997</v>
      </c>
      <c r="H53" s="486">
        <v>0</v>
      </c>
      <c r="I53" s="455">
        <v>0</v>
      </c>
      <c r="J53" s="487">
        <v>0</v>
      </c>
      <c r="K53" s="408">
        <f t="shared" si="37"/>
        <v>12443705.1055</v>
      </c>
      <c r="L53" s="408">
        <f t="shared" si="35"/>
        <v>26509.808118456727</v>
      </c>
      <c r="M53" s="408">
        <f t="shared" si="38"/>
        <v>148447.61454435447</v>
      </c>
      <c r="N53" s="408">
        <f t="shared" si="36"/>
        <v>12295257.490955645</v>
      </c>
      <c r="O53" s="488">
        <v>0</v>
      </c>
      <c r="P53" s="487">
        <f t="shared" si="33"/>
        <v>0</v>
      </c>
      <c r="S53" s="408"/>
      <c r="T53" s="460"/>
      <c r="U53" s="457"/>
      <c r="V53" s="309"/>
      <c r="W53" s="460"/>
      <c r="X53" s="457"/>
      <c r="Y53" s="309"/>
    </row>
    <row r="54" spans="1:25">
      <c r="A54" s="451">
        <f t="shared" si="34"/>
        <v>35</v>
      </c>
      <c r="C54" s="436" t="s">
        <v>1070</v>
      </c>
      <c r="D54" s="665">
        <v>2019</v>
      </c>
      <c r="E54" s="461">
        <f>'10-CWIP'!G64</f>
        <v>598232</v>
      </c>
      <c r="F54" s="461">
        <f>'10-CWIP'!H64</f>
        <v>0</v>
      </c>
      <c r="G54" s="461">
        <f>'10-CWIP'!I64</f>
        <v>44867.4</v>
      </c>
      <c r="H54" s="486">
        <v>0</v>
      </c>
      <c r="I54" s="455">
        <v>0</v>
      </c>
      <c r="J54" s="487">
        <v>0</v>
      </c>
      <c r="K54" s="408">
        <f t="shared" si="37"/>
        <v>13086804.5055</v>
      </c>
      <c r="L54" s="408">
        <f t="shared" si="35"/>
        <v>28388.354821773231</v>
      </c>
      <c r="M54" s="408">
        <f t="shared" si="38"/>
        <v>176835.96936612768</v>
      </c>
      <c r="N54" s="408">
        <f t="shared" si="36"/>
        <v>12909968.536133872</v>
      </c>
      <c r="O54" s="488">
        <v>0</v>
      </c>
      <c r="P54" s="487">
        <f t="shared" si="33"/>
        <v>0</v>
      </c>
      <c r="S54" s="408"/>
      <c r="T54" s="460"/>
      <c r="U54" s="457"/>
      <c r="V54" s="309"/>
      <c r="W54" s="460"/>
      <c r="X54" s="457"/>
      <c r="Y54" s="309"/>
    </row>
    <row r="55" spans="1:25">
      <c r="A55" s="451">
        <f t="shared" si="34"/>
        <v>36</v>
      </c>
      <c r="C55" s="436" t="s">
        <v>362</v>
      </c>
      <c r="D55" s="665">
        <v>2019</v>
      </c>
      <c r="E55" s="461">
        <f>'10-CWIP'!G65</f>
        <v>696461.78</v>
      </c>
      <c r="F55" s="461">
        <f>'10-CWIP'!H65</f>
        <v>212598.78</v>
      </c>
      <c r="G55" s="461">
        <f>'10-CWIP'!I65</f>
        <v>36289.725000000006</v>
      </c>
      <c r="H55" s="486">
        <v>0</v>
      </c>
      <c r="I55" s="455">
        <v>0</v>
      </c>
      <c r="J55" s="487">
        <v>0</v>
      </c>
      <c r="K55" s="408">
        <f t="shared" si="37"/>
        <v>13819556.010499999</v>
      </c>
      <c r="L55" s="408">
        <f t="shared" si="35"/>
        <v>29855.484892607219</v>
      </c>
      <c r="M55" s="408">
        <f t="shared" si="38"/>
        <v>206691.45425873491</v>
      </c>
      <c r="N55" s="408">
        <f t="shared" si="36"/>
        <v>13612864.556241265</v>
      </c>
      <c r="O55" s="488">
        <v>0</v>
      </c>
      <c r="P55" s="487">
        <f>O55*(1-$E$107)*(1+$E$103+$E$111)</f>
        <v>0</v>
      </c>
      <c r="S55" s="408"/>
      <c r="T55" s="460"/>
      <c r="U55" s="457"/>
      <c r="V55" s="309"/>
      <c r="W55" s="460"/>
      <c r="X55" s="457"/>
      <c r="Y55" s="309"/>
    </row>
    <row r="56" spans="1:25">
      <c r="A56" s="451">
        <f t="shared" si="34"/>
        <v>37</v>
      </c>
      <c r="C56" s="436" t="s">
        <v>350</v>
      </c>
      <c r="D56" s="665">
        <v>2019</v>
      </c>
      <c r="E56" s="461">
        <f>'10-CWIP'!G66</f>
        <v>8311541.5500000007</v>
      </c>
      <c r="F56" s="461">
        <f>'10-CWIP'!H66</f>
        <v>5614081.5499999998</v>
      </c>
      <c r="G56" s="461">
        <f>'10-CWIP'!I66</f>
        <v>202309.5</v>
      </c>
      <c r="H56" s="486">
        <v>0</v>
      </c>
      <c r="I56" s="455">
        <v>0</v>
      </c>
      <c r="J56" s="487">
        <v>0</v>
      </c>
      <c r="K56" s="408">
        <f t="shared" si="37"/>
        <v>22333407.0605</v>
      </c>
      <c r="L56" s="408">
        <f t="shared" si="35"/>
        <v>31527.142131650453</v>
      </c>
      <c r="M56" s="408">
        <f t="shared" si="38"/>
        <v>238218.59639038536</v>
      </c>
      <c r="N56" s="408">
        <f t="shared" si="36"/>
        <v>22095188.464109614</v>
      </c>
      <c r="O56" s="488">
        <v>0</v>
      </c>
      <c r="P56" s="487">
        <f t="shared" si="33"/>
        <v>0</v>
      </c>
      <c r="S56" s="408"/>
      <c r="T56" s="460"/>
      <c r="U56" s="457"/>
      <c r="V56" s="309"/>
      <c r="W56" s="460"/>
      <c r="X56" s="457"/>
      <c r="Y56" s="309"/>
    </row>
    <row r="57" spans="1:25">
      <c r="A57" s="451">
        <f t="shared" si="34"/>
        <v>38</v>
      </c>
      <c r="C57" s="436" t="s">
        <v>352</v>
      </c>
      <c r="D57" s="665">
        <v>2020</v>
      </c>
      <c r="E57" s="461">
        <f>'10-CWIP'!G67</f>
        <v>80529</v>
      </c>
      <c r="F57" s="461">
        <f>'10-CWIP'!H67</f>
        <v>0</v>
      </c>
      <c r="G57" s="461">
        <f>'10-CWIP'!I67</f>
        <v>6039.6750000000002</v>
      </c>
      <c r="H57" s="486">
        <v>0</v>
      </c>
      <c r="I57" s="455">
        <v>0</v>
      </c>
      <c r="J57" s="487">
        <v>0</v>
      </c>
      <c r="K57" s="408">
        <f t="shared" si="37"/>
        <v>22419975.7355</v>
      </c>
      <c r="L57" s="408">
        <f t="shared" si="35"/>
        <v>50950.153401846823</v>
      </c>
      <c r="M57" s="408">
        <f t="shared" si="38"/>
        <v>289168.74979223218</v>
      </c>
      <c r="N57" s="408">
        <f t="shared" si="36"/>
        <v>22130806.985707767</v>
      </c>
      <c r="O57" s="488">
        <v>0</v>
      </c>
      <c r="P57" s="487">
        <f t="shared" si="33"/>
        <v>0</v>
      </c>
      <c r="S57" s="408"/>
      <c r="T57" s="460"/>
      <c r="U57" s="457"/>
      <c r="V57" s="309"/>
      <c r="W57" s="460"/>
      <c r="X57" s="457"/>
      <c r="Y57" s="309"/>
    </row>
    <row r="58" spans="1:25">
      <c r="A58" s="451">
        <f t="shared" si="34"/>
        <v>39</v>
      </c>
      <c r="C58" s="439" t="s">
        <v>353</v>
      </c>
      <c r="D58" s="665">
        <v>2020</v>
      </c>
      <c r="E58" s="461">
        <f>'10-CWIP'!G68</f>
        <v>80529</v>
      </c>
      <c r="F58" s="461">
        <f>'10-CWIP'!H68</f>
        <v>0</v>
      </c>
      <c r="G58" s="461">
        <f>'10-CWIP'!I68</f>
        <v>6039.6750000000002</v>
      </c>
      <c r="H58" s="486">
        <v>0</v>
      </c>
      <c r="I58" s="455">
        <v>0</v>
      </c>
      <c r="J58" s="487">
        <v>0</v>
      </c>
      <c r="K58" s="408">
        <f t="shared" si="37"/>
        <v>22506544.410500001</v>
      </c>
      <c r="L58" s="408">
        <f t="shared" si="35"/>
        <v>51147.646209777849</v>
      </c>
      <c r="M58" s="408">
        <f t="shared" si="38"/>
        <v>340316.39600201003</v>
      </c>
      <c r="N58" s="408">
        <f t="shared" si="36"/>
        <v>22166228.014497992</v>
      </c>
      <c r="O58" s="488">
        <v>0</v>
      </c>
      <c r="P58" s="487">
        <f t="shared" si="33"/>
        <v>0</v>
      </c>
      <c r="S58" s="408"/>
      <c r="T58" s="460"/>
      <c r="U58" s="457"/>
      <c r="V58" s="309"/>
      <c r="W58" s="460"/>
      <c r="X58" s="457"/>
      <c r="Y58" s="309"/>
    </row>
    <row r="59" spans="1:25">
      <c r="A59" s="451">
        <f t="shared" si="34"/>
        <v>40</v>
      </c>
      <c r="C59" s="439" t="s">
        <v>354</v>
      </c>
      <c r="D59" s="665">
        <v>2020</v>
      </c>
      <c r="E59" s="461">
        <f>'10-CWIP'!G69</f>
        <v>140529</v>
      </c>
      <c r="F59" s="461">
        <f>'10-CWIP'!H69</f>
        <v>0</v>
      </c>
      <c r="G59" s="461">
        <f>'10-CWIP'!I69</f>
        <v>10539.674999999999</v>
      </c>
      <c r="H59" s="486">
        <v>0</v>
      </c>
      <c r="I59" s="455">
        <v>0</v>
      </c>
      <c r="J59" s="487">
        <v>0</v>
      </c>
      <c r="K59" s="408">
        <f t="shared" si="37"/>
        <v>22657613.085500002</v>
      </c>
      <c r="L59" s="408">
        <f t="shared" si="35"/>
        <v>51345.139017708869</v>
      </c>
      <c r="M59" s="408">
        <f t="shared" si="38"/>
        <v>391661.53501971893</v>
      </c>
      <c r="N59" s="408">
        <f t="shared" si="36"/>
        <v>22265951.550480284</v>
      </c>
      <c r="O59" s="488">
        <v>0</v>
      </c>
      <c r="P59" s="487">
        <f t="shared" si="33"/>
        <v>0</v>
      </c>
      <c r="S59" s="408"/>
      <c r="T59" s="460"/>
      <c r="U59" s="457"/>
      <c r="V59" s="309"/>
      <c r="W59" s="460"/>
      <c r="X59" s="457"/>
      <c r="Y59" s="309"/>
    </row>
    <row r="60" spans="1:25">
      <c r="A60" s="451">
        <f t="shared" si="34"/>
        <v>41</v>
      </c>
      <c r="C60" s="436" t="s">
        <v>355</v>
      </c>
      <c r="D60" s="665">
        <v>2020</v>
      </c>
      <c r="E60" s="461">
        <f>'10-CWIP'!G70</f>
        <v>230529</v>
      </c>
      <c r="F60" s="461">
        <f>'10-CWIP'!H70</f>
        <v>0</v>
      </c>
      <c r="G60" s="461">
        <f>'10-CWIP'!I70</f>
        <v>17289.674999999999</v>
      </c>
      <c r="H60" s="486">
        <v>0</v>
      </c>
      <c r="I60" s="455">
        <v>0</v>
      </c>
      <c r="J60" s="487">
        <v>0</v>
      </c>
      <c r="K60" s="408">
        <f t="shared" si="37"/>
        <v>22905431.760500003</v>
      </c>
      <c r="L60" s="408">
        <f t="shared" si="35"/>
        <v>51689.778424701857</v>
      </c>
      <c r="M60" s="408">
        <f t="shared" si="38"/>
        <v>443351.31344442081</v>
      </c>
      <c r="N60" s="408">
        <f t="shared" si="36"/>
        <v>22462080.447055582</v>
      </c>
      <c r="O60" s="488">
        <v>0</v>
      </c>
      <c r="P60" s="487">
        <f t="shared" si="33"/>
        <v>0</v>
      </c>
      <c r="S60" s="408"/>
      <c r="T60" s="460"/>
      <c r="U60" s="457"/>
      <c r="V60" s="309"/>
      <c r="W60" s="460"/>
      <c r="X60" s="457"/>
      <c r="Y60" s="309"/>
    </row>
    <row r="61" spans="1:25">
      <c r="A61" s="451">
        <f t="shared" si="34"/>
        <v>42</v>
      </c>
      <c r="C61" s="439" t="s">
        <v>356</v>
      </c>
      <c r="D61" s="665">
        <v>2020</v>
      </c>
      <c r="E61" s="461">
        <f>'10-CWIP'!G71</f>
        <v>230529</v>
      </c>
      <c r="F61" s="461">
        <f>'10-CWIP'!H71</f>
        <v>0</v>
      </c>
      <c r="G61" s="461">
        <f>'10-CWIP'!I71</f>
        <v>17289.674999999999</v>
      </c>
      <c r="H61" s="486">
        <v>0</v>
      </c>
      <c r="I61" s="455">
        <v>0</v>
      </c>
      <c r="J61" s="487">
        <v>0</v>
      </c>
      <c r="K61" s="408">
        <f t="shared" si="37"/>
        <v>23153250.435500003</v>
      </c>
      <c r="L61" s="408">
        <f t="shared" si="35"/>
        <v>52255.137730287803</v>
      </c>
      <c r="M61" s="408">
        <f t="shared" si="38"/>
        <v>495606.45117470861</v>
      </c>
      <c r="N61" s="408">
        <f t="shared" si="36"/>
        <v>22657643.984325293</v>
      </c>
      <c r="O61" s="488">
        <v>0</v>
      </c>
      <c r="P61" s="487">
        <f t="shared" si="33"/>
        <v>0</v>
      </c>
      <c r="S61" s="408"/>
      <c r="T61" s="460"/>
      <c r="U61" s="457"/>
      <c r="V61" s="309"/>
      <c r="W61" s="460"/>
      <c r="X61" s="457"/>
      <c r="Y61" s="309"/>
    </row>
    <row r="62" spans="1:25">
      <c r="A62" s="451">
        <f t="shared" si="34"/>
        <v>43</v>
      </c>
      <c r="C62" s="439" t="s">
        <v>357</v>
      </c>
      <c r="D62" s="665">
        <v>2020</v>
      </c>
      <c r="E62" s="461">
        <f>'10-CWIP'!G72</f>
        <v>80529</v>
      </c>
      <c r="F62" s="461">
        <f>'10-CWIP'!H72</f>
        <v>0</v>
      </c>
      <c r="G62" s="461">
        <f>'10-CWIP'!I72</f>
        <v>6039.6750000000002</v>
      </c>
      <c r="H62" s="486">
        <v>0</v>
      </c>
      <c r="I62" s="455">
        <v>0</v>
      </c>
      <c r="J62" s="487">
        <v>0</v>
      </c>
      <c r="K62" s="408">
        <f t="shared" si="37"/>
        <v>23239819.110500004</v>
      </c>
      <c r="L62" s="408">
        <f t="shared" si="35"/>
        <v>52820.497035873741</v>
      </c>
      <c r="M62" s="408">
        <f t="shared" si="38"/>
        <v>548426.94821058237</v>
      </c>
      <c r="N62" s="408">
        <f t="shared" si="36"/>
        <v>22691392.162289422</v>
      </c>
      <c r="O62" s="488">
        <v>0</v>
      </c>
      <c r="P62" s="487">
        <f t="shared" si="33"/>
        <v>0</v>
      </c>
      <c r="S62" s="408"/>
      <c r="T62" s="460"/>
      <c r="U62" s="457"/>
      <c r="V62" s="309"/>
      <c r="W62" s="460"/>
      <c r="X62" s="457"/>
      <c r="Y62" s="309"/>
    </row>
    <row r="63" spans="1:25">
      <c r="A63" s="451">
        <f t="shared" si="34"/>
        <v>44</v>
      </c>
      <c r="C63" s="436" t="s">
        <v>358</v>
      </c>
      <c r="D63" s="665">
        <v>2020</v>
      </c>
      <c r="E63" s="461">
        <f>'10-CWIP'!G73</f>
        <v>80529</v>
      </c>
      <c r="F63" s="461">
        <f>'10-CWIP'!H73</f>
        <v>0</v>
      </c>
      <c r="G63" s="461">
        <f>'10-CWIP'!I73</f>
        <v>6039.6750000000002</v>
      </c>
      <c r="H63" s="486">
        <v>0</v>
      </c>
      <c r="I63" s="455">
        <v>0</v>
      </c>
      <c r="J63" s="487">
        <v>0</v>
      </c>
      <c r="K63" s="408">
        <f t="shared" si="37"/>
        <v>23326387.785500005</v>
      </c>
      <c r="L63" s="408">
        <f t="shared" si="35"/>
        <v>53017.989843804768</v>
      </c>
      <c r="M63" s="408">
        <f t="shared" si="38"/>
        <v>601444.93805438711</v>
      </c>
      <c r="N63" s="408">
        <f t="shared" si="36"/>
        <v>22724942.847445618</v>
      </c>
      <c r="O63" s="488">
        <v>0</v>
      </c>
      <c r="P63" s="487">
        <f t="shared" si="33"/>
        <v>0</v>
      </c>
      <c r="S63" s="408"/>
      <c r="T63" s="460"/>
      <c r="U63" s="457"/>
      <c r="V63" s="309"/>
      <c r="W63" s="460"/>
      <c r="X63" s="457"/>
      <c r="Y63" s="309"/>
    </row>
    <row r="64" spans="1:25">
      <c r="A64" s="451">
        <f t="shared" si="34"/>
        <v>45</v>
      </c>
      <c r="C64" s="439" t="s">
        <v>359</v>
      </c>
      <c r="D64" s="665">
        <v>2020</v>
      </c>
      <c r="E64" s="461">
        <f>'10-CWIP'!G74</f>
        <v>80529</v>
      </c>
      <c r="F64" s="461">
        <f>'10-CWIP'!H74</f>
        <v>0</v>
      </c>
      <c r="G64" s="461">
        <f>'10-CWIP'!I74</f>
        <v>6039.6750000000002</v>
      </c>
      <c r="H64" s="486">
        <v>0</v>
      </c>
      <c r="I64" s="455">
        <v>0</v>
      </c>
      <c r="J64" s="487">
        <v>0</v>
      </c>
      <c r="K64" s="408">
        <f t="shared" si="37"/>
        <v>23412956.460500006</v>
      </c>
      <c r="L64" s="408">
        <f t="shared" si="35"/>
        <v>53215.482651735794</v>
      </c>
      <c r="M64" s="408">
        <f t="shared" si="38"/>
        <v>654660.42070612288</v>
      </c>
      <c r="N64" s="408">
        <f t="shared" si="36"/>
        <v>22758296.039793883</v>
      </c>
      <c r="O64" s="488">
        <v>0</v>
      </c>
      <c r="P64" s="487">
        <f t="shared" si="33"/>
        <v>0</v>
      </c>
      <c r="S64" s="408"/>
      <c r="T64" s="460"/>
      <c r="U64" s="457"/>
      <c r="V64" s="309"/>
      <c r="W64" s="460"/>
      <c r="X64" s="457"/>
      <c r="Y64" s="309"/>
    </row>
    <row r="65" spans="1:25">
      <c r="A65" s="451">
        <f t="shared" si="34"/>
        <v>46</v>
      </c>
      <c r="C65" s="439" t="s">
        <v>360</v>
      </c>
      <c r="D65" s="665">
        <v>2020</v>
      </c>
      <c r="E65" s="461">
        <f>'10-CWIP'!G75</f>
        <v>90529</v>
      </c>
      <c r="F65" s="461">
        <f>'10-CWIP'!H75</f>
        <v>0</v>
      </c>
      <c r="G65" s="461">
        <f>'10-CWIP'!I75</f>
        <v>6789.6750000000002</v>
      </c>
      <c r="H65" s="486">
        <v>0</v>
      </c>
      <c r="I65" s="455">
        <v>0</v>
      </c>
      <c r="J65" s="487">
        <v>0</v>
      </c>
      <c r="K65" s="408">
        <f t="shared" si="37"/>
        <v>23510275.135500006</v>
      </c>
      <c r="L65" s="408">
        <f t="shared" si="35"/>
        <v>53412.975459666806</v>
      </c>
      <c r="M65" s="408">
        <f t="shared" si="38"/>
        <v>708073.39616578969</v>
      </c>
      <c r="N65" s="408">
        <f t="shared" si="36"/>
        <v>22802201.739334218</v>
      </c>
      <c r="O65" s="488">
        <v>0</v>
      </c>
      <c r="P65" s="487">
        <f t="shared" si="33"/>
        <v>0</v>
      </c>
      <c r="S65" s="408"/>
      <c r="T65" s="460"/>
      <c r="U65" s="457"/>
      <c r="V65" s="309"/>
      <c r="W65" s="460"/>
      <c r="X65" s="457"/>
      <c r="Y65" s="309"/>
    </row>
    <row r="66" spans="1:25">
      <c r="A66" s="452">
        <f t="shared" si="34"/>
        <v>47</v>
      </c>
      <c r="C66" s="439" t="s">
        <v>361</v>
      </c>
      <c r="D66" s="665">
        <v>2020</v>
      </c>
      <c r="E66" s="461">
        <f>'10-CWIP'!G76</f>
        <v>90529</v>
      </c>
      <c r="F66" s="461">
        <f>'10-CWIP'!H76</f>
        <v>0</v>
      </c>
      <c r="G66" s="461">
        <f>'10-CWIP'!I76</f>
        <v>6789.6750000000002</v>
      </c>
      <c r="H66" s="486">
        <v>0</v>
      </c>
      <c r="I66" s="455">
        <v>0</v>
      </c>
      <c r="J66" s="487">
        <v>0</v>
      </c>
      <c r="K66" s="408">
        <f t="shared" ref="K66:K67" si="39">K65+E66+G66</f>
        <v>23607593.810500007</v>
      </c>
      <c r="L66" s="408">
        <f t="shared" si="35"/>
        <v>53634.992700774827</v>
      </c>
      <c r="M66" s="408">
        <f t="shared" si="38"/>
        <v>761708.38886656449</v>
      </c>
      <c r="N66" s="408">
        <f t="shared" ref="N66:N67" si="40">K66-M66</f>
        <v>22845885.421633441</v>
      </c>
      <c r="O66" s="488">
        <v>0</v>
      </c>
      <c r="P66" s="487">
        <f t="shared" si="33"/>
        <v>0</v>
      </c>
      <c r="S66" s="408"/>
      <c r="T66" s="460"/>
      <c r="U66" s="457"/>
      <c r="V66" s="309"/>
      <c r="W66" s="460"/>
      <c r="X66" s="457"/>
      <c r="Y66" s="309"/>
    </row>
    <row r="67" spans="1:25">
      <c r="A67" s="452">
        <f t="shared" si="34"/>
        <v>48</v>
      </c>
      <c r="C67" s="439" t="s">
        <v>362</v>
      </c>
      <c r="D67" s="665">
        <v>2020</v>
      </c>
      <c r="E67" s="461">
        <f>'10-CWIP'!G77</f>
        <v>190529</v>
      </c>
      <c r="F67" s="461">
        <f>'10-CWIP'!H77</f>
        <v>0</v>
      </c>
      <c r="G67" s="461">
        <f>'10-CWIP'!I77</f>
        <v>14289.674999999999</v>
      </c>
      <c r="H67" s="486">
        <v>0</v>
      </c>
      <c r="I67" s="455">
        <v>0</v>
      </c>
      <c r="J67" s="487">
        <v>0</v>
      </c>
      <c r="K67" s="408">
        <f t="shared" si="39"/>
        <v>23812412.485500008</v>
      </c>
      <c r="L67" s="408">
        <f t="shared" si="35"/>
        <v>53857.009941882839</v>
      </c>
      <c r="M67" s="408">
        <f t="shared" si="38"/>
        <v>815565.39880844729</v>
      </c>
      <c r="N67" s="408">
        <f t="shared" si="40"/>
        <v>22996847.086691562</v>
      </c>
      <c r="O67" s="488">
        <v>0</v>
      </c>
      <c r="P67" s="487">
        <f t="shared" si="33"/>
        <v>0</v>
      </c>
      <c r="S67" s="408"/>
      <c r="T67" s="460"/>
      <c r="U67" s="457"/>
      <c r="V67" s="309"/>
      <c r="W67" s="460"/>
      <c r="X67" s="457"/>
      <c r="Y67" s="309"/>
    </row>
    <row r="68" spans="1:25">
      <c r="A68" s="452">
        <f t="shared" si="34"/>
        <v>49</v>
      </c>
      <c r="C68" s="439" t="s">
        <v>350</v>
      </c>
      <c r="D68" s="665">
        <v>2020</v>
      </c>
      <c r="E68" s="461">
        <f>'10-CWIP'!G78</f>
        <v>43140404.120000005</v>
      </c>
      <c r="F68" s="461">
        <f>'10-CWIP'!H78</f>
        <v>16523166.119999997</v>
      </c>
      <c r="G68" s="461">
        <f>'10-CWIP'!I78</f>
        <v>1996292.8500000006</v>
      </c>
      <c r="H68" s="486">
        <v>0</v>
      </c>
      <c r="I68" s="455">
        <v>0</v>
      </c>
      <c r="J68" s="487">
        <v>0</v>
      </c>
      <c r="K68" s="408">
        <f>K67+E68+G68</f>
        <v>68949109.455500007</v>
      </c>
      <c r="L68" s="408">
        <f t="shared" si="35"/>
        <v>54324.271514760803</v>
      </c>
      <c r="M68" s="408">
        <f>(M67+L68)-H68</f>
        <v>869889.67032320809</v>
      </c>
      <c r="N68" s="408">
        <f>K68-M68</f>
        <v>68079219.785176799</v>
      </c>
      <c r="O68" s="488">
        <v>0</v>
      </c>
      <c r="P68" s="487">
        <f t="shared" si="33"/>
        <v>0</v>
      </c>
      <c r="S68" s="408"/>
      <c r="T68" s="460"/>
      <c r="U68" s="457"/>
      <c r="V68" s="309"/>
      <c r="W68" s="460"/>
      <c r="X68" s="457"/>
      <c r="Y68" s="309"/>
    </row>
    <row r="69" spans="1:25">
      <c r="A69" s="451"/>
      <c r="D69" s="459"/>
      <c r="G69" s="408"/>
      <c r="M69" s="405"/>
      <c r="N69" s="455"/>
    </row>
    <row r="70" spans="1:25">
      <c r="A70" s="451"/>
      <c r="B70" s="410" t="s">
        <v>1428</v>
      </c>
      <c r="D70" s="459"/>
      <c r="G70" s="489"/>
      <c r="M70" s="405"/>
      <c r="N70" s="455"/>
    </row>
    <row r="71" spans="1:25">
      <c r="A71" s="451"/>
      <c r="E71" s="447" t="s">
        <v>307</v>
      </c>
      <c r="F71" s="447" t="s">
        <v>308</v>
      </c>
      <c r="G71" s="447" t="s">
        <v>309</v>
      </c>
      <c r="H71" s="447" t="s">
        <v>310</v>
      </c>
      <c r="I71" s="447" t="s">
        <v>311</v>
      </c>
      <c r="J71" s="447" t="s">
        <v>312</v>
      </c>
      <c r="K71" s="447" t="s">
        <v>313</v>
      </c>
      <c r="L71" s="447" t="s">
        <v>314</v>
      </c>
      <c r="M71" s="447" t="s">
        <v>315</v>
      </c>
      <c r="N71" s="447" t="s">
        <v>534</v>
      </c>
      <c r="O71" s="447" t="s">
        <v>535</v>
      </c>
      <c r="P71" s="447" t="s">
        <v>536</v>
      </c>
    </row>
    <row r="72" spans="1:25" ht="25.5">
      <c r="A72" s="451"/>
      <c r="E72" s="449"/>
      <c r="F72" s="449"/>
      <c r="G72" s="1012" t="str">
        <f>"=(C"&amp;RIGHT(E71)&amp;"-C"&amp;RIGHT(F71)&amp;")*L"&amp;$A$103</f>
        <v>=(C1-C2)*L74</v>
      </c>
      <c r="H72" s="1012" t="str">
        <f>"=(C"&amp;RIGHT(E71)&amp;"-C"&amp;RIGHT(F71)&amp;"+C"&amp;RIGHT(G71)&amp;")*L"&amp;$A$107</f>
        <v>=(C1-C2+C3)*L75</v>
      </c>
      <c r="I72" s="1012" t="str">
        <f>"=C"&amp;RIGHT(E71)&amp;"-C"&amp;RIGHT(F71)&amp;"+C"&amp;RIGHT(G71)&amp;"-C"&amp;RIGHT(H71)</f>
        <v>=C1-C2+C3-C4</v>
      </c>
      <c r="J72" s="1012" t="str">
        <f>"=C"&amp;RIGHT(I71)&amp;"*L"&amp;$A$111</f>
        <v>=C5*L76</v>
      </c>
      <c r="K72" s="1013" t="s">
        <v>1429</v>
      </c>
      <c r="L72" s="1014" t="s">
        <v>1424</v>
      </c>
      <c r="M72" s="1015" t="s">
        <v>1425</v>
      </c>
      <c r="N72" s="1012" t="str">
        <f>"=C"&amp;RIGHT(K71)&amp;"-C"&amp;RIGHT(M71)</f>
        <v>=C7-C9</v>
      </c>
      <c r="O72" s="405"/>
      <c r="P72" s="1015" t="s">
        <v>1427</v>
      </c>
    </row>
    <row r="73" spans="1:25">
      <c r="A73" s="451"/>
      <c r="C73" s="451" t="str">
        <f>C10</f>
        <v>Forecast</v>
      </c>
      <c r="E73" s="451" t="str">
        <f>E10</f>
        <v>Unloaded</v>
      </c>
      <c r="F73" s="451"/>
      <c r="G73" s="451"/>
      <c r="H73" s="452"/>
      <c r="I73" s="452" t="str">
        <f>I10</f>
        <v>AFUDC</v>
      </c>
      <c r="J73" s="452"/>
      <c r="K73" s="452"/>
      <c r="L73" s="452"/>
      <c r="M73" s="452"/>
      <c r="O73" s="451" t="str">
        <f>O10</f>
        <v>Unloaded</v>
      </c>
      <c r="P73" s="451" t="str">
        <f>P10</f>
        <v>Loaded</v>
      </c>
    </row>
    <row r="74" spans="1:25">
      <c r="A74" s="451"/>
      <c r="C74" s="451" t="str">
        <f>C11</f>
        <v>Period</v>
      </c>
      <c r="E74" s="451" t="str">
        <f>E11</f>
        <v>Total</v>
      </c>
      <c r="F74" s="451" t="str">
        <f t="shared" ref="F74:H75" si="41">F11</f>
        <v>Prior Period</v>
      </c>
      <c r="G74" s="452" t="str">
        <f t="shared" si="41"/>
        <v>Over Heads</v>
      </c>
      <c r="H74" s="452" t="str">
        <f t="shared" si="41"/>
        <v xml:space="preserve">Cost of </v>
      </c>
      <c r="I74" s="452" t="str">
        <f>I11</f>
        <v>Eligible Plant</v>
      </c>
      <c r="J74" s="452"/>
      <c r="K74" s="452" t="str">
        <f t="shared" ref="K74:M74" si="42">K11</f>
        <v>Incremental</v>
      </c>
      <c r="L74" s="452" t="str">
        <f t="shared" si="42"/>
        <v>Depreciation</v>
      </c>
      <c r="M74" s="452" t="str">
        <f t="shared" si="42"/>
        <v>Incremental</v>
      </c>
      <c r="O74" s="452" t="str">
        <f>O11</f>
        <v>Low Voltage</v>
      </c>
      <c r="P74" s="452" t="str">
        <f>P11</f>
        <v>Low Voltage</v>
      </c>
      <c r="Q74" s="451"/>
    </row>
    <row r="75" spans="1:25">
      <c r="A75" s="453" t="s">
        <v>243</v>
      </c>
      <c r="C75" s="435" t="str">
        <f>C12</f>
        <v>Month</v>
      </c>
      <c r="D75" s="435" t="str">
        <f>D12</f>
        <v>Year</v>
      </c>
      <c r="E75" s="448" t="str">
        <f>E12</f>
        <v>Plant Adds</v>
      </c>
      <c r="F75" s="448" t="str">
        <f t="shared" si="41"/>
        <v>CWIP Closed</v>
      </c>
      <c r="G75" s="454" t="str">
        <f t="shared" si="41"/>
        <v>Closed to PIS</v>
      </c>
      <c r="H75" s="454" t="str">
        <f t="shared" si="41"/>
        <v>Removal</v>
      </c>
      <c r="I75" s="454" t="str">
        <f>I12</f>
        <v>Additions</v>
      </c>
      <c r="J75" s="454" t="str">
        <f t="shared" ref="J75:P75" si="43">J12</f>
        <v>AFUDC</v>
      </c>
      <c r="K75" s="454" t="str">
        <f t="shared" si="43"/>
        <v>Gross Plant</v>
      </c>
      <c r="L75" s="454" t="str">
        <f t="shared" si="43"/>
        <v>Accrual</v>
      </c>
      <c r="M75" s="454" t="str">
        <f t="shared" si="43"/>
        <v>Reserve</v>
      </c>
      <c r="N75" s="454" t="str">
        <f t="shared" si="43"/>
        <v>Net Plant</v>
      </c>
      <c r="O75" s="454" t="str">
        <f t="shared" si="43"/>
        <v>Additions</v>
      </c>
      <c r="P75" s="454" t="str">
        <f t="shared" si="43"/>
        <v>Additions</v>
      </c>
      <c r="Q75" s="454"/>
      <c r="S75" s="490"/>
      <c r="T75" s="454"/>
      <c r="U75" s="454"/>
      <c r="V75" s="454"/>
      <c r="W75" s="454"/>
      <c r="X75" s="454"/>
      <c r="Y75" s="454"/>
    </row>
    <row r="76" spans="1:25">
      <c r="A76" s="451">
        <f>A68+1</f>
        <v>50</v>
      </c>
      <c r="C76" s="436" t="str">
        <f t="shared" ref="C76:C96" si="44">C45</f>
        <v>January</v>
      </c>
      <c r="D76" s="665">
        <v>2019</v>
      </c>
      <c r="E76" s="462">
        <v>27406505.947586115</v>
      </c>
      <c r="F76" s="462">
        <v>6281865.528072536</v>
      </c>
      <c r="G76" s="455">
        <f>(E76-F76)*$E$103</f>
        <v>1584348.0314635185</v>
      </c>
      <c r="H76" s="408">
        <f>(E76-F76+G76)*$E$107</f>
        <v>1816719.0760781679</v>
      </c>
      <c r="I76" s="455">
        <f>E76-F76+G76-H76</f>
        <v>20892269.374898929</v>
      </c>
      <c r="J76" s="455">
        <f t="shared" ref="J76:J96" si="45">I76*$E$111</f>
        <v>626768.08124696789</v>
      </c>
      <c r="K76" s="408">
        <f>F76+I76+J76</f>
        <v>27800902.984218433</v>
      </c>
      <c r="L76" s="408">
        <v>0</v>
      </c>
      <c r="M76" s="408">
        <f>L76-H76</f>
        <v>-1816719.0760781679</v>
      </c>
      <c r="N76" s="408">
        <f t="shared" ref="N76:N96" si="46">K76-M76</f>
        <v>29617622.060296603</v>
      </c>
      <c r="O76" s="488">
        <v>304089.49465583439</v>
      </c>
      <c r="P76" s="408">
        <f t="shared" ref="P76:P96" si="47">O76*(1-$E$107)*(1+$E$103+$E$111)</f>
        <v>309137.38026712125</v>
      </c>
      <c r="Q76" s="460"/>
      <c r="R76" s="457"/>
      <c r="S76" s="460"/>
      <c r="T76" s="460"/>
      <c r="U76" s="457"/>
      <c r="V76" s="309"/>
      <c r="W76" s="460"/>
      <c r="X76" s="457"/>
      <c r="Y76" s="309"/>
    </row>
    <row r="77" spans="1:25">
      <c r="A77" s="451">
        <f t="shared" si="34"/>
        <v>51</v>
      </c>
      <c r="C77" s="436" t="str">
        <f t="shared" si="44"/>
        <v>February</v>
      </c>
      <c r="D77" s="665">
        <v>2019</v>
      </c>
      <c r="E77" s="462">
        <v>19094601.977586117</v>
      </c>
      <c r="F77" s="462">
        <v>1744488.5580725325</v>
      </c>
      <c r="G77" s="455">
        <f t="shared" ref="G77:G96" si="48">(E77-F77)*$E$103</f>
        <v>1301258.5064635186</v>
      </c>
      <c r="H77" s="408">
        <f t="shared" ref="H77:H96" si="49">(E77-F77+G77)*$E$107</f>
        <v>1492109.7540781682</v>
      </c>
      <c r="I77" s="455">
        <f t="shared" ref="I77:I96" si="50">E77-F77+G77-H77</f>
        <v>17159262.171898935</v>
      </c>
      <c r="J77" s="455">
        <f t="shared" si="45"/>
        <v>514777.86515696801</v>
      </c>
      <c r="K77" s="408">
        <f>K76+J77+I77+F77</f>
        <v>47219431.579346865</v>
      </c>
      <c r="L77" s="408">
        <f t="shared" ref="L77:L96" si="51">K76*$E$133/12</f>
        <v>63423.384883402498</v>
      </c>
      <c r="M77" s="408">
        <f>(M76+L77)-H77</f>
        <v>-3245405.4452729337</v>
      </c>
      <c r="N77" s="408">
        <f t="shared" si="46"/>
        <v>50464837.024619803</v>
      </c>
      <c r="O77" s="488">
        <v>608178.98931166879</v>
      </c>
      <c r="P77" s="408">
        <f t="shared" si="47"/>
        <v>618274.76053424249</v>
      </c>
      <c r="Q77" s="460"/>
      <c r="R77" s="457"/>
      <c r="S77" s="460"/>
      <c r="T77" s="460"/>
      <c r="U77" s="457"/>
      <c r="V77" s="309"/>
      <c r="W77" s="460"/>
      <c r="X77" s="457"/>
      <c r="Y77" s="309"/>
    </row>
    <row r="78" spans="1:25">
      <c r="A78" s="451">
        <f t="shared" si="34"/>
        <v>52</v>
      </c>
      <c r="C78" s="436" t="str">
        <f t="shared" si="44"/>
        <v>March</v>
      </c>
      <c r="D78" s="665">
        <v>2019</v>
      </c>
      <c r="E78" s="462">
        <v>18674634.257586129</v>
      </c>
      <c r="F78" s="462">
        <v>1470852.8380725328</v>
      </c>
      <c r="G78" s="455">
        <f t="shared" si="48"/>
        <v>1290283.6064635199</v>
      </c>
      <c r="H78" s="408">
        <f t="shared" si="49"/>
        <v>1479525.2020781697</v>
      </c>
      <c r="I78" s="455">
        <f t="shared" si="50"/>
        <v>17014539.823898949</v>
      </c>
      <c r="J78" s="455">
        <f t="shared" si="45"/>
        <v>510436.19471696846</v>
      </c>
      <c r="K78" s="408">
        <f t="shared" ref="K78:K96" si="52">K77+J78+I78+F78</f>
        <v>66215260.436035313</v>
      </c>
      <c r="L78" s="408">
        <f t="shared" si="51"/>
        <v>107723.7018068246</v>
      </c>
      <c r="M78" s="408">
        <f t="shared" ref="M78:M98" si="53">(M77+L78)-H78</f>
        <v>-4617206.9455442782</v>
      </c>
      <c r="N78" s="408">
        <f t="shared" si="46"/>
        <v>70832467.381579593</v>
      </c>
      <c r="O78" s="488">
        <v>912268.4839675033</v>
      </c>
      <c r="P78" s="408">
        <f t="shared" si="47"/>
        <v>927412.14080136386</v>
      </c>
      <c r="Q78" s="460"/>
      <c r="R78" s="457"/>
      <c r="S78" s="460"/>
      <c r="T78" s="460"/>
      <c r="U78" s="457"/>
      <c r="V78" s="309"/>
      <c r="W78" s="460"/>
      <c r="X78" s="457"/>
      <c r="Y78" s="309"/>
    </row>
    <row r="79" spans="1:25">
      <c r="A79" s="451">
        <f t="shared" si="34"/>
        <v>53</v>
      </c>
      <c r="C79" s="436" t="str">
        <f t="shared" si="44"/>
        <v>April</v>
      </c>
      <c r="D79" s="665">
        <v>2019</v>
      </c>
      <c r="E79" s="462">
        <v>20729972.34758611</v>
      </c>
      <c r="F79" s="462">
        <v>1877033.9280725331</v>
      </c>
      <c r="G79" s="455">
        <f t="shared" si="48"/>
        <v>1413970.3814635181</v>
      </c>
      <c r="H79" s="408">
        <f t="shared" si="49"/>
        <v>1621352.7040781674</v>
      </c>
      <c r="I79" s="455">
        <f t="shared" si="50"/>
        <v>18645556.096898925</v>
      </c>
      <c r="J79" s="455">
        <f t="shared" si="45"/>
        <v>559366.6829069677</v>
      </c>
      <c r="K79" s="408">
        <f t="shared" si="52"/>
        <v>87297217.143913731</v>
      </c>
      <c r="L79" s="408">
        <f t="shared" si="51"/>
        <v>151059.69580100907</v>
      </c>
      <c r="M79" s="408">
        <f t="shared" si="53"/>
        <v>-6087499.9538214365</v>
      </c>
      <c r="N79" s="408">
        <f t="shared" si="46"/>
        <v>93384717.097735167</v>
      </c>
      <c r="O79" s="488">
        <v>1216357.9786233376</v>
      </c>
      <c r="P79" s="408">
        <f t="shared" si="47"/>
        <v>1236549.521068485</v>
      </c>
      <c r="Q79" s="460"/>
      <c r="R79" s="457"/>
      <c r="S79" s="460"/>
      <c r="T79" s="460"/>
      <c r="U79" s="457"/>
      <c r="V79" s="309"/>
      <c r="W79" s="460"/>
      <c r="X79" s="457"/>
      <c r="Y79" s="309"/>
    </row>
    <row r="80" spans="1:25">
      <c r="A80" s="451">
        <f t="shared" si="34"/>
        <v>54</v>
      </c>
      <c r="C80" s="436" t="str">
        <f t="shared" si="44"/>
        <v>May</v>
      </c>
      <c r="D80" s="665">
        <v>2019</v>
      </c>
      <c r="E80" s="462">
        <v>32523584.294786125</v>
      </c>
      <c r="F80" s="462">
        <v>13728301.875272533</v>
      </c>
      <c r="G80" s="455">
        <f t="shared" si="48"/>
        <v>1409646.1814635193</v>
      </c>
      <c r="H80" s="408">
        <f t="shared" si="49"/>
        <v>1616394.2880781689</v>
      </c>
      <c r="I80" s="455">
        <f t="shared" si="50"/>
        <v>18588534.312898941</v>
      </c>
      <c r="J80" s="455">
        <f t="shared" si="45"/>
        <v>557656.02938696824</v>
      </c>
      <c r="K80" s="408">
        <f t="shared" si="52"/>
        <v>120171709.36147217</v>
      </c>
      <c r="L80" s="408">
        <f t="shared" si="51"/>
        <v>199154.86217520991</v>
      </c>
      <c r="M80" s="408">
        <f t="shared" si="53"/>
        <v>-7504739.3797243945</v>
      </c>
      <c r="N80" s="408">
        <f t="shared" si="46"/>
        <v>127676448.74119657</v>
      </c>
      <c r="O80" s="488">
        <v>1520447.4732791721</v>
      </c>
      <c r="P80" s="408">
        <f t="shared" si="47"/>
        <v>1545686.9013356064</v>
      </c>
      <c r="Q80" s="460"/>
      <c r="R80" s="457"/>
      <c r="S80" s="460"/>
      <c r="T80" s="460"/>
      <c r="U80" s="457"/>
      <c r="V80" s="309"/>
      <c r="W80" s="460"/>
      <c r="X80" s="457"/>
      <c r="Y80" s="309"/>
    </row>
    <row r="81" spans="1:25">
      <c r="A81" s="451">
        <f t="shared" si="34"/>
        <v>55</v>
      </c>
      <c r="C81" s="436" t="str">
        <f t="shared" si="44"/>
        <v xml:space="preserve">June </v>
      </c>
      <c r="D81" s="665">
        <v>2019</v>
      </c>
      <c r="E81" s="462">
        <v>30666619.097102866</v>
      </c>
      <c r="F81" s="462">
        <v>2918529.1861285018</v>
      </c>
      <c r="G81" s="455">
        <f t="shared" si="48"/>
        <v>2081106.7433230772</v>
      </c>
      <c r="H81" s="408">
        <f t="shared" si="49"/>
        <v>2386335.7323437952</v>
      </c>
      <c r="I81" s="455">
        <f t="shared" si="50"/>
        <v>27442860.921953645</v>
      </c>
      <c r="J81" s="455">
        <f t="shared" si="45"/>
        <v>823285.82765860925</v>
      </c>
      <c r="K81" s="408">
        <f t="shared" si="52"/>
        <v>151356385.29721293</v>
      </c>
      <c r="L81" s="408">
        <f t="shared" si="51"/>
        <v>274152.84241866512</v>
      </c>
      <c r="M81" s="408">
        <f t="shared" si="53"/>
        <v>-9616922.2696495242</v>
      </c>
      <c r="N81" s="408">
        <f t="shared" si="46"/>
        <v>160973307.56686246</v>
      </c>
      <c r="O81" s="488">
        <v>1824536.9679350066</v>
      </c>
      <c r="P81" s="408">
        <f t="shared" si="47"/>
        <v>1854824.2816027277</v>
      </c>
      <c r="Q81" s="460"/>
      <c r="R81" s="457"/>
      <c r="S81" s="460"/>
      <c r="T81" s="460"/>
      <c r="U81" s="457"/>
      <c r="V81" s="309"/>
      <c r="W81" s="460"/>
      <c r="X81" s="457"/>
      <c r="Y81" s="309"/>
    </row>
    <row r="82" spans="1:25">
      <c r="A82" s="451">
        <f t="shared" si="34"/>
        <v>56</v>
      </c>
      <c r="C82" s="436" t="str">
        <f t="shared" si="44"/>
        <v>July</v>
      </c>
      <c r="D82" s="665">
        <v>2019</v>
      </c>
      <c r="E82" s="462">
        <v>35741902.476282775</v>
      </c>
      <c r="F82" s="462">
        <v>12397414.336862359</v>
      </c>
      <c r="G82" s="455">
        <f t="shared" si="48"/>
        <v>1750836.6104565312</v>
      </c>
      <c r="H82" s="408">
        <f t="shared" si="49"/>
        <v>2007625.9799901557</v>
      </c>
      <c r="I82" s="455">
        <f t="shared" si="50"/>
        <v>23087698.769886792</v>
      </c>
      <c r="J82" s="455">
        <f t="shared" si="45"/>
        <v>692630.96309660375</v>
      </c>
      <c r="K82" s="408">
        <f t="shared" si="52"/>
        <v>187534129.36705866</v>
      </c>
      <c r="L82" s="408">
        <f t="shared" si="51"/>
        <v>345295.77275655424</v>
      </c>
      <c r="M82" s="408">
        <f t="shared" si="53"/>
        <v>-11279252.476883126</v>
      </c>
      <c r="N82" s="408">
        <f t="shared" si="46"/>
        <v>198813381.84394178</v>
      </c>
      <c r="O82" s="488">
        <v>2128626.4625908406</v>
      </c>
      <c r="P82" s="408">
        <f t="shared" si="47"/>
        <v>2163961.6618698486</v>
      </c>
      <c r="Q82" s="460"/>
      <c r="R82" s="457"/>
      <c r="S82" s="460"/>
      <c r="T82" s="460"/>
      <c r="U82" s="457"/>
      <c r="V82" s="309"/>
      <c r="W82" s="460"/>
      <c r="X82" s="457"/>
      <c r="Y82" s="309"/>
    </row>
    <row r="83" spans="1:25">
      <c r="A83" s="451">
        <f t="shared" si="34"/>
        <v>57</v>
      </c>
      <c r="C83" s="436" t="str">
        <f t="shared" si="44"/>
        <v>August</v>
      </c>
      <c r="D83" s="665">
        <v>2019</v>
      </c>
      <c r="E83" s="462">
        <v>30006659.783586085</v>
      </c>
      <c r="F83" s="462">
        <v>10120582.36407253</v>
      </c>
      <c r="G83" s="455">
        <f t="shared" si="48"/>
        <v>1491455.8064635166</v>
      </c>
      <c r="H83" s="408">
        <f t="shared" si="49"/>
        <v>1710202.6580781657</v>
      </c>
      <c r="I83" s="455">
        <f t="shared" si="50"/>
        <v>19667330.567898907</v>
      </c>
      <c r="J83" s="455">
        <f t="shared" si="45"/>
        <v>590019.91703696724</v>
      </c>
      <c r="K83" s="408">
        <f t="shared" si="52"/>
        <v>217912062.21606708</v>
      </c>
      <c r="L83" s="408">
        <f t="shared" si="51"/>
        <v>427829.60223891214</v>
      </c>
      <c r="M83" s="408">
        <f t="shared" si="53"/>
        <v>-12561625.53272238</v>
      </c>
      <c r="N83" s="408">
        <f t="shared" si="46"/>
        <v>230473687.74878946</v>
      </c>
      <c r="O83" s="488">
        <v>2432715.9572466752</v>
      </c>
      <c r="P83" s="408">
        <f t="shared" si="47"/>
        <v>2473099.04213697</v>
      </c>
      <c r="Q83" s="460"/>
      <c r="R83" s="457"/>
      <c r="S83" s="460"/>
      <c r="T83" s="460"/>
      <c r="U83" s="457"/>
      <c r="V83" s="309"/>
      <c r="W83" s="460"/>
      <c r="X83" s="457"/>
      <c r="Y83" s="309"/>
    </row>
    <row r="84" spans="1:25">
      <c r="A84" s="451">
        <f t="shared" si="34"/>
        <v>58</v>
      </c>
      <c r="C84" s="436" t="str">
        <f t="shared" si="44"/>
        <v>September</v>
      </c>
      <c r="D84" s="665">
        <v>2019</v>
      </c>
      <c r="E84" s="462">
        <v>21400437.707586139</v>
      </c>
      <c r="F84" s="462">
        <v>3889803.2880725344</v>
      </c>
      <c r="G84" s="455">
        <f t="shared" si="48"/>
        <v>1313297.5814635204</v>
      </c>
      <c r="H84" s="408">
        <f t="shared" si="49"/>
        <v>1505914.5600781699</v>
      </c>
      <c r="I84" s="455">
        <f t="shared" si="50"/>
        <v>17318017.440898955</v>
      </c>
      <c r="J84" s="455">
        <f t="shared" si="45"/>
        <v>519540.52322696865</v>
      </c>
      <c r="K84" s="408">
        <f t="shared" si="52"/>
        <v>239639423.46826553</v>
      </c>
      <c r="L84" s="408">
        <f t="shared" si="51"/>
        <v>497132.07518874825</v>
      </c>
      <c r="M84" s="408">
        <f t="shared" si="53"/>
        <v>-13570408.017611802</v>
      </c>
      <c r="N84" s="408">
        <f t="shared" si="46"/>
        <v>253209831.48587734</v>
      </c>
      <c r="O84" s="488">
        <v>2736805.4519025101</v>
      </c>
      <c r="P84" s="408">
        <f t="shared" si="47"/>
        <v>2782236.4224040918</v>
      </c>
      <c r="Q84" s="460"/>
      <c r="R84" s="457"/>
      <c r="S84" s="460"/>
      <c r="T84" s="460"/>
      <c r="U84" s="457"/>
      <c r="V84" s="309"/>
      <c r="W84" s="460"/>
      <c r="X84" s="457"/>
      <c r="Y84" s="309"/>
    </row>
    <row r="85" spans="1:25">
      <c r="A85" s="451">
        <f t="shared" si="34"/>
        <v>59</v>
      </c>
      <c r="C85" s="436" t="str">
        <f t="shared" si="44"/>
        <v xml:space="preserve">October </v>
      </c>
      <c r="D85" s="665">
        <v>2019</v>
      </c>
      <c r="E85" s="462">
        <v>27382610.465086102</v>
      </c>
      <c r="F85" s="462">
        <v>8635814.1955725327</v>
      </c>
      <c r="G85" s="455">
        <f t="shared" si="48"/>
        <v>1406009.7202135178</v>
      </c>
      <c r="H85" s="408">
        <f t="shared" si="49"/>
        <v>1612224.4791781669</v>
      </c>
      <c r="I85" s="455">
        <f t="shared" si="50"/>
        <v>18540581.510548919</v>
      </c>
      <c r="J85" s="455">
        <f t="shared" si="45"/>
        <v>556217.44531646755</v>
      </c>
      <c r="K85" s="408">
        <f t="shared" si="52"/>
        <v>267372036.61970344</v>
      </c>
      <c r="L85" s="408">
        <f t="shared" si="51"/>
        <v>546699.63045776822</v>
      </c>
      <c r="M85" s="408">
        <f t="shared" si="53"/>
        <v>-14635932.866332199</v>
      </c>
      <c r="N85" s="408">
        <f t="shared" si="46"/>
        <v>282007969.48603565</v>
      </c>
      <c r="O85" s="488">
        <v>3040894.9465583446</v>
      </c>
      <c r="P85" s="408">
        <f t="shared" si="47"/>
        <v>3091373.8026712132</v>
      </c>
      <c r="Q85" s="460"/>
      <c r="R85" s="457"/>
      <c r="S85" s="460"/>
      <c r="T85" s="460"/>
      <c r="U85" s="457"/>
      <c r="V85" s="309"/>
      <c r="W85" s="460"/>
      <c r="X85" s="457"/>
      <c r="Y85" s="309"/>
    </row>
    <row r="86" spans="1:25">
      <c r="A86" s="451">
        <f t="shared" si="34"/>
        <v>60</v>
      </c>
      <c r="C86" s="436" t="str">
        <f t="shared" si="44"/>
        <v>November</v>
      </c>
      <c r="D86" s="665">
        <v>2019</v>
      </c>
      <c r="E86" s="462">
        <v>39542018.286686093</v>
      </c>
      <c r="F86" s="462">
        <v>18831618.997172497</v>
      </c>
      <c r="G86" s="455">
        <f t="shared" si="48"/>
        <v>1553279.9467135195</v>
      </c>
      <c r="H86" s="408">
        <f t="shared" si="49"/>
        <v>1781094.3388981691</v>
      </c>
      <c r="I86" s="455">
        <f t="shared" si="50"/>
        <v>20482584.897328943</v>
      </c>
      <c r="J86" s="455">
        <f t="shared" si="45"/>
        <v>614477.54691986821</v>
      </c>
      <c r="K86" s="408">
        <f t="shared" si="52"/>
        <v>307300718.06112474</v>
      </c>
      <c r="L86" s="408">
        <f t="shared" si="51"/>
        <v>609967.22283505963</v>
      </c>
      <c r="M86" s="408">
        <f t="shared" si="53"/>
        <v>-15807059.982395308</v>
      </c>
      <c r="N86" s="408">
        <f t="shared" si="46"/>
        <v>323107778.04352003</v>
      </c>
      <c r="O86" s="488">
        <v>3344984.4412141792</v>
      </c>
      <c r="P86" s="408">
        <f t="shared" si="47"/>
        <v>3400511.1829383345</v>
      </c>
      <c r="Q86" s="460"/>
      <c r="R86" s="457"/>
      <c r="S86" s="460"/>
      <c r="T86" s="460"/>
      <c r="U86" s="457"/>
      <c r="V86" s="309"/>
      <c r="W86" s="460"/>
      <c r="X86" s="457"/>
      <c r="Y86" s="309"/>
    </row>
    <row r="87" spans="1:25">
      <c r="A87" s="451">
        <f t="shared" si="34"/>
        <v>61</v>
      </c>
      <c r="C87" s="436" t="str">
        <f t="shared" si="44"/>
        <v>December</v>
      </c>
      <c r="D87" s="665">
        <v>2019</v>
      </c>
      <c r="E87" s="462">
        <v>66660502.964522421</v>
      </c>
      <c r="F87" s="462">
        <v>31777618.522165172</v>
      </c>
      <c r="G87" s="455">
        <f t="shared" si="48"/>
        <v>2616216.3331767935</v>
      </c>
      <c r="H87" s="408">
        <f t="shared" si="49"/>
        <v>2999928.0620427234</v>
      </c>
      <c r="I87" s="455">
        <f t="shared" si="50"/>
        <v>34499172.713491321</v>
      </c>
      <c r="J87" s="455">
        <f t="shared" si="45"/>
        <v>1034975.1814047396</v>
      </c>
      <c r="K87" s="408">
        <f t="shared" si="52"/>
        <v>374612484.47818601</v>
      </c>
      <c r="L87" s="408">
        <f t="shared" si="51"/>
        <v>701058.22561232885</v>
      </c>
      <c r="M87" s="408">
        <f t="shared" si="53"/>
        <v>-18105929.818825703</v>
      </c>
      <c r="N87" s="408">
        <f t="shared" si="46"/>
        <v>392718414.29701173</v>
      </c>
      <c r="O87" s="488">
        <v>3649073.9358700137</v>
      </c>
      <c r="P87" s="408">
        <f t="shared" si="47"/>
        <v>3709648.5632054559</v>
      </c>
      <c r="Q87" s="460"/>
      <c r="R87" s="457"/>
      <c r="S87" s="460"/>
      <c r="T87" s="460"/>
      <c r="U87" s="457"/>
      <c r="V87" s="309"/>
      <c r="W87" s="460"/>
      <c r="X87" s="457"/>
      <c r="Y87" s="309"/>
    </row>
    <row r="88" spans="1:25">
      <c r="A88" s="451">
        <f t="shared" si="34"/>
        <v>62</v>
      </c>
      <c r="C88" s="436" t="str">
        <f t="shared" si="44"/>
        <v>January</v>
      </c>
      <c r="D88" s="665">
        <v>2020</v>
      </c>
      <c r="E88" s="462">
        <v>54610956.456506491</v>
      </c>
      <c r="F88" s="462">
        <v>5430332.7999999924</v>
      </c>
      <c r="G88" s="455">
        <f t="shared" si="48"/>
        <v>3688546.7742379876</v>
      </c>
      <c r="H88" s="408">
        <f t="shared" si="49"/>
        <v>4229533.6344595598</v>
      </c>
      <c r="I88" s="455">
        <f t="shared" si="50"/>
        <v>48639636.796284929</v>
      </c>
      <c r="J88" s="455">
        <f t="shared" si="45"/>
        <v>1459189.1038885477</v>
      </c>
      <c r="K88" s="408">
        <f t="shared" si="52"/>
        <v>430141643.17835951</v>
      </c>
      <c r="L88" s="408">
        <f t="shared" si="51"/>
        <v>854619.42724216077</v>
      </c>
      <c r="M88" s="408">
        <f t="shared" si="53"/>
        <v>-21480844.026043102</v>
      </c>
      <c r="N88" s="408">
        <f t="shared" si="46"/>
        <v>451622487.20440263</v>
      </c>
      <c r="O88" s="488">
        <v>3879922.4810399096</v>
      </c>
      <c r="P88" s="408">
        <f t="shared" si="47"/>
        <v>3944329.1942251725</v>
      </c>
      <c r="Q88" s="460"/>
      <c r="R88" s="457"/>
      <c r="S88" s="460"/>
      <c r="T88" s="460"/>
      <c r="U88" s="457"/>
      <c r="V88" s="309"/>
      <c r="W88" s="460"/>
      <c r="X88" s="457"/>
      <c r="Y88" s="309"/>
    </row>
    <row r="89" spans="1:25">
      <c r="A89" s="451">
        <f t="shared" si="34"/>
        <v>63</v>
      </c>
      <c r="C89" s="436" t="str">
        <f t="shared" si="44"/>
        <v>February</v>
      </c>
      <c r="D89" s="665">
        <v>2020</v>
      </c>
      <c r="E89" s="462">
        <v>15671747.656506598</v>
      </c>
      <c r="F89" s="462">
        <v>0</v>
      </c>
      <c r="G89" s="455">
        <f t="shared" si="48"/>
        <v>1175381.0742379948</v>
      </c>
      <c r="H89" s="408">
        <f t="shared" si="49"/>
        <v>1347770.2984595674</v>
      </c>
      <c r="I89" s="455">
        <f t="shared" si="50"/>
        <v>15499358.432285026</v>
      </c>
      <c r="J89" s="455">
        <f t="shared" si="45"/>
        <v>464980.75296855078</v>
      </c>
      <c r="K89" s="408">
        <f t="shared" si="52"/>
        <v>446105982.36361307</v>
      </c>
      <c r="L89" s="408">
        <f t="shared" si="51"/>
        <v>981300.46369956899</v>
      </c>
      <c r="M89" s="408">
        <f t="shared" si="53"/>
        <v>-21847313.860803101</v>
      </c>
      <c r="N89" s="408">
        <f t="shared" si="46"/>
        <v>467953296.2244162</v>
      </c>
      <c r="O89" s="488">
        <v>4110771.0262098052</v>
      </c>
      <c r="P89" s="408">
        <f t="shared" si="47"/>
        <v>4179009.8252448877</v>
      </c>
      <c r="Q89" s="460"/>
      <c r="R89" s="457"/>
      <c r="S89" s="460"/>
      <c r="T89" s="460"/>
      <c r="U89" s="457"/>
      <c r="V89" s="309"/>
      <c r="W89" s="460"/>
      <c r="X89" s="457"/>
      <c r="Y89" s="309"/>
    </row>
    <row r="90" spans="1:25">
      <c r="A90" s="451">
        <f t="shared" si="34"/>
        <v>64</v>
      </c>
      <c r="C90" s="436" t="str">
        <f t="shared" si="44"/>
        <v>March</v>
      </c>
      <c r="D90" s="665">
        <v>2020</v>
      </c>
      <c r="E90" s="462">
        <v>15671747.656506538</v>
      </c>
      <c r="F90" s="462">
        <v>0</v>
      </c>
      <c r="G90" s="455">
        <f t="shared" si="48"/>
        <v>1175381.0742379904</v>
      </c>
      <c r="H90" s="408">
        <f t="shared" si="49"/>
        <v>1347770.2984595625</v>
      </c>
      <c r="I90" s="455">
        <f t="shared" si="50"/>
        <v>15499358.432284966</v>
      </c>
      <c r="J90" s="455">
        <f t="shared" si="45"/>
        <v>464980.75296854897</v>
      </c>
      <c r="K90" s="408">
        <f t="shared" si="52"/>
        <v>462070321.54886657</v>
      </c>
      <c r="L90" s="408">
        <f t="shared" si="51"/>
        <v>1017720.5911008368</v>
      </c>
      <c r="M90" s="408">
        <f t="shared" si="53"/>
        <v>-22177363.568161827</v>
      </c>
      <c r="N90" s="408">
        <f t="shared" si="46"/>
        <v>484247685.11702842</v>
      </c>
      <c r="O90" s="488">
        <v>4341619.5713797016</v>
      </c>
      <c r="P90" s="408">
        <f t="shared" si="47"/>
        <v>4413690.4562646048</v>
      </c>
      <c r="Q90" s="460"/>
      <c r="R90" s="457"/>
      <c r="S90" s="460"/>
      <c r="T90" s="460"/>
      <c r="U90" s="457"/>
      <c r="V90" s="309"/>
      <c r="W90" s="460"/>
      <c r="X90" s="457"/>
      <c r="Y90" s="309"/>
    </row>
    <row r="91" spans="1:25">
      <c r="A91" s="451">
        <f t="shared" si="34"/>
        <v>65</v>
      </c>
      <c r="C91" s="436" t="str">
        <f t="shared" si="44"/>
        <v>April</v>
      </c>
      <c r="D91" s="665">
        <v>2020</v>
      </c>
      <c r="E91" s="462">
        <v>25099027.00162077</v>
      </c>
      <c r="F91" s="462">
        <v>49379.197519554538</v>
      </c>
      <c r="G91" s="455">
        <f t="shared" si="48"/>
        <v>1878723.5853075909</v>
      </c>
      <c r="H91" s="408">
        <f t="shared" si="49"/>
        <v>2154269.7111527044</v>
      </c>
      <c r="I91" s="455">
        <f t="shared" si="50"/>
        <v>24774101.678256102</v>
      </c>
      <c r="J91" s="455">
        <f t="shared" si="45"/>
        <v>743223.05034768302</v>
      </c>
      <c r="K91" s="408">
        <f t="shared" si="52"/>
        <v>487637025.47498989</v>
      </c>
      <c r="L91" s="408">
        <f t="shared" si="51"/>
        <v>1054140.7185021045</v>
      </c>
      <c r="M91" s="408">
        <f t="shared" si="53"/>
        <v>-23277492.560812429</v>
      </c>
      <c r="N91" s="408">
        <f t="shared" si="46"/>
        <v>510914518.0358023</v>
      </c>
      <c r="O91" s="488">
        <v>4572468.1165495981</v>
      </c>
      <c r="P91" s="408">
        <f t="shared" si="47"/>
        <v>4648371.087284321</v>
      </c>
      <c r="Q91" s="460"/>
      <c r="R91" s="457"/>
      <c r="S91" s="460"/>
      <c r="T91" s="460"/>
      <c r="U91" s="457"/>
      <c r="V91" s="309"/>
      <c r="W91" s="460"/>
      <c r="X91" s="457"/>
      <c r="Y91" s="309"/>
    </row>
    <row r="92" spans="1:25">
      <c r="A92" s="451">
        <f t="shared" si="34"/>
        <v>66</v>
      </c>
      <c r="C92" s="436" t="str">
        <f t="shared" si="44"/>
        <v>May</v>
      </c>
      <c r="D92" s="665">
        <v>2020</v>
      </c>
      <c r="E92" s="462">
        <v>39310880.371306539</v>
      </c>
      <c r="F92" s="462">
        <v>2622462.6947999983</v>
      </c>
      <c r="G92" s="455">
        <f t="shared" si="48"/>
        <v>2751631.3257379904</v>
      </c>
      <c r="H92" s="408">
        <f t="shared" si="49"/>
        <v>3155203.9201795626</v>
      </c>
      <c r="I92" s="455">
        <f t="shared" si="50"/>
        <v>36284845.082064971</v>
      </c>
      <c r="J92" s="455">
        <f t="shared" si="45"/>
        <v>1088545.352461949</v>
      </c>
      <c r="K92" s="408">
        <f t="shared" si="52"/>
        <v>527632878.60431683</v>
      </c>
      <c r="L92" s="408">
        <f t="shared" si="51"/>
        <v>1112467.1298502178</v>
      </c>
      <c r="M92" s="408">
        <f t="shared" si="53"/>
        <v>-25320229.351141773</v>
      </c>
      <c r="N92" s="408">
        <f t="shared" si="46"/>
        <v>552953107.95545864</v>
      </c>
      <c r="O92" s="488">
        <v>4803316.6617194936</v>
      </c>
      <c r="P92" s="408">
        <f t="shared" si="47"/>
        <v>4883051.7183040371</v>
      </c>
      <c r="Q92" s="460"/>
      <c r="R92" s="457"/>
      <c r="S92" s="460"/>
      <c r="T92" s="460"/>
      <c r="U92" s="457"/>
      <c r="V92" s="309"/>
      <c r="W92" s="460"/>
      <c r="X92" s="457"/>
      <c r="Y92" s="309"/>
    </row>
    <row r="93" spans="1:25">
      <c r="A93" s="451">
        <f t="shared" si="34"/>
        <v>67</v>
      </c>
      <c r="C93" s="436" t="str">
        <f t="shared" si="44"/>
        <v xml:space="preserve">June </v>
      </c>
      <c r="D93" s="665">
        <v>2020</v>
      </c>
      <c r="E93" s="462">
        <v>25576993.227934599</v>
      </c>
      <c r="F93" s="462">
        <v>200066.9668008626</v>
      </c>
      <c r="G93" s="455">
        <f t="shared" si="48"/>
        <v>1903269.4695850303</v>
      </c>
      <c r="H93" s="408">
        <f t="shared" si="49"/>
        <v>2182415.6584575018</v>
      </c>
      <c r="I93" s="455">
        <f t="shared" si="50"/>
        <v>25097780.072261266</v>
      </c>
      <c r="J93" s="455">
        <f t="shared" si="45"/>
        <v>752933.40216783795</v>
      </c>
      <c r="K93" s="408">
        <f t="shared" si="52"/>
        <v>553683659.04554677</v>
      </c>
      <c r="L93" s="408">
        <f t="shared" si="51"/>
        <v>1203711.3742620384</v>
      </c>
      <c r="M93" s="408">
        <f t="shared" si="53"/>
        <v>-26298933.635337237</v>
      </c>
      <c r="N93" s="408">
        <f t="shared" si="46"/>
        <v>579982592.680884</v>
      </c>
      <c r="O93" s="488">
        <v>5126728.20688939</v>
      </c>
      <c r="P93" s="408">
        <f t="shared" si="47"/>
        <v>5211831.8951237537</v>
      </c>
      <c r="Q93" s="460"/>
      <c r="R93" s="457"/>
      <c r="S93" s="460"/>
      <c r="T93" s="460"/>
      <c r="U93" s="457"/>
      <c r="V93" s="309"/>
      <c r="W93" s="460"/>
      <c r="X93" s="457"/>
      <c r="Y93" s="309"/>
    </row>
    <row r="94" spans="1:25">
      <c r="A94" s="451">
        <f t="shared" si="34"/>
        <v>68</v>
      </c>
      <c r="C94" s="436" t="str">
        <f t="shared" si="44"/>
        <v>July</v>
      </c>
      <c r="D94" s="665">
        <v>2020</v>
      </c>
      <c r="E94" s="462">
        <v>15671747.656506658</v>
      </c>
      <c r="F94" s="462">
        <v>0</v>
      </c>
      <c r="G94" s="455">
        <f t="shared" si="48"/>
        <v>1175381.0742379993</v>
      </c>
      <c r="H94" s="408">
        <f t="shared" si="49"/>
        <v>1347770.2984595725</v>
      </c>
      <c r="I94" s="455">
        <f t="shared" si="50"/>
        <v>15499358.432285083</v>
      </c>
      <c r="J94" s="455">
        <f t="shared" si="45"/>
        <v>464980.75296855246</v>
      </c>
      <c r="K94" s="408">
        <f t="shared" si="52"/>
        <v>569647998.23080039</v>
      </c>
      <c r="L94" s="408">
        <f t="shared" si="51"/>
        <v>1263142.1299959456</v>
      </c>
      <c r="M94" s="408">
        <f t="shared" si="53"/>
        <v>-26383561.803800862</v>
      </c>
      <c r="N94" s="408">
        <f t="shared" si="46"/>
        <v>596031560.03460121</v>
      </c>
      <c r="O94" s="488">
        <v>5357576.7520592865</v>
      </c>
      <c r="P94" s="408">
        <f t="shared" si="47"/>
        <v>5446512.5261434717</v>
      </c>
      <c r="Q94" s="460"/>
      <c r="R94" s="457"/>
      <c r="S94" s="460"/>
      <c r="T94" s="460"/>
      <c r="U94" s="457"/>
      <c r="V94" s="309"/>
      <c r="W94" s="460"/>
      <c r="X94" s="457"/>
      <c r="Y94" s="309"/>
    </row>
    <row r="95" spans="1:25">
      <c r="A95" s="451">
        <f t="shared" si="34"/>
        <v>69</v>
      </c>
      <c r="C95" s="436" t="str">
        <f t="shared" si="44"/>
        <v>August</v>
      </c>
      <c r="D95" s="665">
        <v>2020</v>
      </c>
      <c r="E95" s="462">
        <v>24810168.820306659</v>
      </c>
      <c r="F95" s="462">
        <v>1489046.7238</v>
      </c>
      <c r="G95" s="455">
        <f t="shared" si="48"/>
        <v>1749084.1572379994</v>
      </c>
      <c r="H95" s="408">
        <f t="shared" si="49"/>
        <v>2005616.5002995727</v>
      </c>
      <c r="I95" s="455">
        <f t="shared" si="50"/>
        <v>23064589.753445085</v>
      </c>
      <c r="J95" s="455">
        <f t="shared" si="45"/>
        <v>691937.69260335248</v>
      </c>
      <c r="K95" s="408">
        <f t="shared" si="52"/>
        <v>594893572.40064871</v>
      </c>
      <c r="L95" s="408">
        <f t="shared" si="51"/>
        <v>1299562.2573972137</v>
      </c>
      <c r="M95" s="408">
        <f t="shared" si="53"/>
        <v>-27089616.046703223</v>
      </c>
      <c r="N95" s="408">
        <f t="shared" si="46"/>
        <v>621983188.44735193</v>
      </c>
      <c r="O95" s="488">
        <v>12043633.931029184</v>
      </c>
      <c r="P95" s="408">
        <f t="shared" si="47"/>
        <v>12243558.25428427</v>
      </c>
      <c r="Q95" s="460"/>
      <c r="R95" s="457"/>
      <c r="S95" s="460"/>
      <c r="T95" s="460"/>
      <c r="U95" s="457"/>
      <c r="V95" s="309"/>
      <c r="W95" s="460"/>
      <c r="X95" s="457"/>
      <c r="Y95" s="309"/>
    </row>
    <row r="96" spans="1:25">
      <c r="A96" s="451">
        <f t="shared" si="34"/>
        <v>70</v>
      </c>
      <c r="C96" s="436" t="str">
        <f t="shared" si="44"/>
        <v>September</v>
      </c>
      <c r="D96" s="665">
        <v>2020</v>
      </c>
      <c r="E96" s="462">
        <v>15671747.656506538</v>
      </c>
      <c r="F96" s="462">
        <v>0</v>
      </c>
      <c r="G96" s="455">
        <f t="shared" si="48"/>
        <v>1175381.0742379904</v>
      </c>
      <c r="H96" s="408">
        <f t="shared" si="49"/>
        <v>1347770.2984595625</v>
      </c>
      <c r="I96" s="455">
        <f t="shared" si="50"/>
        <v>15499358.432284966</v>
      </c>
      <c r="J96" s="455">
        <f t="shared" si="45"/>
        <v>464980.75296854897</v>
      </c>
      <c r="K96" s="408">
        <f t="shared" si="52"/>
        <v>610857911.58590221</v>
      </c>
      <c r="L96" s="408">
        <f t="shared" si="51"/>
        <v>1357156.0617454282</v>
      </c>
      <c r="M96" s="408">
        <f t="shared" si="53"/>
        <v>-27080230.283417359</v>
      </c>
      <c r="N96" s="408">
        <f t="shared" si="46"/>
        <v>637938141.86931956</v>
      </c>
      <c r="O96" s="488">
        <v>12274482.476199081</v>
      </c>
      <c r="P96" s="408">
        <f t="shared" si="47"/>
        <v>12478238.885303987</v>
      </c>
      <c r="Q96" s="460"/>
      <c r="R96" s="457"/>
      <c r="S96" s="460"/>
      <c r="T96" s="460"/>
      <c r="U96" s="457"/>
      <c r="V96" s="309"/>
      <c r="W96" s="460"/>
      <c r="X96" s="457"/>
      <c r="Y96" s="309"/>
    </row>
    <row r="97" spans="1:25">
      <c r="A97" s="452">
        <f t="shared" si="34"/>
        <v>71</v>
      </c>
      <c r="C97" s="436" t="str">
        <f t="shared" ref="C97:C99" si="54">C66</f>
        <v>October</v>
      </c>
      <c r="D97" s="665">
        <v>2020</v>
      </c>
      <c r="E97" s="462">
        <v>16819480.341906548</v>
      </c>
      <c r="F97" s="462">
        <v>39909.065399999985</v>
      </c>
      <c r="G97" s="455">
        <f t="shared" ref="G97:G99" si="55">(E97-F97)*$E$103</f>
        <v>1258467.8457379909</v>
      </c>
      <c r="H97" s="408">
        <f t="shared" ref="H97:H99" si="56">(E97-F97+G97)*$E$107</f>
        <v>1443043.1297795631</v>
      </c>
      <c r="I97" s="455">
        <f t="shared" ref="I97:I99" si="57">E97-F97+G97-H97</f>
        <v>16594995.992464975</v>
      </c>
      <c r="J97" s="455">
        <f t="shared" ref="J97:J99" si="58">I97*$E$111</f>
        <v>497849.87977394921</v>
      </c>
      <c r="K97" s="408">
        <f t="shared" ref="K97:K99" si="59">K96+J97+I97+F97</f>
        <v>627990666.52354121</v>
      </c>
      <c r="L97" s="408">
        <f t="shared" ref="L97:L99" si="60">K96*$E$133/12</f>
        <v>1393576.1891466959</v>
      </c>
      <c r="M97" s="408">
        <f t="shared" si="53"/>
        <v>-27129697.224050224</v>
      </c>
      <c r="N97" s="408">
        <f t="shared" ref="N97:N99" si="61">K97-M97</f>
        <v>655120363.7475915</v>
      </c>
      <c r="O97" s="488">
        <v>13653063.706768977</v>
      </c>
      <c r="P97" s="408">
        <f t="shared" ref="P97:P99" si="62">O97*(1-$E$107)*(1+$E$103+$E$111)</f>
        <v>13879704.564301342</v>
      </c>
      <c r="Q97" s="460"/>
      <c r="R97" s="457"/>
      <c r="S97" s="460"/>
      <c r="T97" s="460"/>
      <c r="U97" s="457"/>
      <c r="V97" s="309"/>
      <c r="W97" s="460"/>
      <c r="X97" s="457"/>
      <c r="Y97" s="309"/>
    </row>
    <row r="98" spans="1:25">
      <c r="A98" s="452">
        <f t="shared" si="34"/>
        <v>72</v>
      </c>
      <c r="C98" s="436" t="str">
        <f t="shared" si="54"/>
        <v>November</v>
      </c>
      <c r="D98" s="665">
        <v>2020</v>
      </c>
      <c r="E98" s="462">
        <v>16411134.498506546</v>
      </c>
      <c r="F98" s="462">
        <v>1347.2019999999998</v>
      </c>
      <c r="G98" s="455">
        <f t="shared" si="55"/>
        <v>1230734.0472379909</v>
      </c>
      <c r="H98" s="408">
        <f t="shared" si="56"/>
        <v>1411241.7074995632</v>
      </c>
      <c r="I98" s="455">
        <f t="shared" si="57"/>
        <v>16229279.636244975</v>
      </c>
      <c r="J98" s="455">
        <f t="shared" si="58"/>
        <v>486878.38908734923</v>
      </c>
      <c r="K98" s="408">
        <f t="shared" si="59"/>
        <v>644708171.75087357</v>
      </c>
      <c r="L98" s="408">
        <f t="shared" si="60"/>
        <v>1432661.8732030636</v>
      </c>
      <c r="M98" s="408">
        <f t="shared" si="53"/>
        <v>-27108277.058346722</v>
      </c>
      <c r="N98" s="408">
        <f t="shared" si="61"/>
        <v>671816448.80922031</v>
      </c>
      <c r="O98" s="488">
        <v>13883912.251938872</v>
      </c>
      <c r="P98" s="408">
        <f t="shared" si="62"/>
        <v>14114385.195321059</v>
      </c>
      <c r="Q98" s="460"/>
      <c r="R98" s="457"/>
      <c r="S98" s="460"/>
      <c r="T98" s="460"/>
      <c r="U98" s="457"/>
      <c r="V98" s="309"/>
      <c r="W98" s="460"/>
      <c r="X98" s="457"/>
      <c r="Y98" s="309"/>
    </row>
    <row r="99" spans="1:25">
      <c r="A99" s="452">
        <f t="shared" si="34"/>
        <v>73</v>
      </c>
      <c r="C99" s="436" t="str">
        <f t="shared" si="54"/>
        <v>December</v>
      </c>
      <c r="D99" s="665">
        <v>2020</v>
      </c>
      <c r="E99" s="462">
        <v>180054737.42630649</v>
      </c>
      <c r="F99" s="462">
        <v>95073798.519800007</v>
      </c>
      <c r="G99" s="455">
        <f t="shared" si="55"/>
        <v>6373570.4179879855</v>
      </c>
      <c r="H99" s="408">
        <f t="shared" si="56"/>
        <v>7308360.7459595576</v>
      </c>
      <c r="I99" s="455">
        <f t="shared" si="57"/>
        <v>84046148.578534901</v>
      </c>
      <c r="J99" s="455">
        <f t="shared" si="58"/>
        <v>2521384.4573560469</v>
      </c>
      <c r="K99" s="408">
        <f t="shared" si="59"/>
        <v>826349503.30656457</v>
      </c>
      <c r="L99" s="408">
        <f t="shared" si="60"/>
        <v>1470800.2303969029</v>
      </c>
      <c r="M99" s="408">
        <f>(M98+L99)-H99</f>
        <v>-32945837.573909376</v>
      </c>
      <c r="N99" s="408">
        <f t="shared" si="61"/>
        <v>859295340.88047397</v>
      </c>
      <c r="O99" s="488">
        <v>14114760.797108769</v>
      </c>
      <c r="P99" s="408">
        <f t="shared" si="62"/>
        <v>14349065.826340776</v>
      </c>
      <c r="Q99" s="460"/>
      <c r="R99" s="457"/>
      <c r="S99" s="460"/>
      <c r="T99" s="460"/>
      <c r="U99" s="457"/>
      <c r="V99" s="309"/>
      <c r="W99" s="460"/>
      <c r="X99" s="457"/>
      <c r="Y99" s="309"/>
    </row>
    <row r="100" spans="1:25">
      <c r="A100" s="451"/>
      <c r="O100" s="457"/>
    </row>
    <row r="101" spans="1:25">
      <c r="A101" s="451"/>
      <c r="B101" s="410" t="s">
        <v>1430</v>
      </c>
      <c r="G101" s="411"/>
    </row>
    <row r="102" spans="1:25">
      <c r="A102" s="453" t="s">
        <v>243</v>
      </c>
      <c r="B102" s="411"/>
      <c r="F102" s="491"/>
    </row>
    <row r="103" spans="1:25">
      <c r="A103" s="451">
        <f>A99+1</f>
        <v>74</v>
      </c>
      <c r="C103" s="463" t="s">
        <v>1431</v>
      </c>
      <c r="E103" s="464">
        <v>7.4999999999999997E-2</v>
      </c>
    </row>
    <row r="105" spans="1:25">
      <c r="A105" s="451"/>
      <c r="B105" s="410" t="s">
        <v>1432</v>
      </c>
    </row>
    <row r="106" spans="1:25">
      <c r="A106" s="453" t="s">
        <v>243</v>
      </c>
      <c r="F106" s="491"/>
    </row>
    <row r="107" spans="1:25">
      <c r="A107" s="451">
        <f>A103+1</f>
        <v>75</v>
      </c>
      <c r="B107" s="410"/>
      <c r="C107" s="407" t="s">
        <v>1433</v>
      </c>
      <c r="E107" s="464">
        <v>0.08</v>
      </c>
    </row>
    <row r="108" spans="1:25">
      <c r="A108" s="451"/>
      <c r="B108" s="411"/>
      <c r="C108" s="407"/>
    </row>
    <row r="109" spans="1:25">
      <c r="B109" s="410" t="s">
        <v>1434</v>
      </c>
    </row>
    <row r="110" spans="1:25">
      <c r="A110" s="453" t="s">
        <v>243</v>
      </c>
      <c r="B110" s="411"/>
      <c r="F110" s="491"/>
    </row>
    <row r="111" spans="1:25">
      <c r="A111" s="451">
        <f>A107+1</f>
        <v>76</v>
      </c>
      <c r="C111" s="407" t="s">
        <v>1435</v>
      </c>
      <c r="E111" s="464">
        <v>0.03</v>
      </c>
    </row>
    <row r="113" spans="1:9">
      <c r="B113" s="410" t="s">
        <v>1436</v>
      </c>
    </row>
    <row r="114" spans="1:9" s="448" customFormat="1">
      <c r="C114" s="710" t="s">
        <v>1437</v>
      </c>
      <c r="F114" s="465"/>
    </row>
    <row r="115" spans="1:9" s="451" customFormat="1">
      <c r="B115" s="448" t="s">
        <v>307</v>
      </c>
      <c r="C115" s="448" t="s">
        <v>308</v>
      </c>
      <c r="D115" s="448" t="s">
        <v>309</v>
      </c>
      <c r="E115" s="448" t="s">
        <v>310</v>
      </c>
      <c r="F115" s="448"/>
    </row>
    <row r="116" spans="1:9" s="448" customFormat="1">
      <c r="C116" s="451" t="s">
        <v>350</v>
      </c>
      <c r="D116" s="454"/>
      <c r="E116" s="1011" t="s">
        <v>1438</v>
      </c>
      <c r="F116" s="454"/>
    </row>
    <row r="117" spans="1:9">
      <c r="A117" s="451"/>
      <c r="B117" s="451"/>
      <c r="C117" s="451" t="str">
        <f>"Prior Year"</f>
        <v>Prior Year</v>
      </c>
      <c r="D117" s="452" t="s">
        <v>1417</v>
      </c>
      <c r="E117" s="452" t="s">
        <v>1439</v>
      </c>
      <c r="F117" s="452" t="s">
        <v>1440</v>
      </c>
    </row>
    <row r="118" spans="1:9">
      <c r="A118" s="448" t="s">
        <v>243</v>
      </c>
      <c r="B118" s="448" t="s">
        <v>1441</v>
      </c>
      <c r="C118" s="448" t="s">
        <v>1442</v>
      </c>
      <c r="D118" s="454" t="s">
        <v>347</v>
      </c>
      <c r="E118" s="454" t="s">
        <v>1417</v>
      </c>
      <c r="F118" s="74" t="s">
        <v>251</v>
      </c>
    </row>
    <row r="119" spans="1:9">
      <c r="A119" s="451">
        <f>A111+1</f>
        <v>77</v>
      </c>
      <c r="B119" s="451">
        <v>350.1</v>
      </c>
      <c r="C119" s="492">
        <f>'17-Depreciation'!C24</f>
        <v>87352690.443103433</v>
      </c>
      <c r="D119" s="699">
        <f>'18-DepRates'!G6</f>
        <v>0</v>
      </c>
      <c r="E119" s="700">
        <f>C119*D119</f>
        <v>0</v>
      </c>
      <c r="F119" s="1010" t="s">
        <v>1443</v>
      </c>
      <c r="G119" s="405"/>
      <c r="H119" s="492"/>
      <c r="I119" s="490"/>
    </row>
    <row r="120" spans="1:9">
      <c r="A120" s="451">
        <f>A119+1</f>
        <v>78</v>
      </c>
      <c r="B120" s="451">
        <v>350.2</v>
      </c>
      <c r="C120" s="492">
        <f>'17-Depreciation'!D24</f>
        <v>165261946.55689645</v>
      </c>
      <c r="D120" s="699">
        <f>'18-DepRates'!G7</f>
        <v>1.67E-2</v>
      </c>
      <c r="E120" s="700">
        <f>C120*D120</f>
        <v>2759874.5075001707</v>
      </c>
      <c r="F120" s="1010" t="s">
        <v>1444</v>
      </c>
      <c r="G120" s="405"/>
      <c r="H120" s="492"/>
      <c r="I120" s="490"/>
    </row>
    <row r="121" spans="1:9">
      <c r="A121" s="451">
        <f t="shared" ref="A121:A133" si="63">A120+1</f>
        <v>79</v>
      </c>
      <c r="B121" s="451">
        <v>352</v>
      </c>
      <c r="C121" s="492">
        <f>'17-Depreciation'!E24</f>
        <v>643675309.99396908</v>
      </c>
      <c r="D121" s="699">
        <f>'18-DepRates'!G8</f>
        <v>2.41E-2</v>
      </c>
      <c r="E121" s="700">
        <f t="shared" ref="E121:E128" si="64">C121*D121</f>
        <v>15512574.970854655</v>
      </c>
      <c r="F121" s="1010" t="s">
        <v>1445</v>
      </c>
      <c r="G121" s="405"/>
      <c r="H121" s="492"/>
      <c r="I121" s="490"/>
    </row>
    <row r="122" spans="1:9">
      <c r="A122" s="451">
        <f t="shared" si="63"/>
        <v>80</v>
      </c>
      <c r="B122" s="451">
        <v>353</v>
      </c>
      <c r="C122" s="492">
        <f>'17-Depreciation'!F24</f>
        <v>3459763553.0064859</v>
      </c>
      <c r="D122" s="699">
        <f>'18-DepRates'!G9</f>
        <v>2.8400000000000002E-2</v>
      </c>
      <c r="E122" s="700">
        <f t="shared" si="64"/>
        <v>98257284.905384213</v>
      </c>
      <c r="F122" s="1010" t="s">
        <v>1446</v>
      </c>
      <c r="G122" s="405"/>
      <c r="H122" s="492"/>
      <c r="I122" s="490"/>
    </row>
    <row r="123" spans="1:9">
      <c r="A123" s="451">
        <f t="shared" si="63"/>
        <v>81</v>
      </c>
      <c r="B123" s="451">
        <v>354</v>
      </c>
      <c r="C123" s="492">
        <f>'17-Depreciation'!G24</f>
        <v>2284709794.5614529</v>
      </c>
      <c r="D123" s="699">
        <f>'18-DepRates'!G10</f>
        <v>2.7300000000000001E-2</v>
      </c>
      <c r="E123" s="700">
        <f>C123*D123</f>
        <v>62372577.391527668</v>
      </c>
      <c r="F123" s="1010" t="s">
        <v>1447</v>
      </c>
      <c r="G123" s="405"/>
      <c r="H123" s="492"/>
      <c r="I123" s="490"/>
    </row>
    <row r="124" spans="1:9">
      <c r="A124" s="451">
        <f t="shared" si="63"/>
        <v>82</v>
      </c>
      <c r="B124" s="451">
        <v>355</v>
      </c>
      <c r="C124" s="492">
        <f>'17-Depreciation'!H24</f>
        <v>386542291.49892306</v>
      </c>
      <c r="D124" s="699">
        <f>'18-DepRates'!G11</f>
        <v>2.8400000000000002E-2</v>
      </c>
      <c r="E124" s="700">
        <f t="shared" si="64"/>
        <v>10977801.078569416</v>
      </c>
      <c r="F124" s="1010" t="s">
        <v>1448</v>
      </c>
      <c r="G124" s="405"/>
      <c r="H124" s="492"/>
      <c r="I124" s="490"/>
    </row>
    <row r="125" spans="1:9">
      <c r="A125" s="451">
        <f t="shared" si="63"/>
        <v>83</v>
      </c>
      <c r="B125" s="451">
        <v>356</v>
      </c>
      <c r="C125" s="492">
        <f>'17-Depreciation'!I24</f>
        <v>1311509387.2981901</v>
      </c>
      <c r="D125" s="699">
        <f>'18-DepRates'!G12</f>
        <v>3.2399999999999998E-2</v>
      </c>
      <c r="E125" s="700">
        <f t="shared" si="64"/>
        <v>42492904.148461357</v>
      </c>
      <c r="F125" s="1010" t="s">
        <v>1449</v>
      </c>
      <c r="G125" s="405"/>
      <c r="H125" s="492"/>
      <c r="I125" s="490"/>
    </row>
    <row r="126" spans="1:9">
      <c r="A126" s="451">
        <f t="shared" si="63"/>
        <v>84</v>
      </c>
      <c r="B126" s="451">
        <v>357</v>
      </c>
      <c r="C126" s="492">
        <f>'17-Depreciation'!J24</f>
        <v>190891202.22581026</v>
      </c>
      <c r="D126" s="699">
        <f>'18-DepRates'!G13</f>
        <v>1.7299999999999999E-2</v>
      </c>
      <c r="E126" s="700">
        <f t="shared" si="64"/>
        <v>3302417.7985065174</v>
      </c>
      <c r="F126" s="1010" t="s">
        <v>1450</v>
      </c>
      <c r="G126" s="405"/>
      <c r="H126" s="492"/>
      <c r="I126" s="490"/>
    </row>
    <row r="127" spans="1:9">
      <c r="A127" s="451">
        <f t="shared" si="63"/>
        <v>85</v>
      </c>
      <c r="B127" s="451">
        <v>358</v>
      </c>
      <c r="C127" s="492">
        <f>'17-Depreciation'!K24</f>
        <v>83989219.417170852</v>
      </c>
      <c r="D127" s="699">
        <f>'18-DepRates'!G14</f>
        <v>2.41E-2</v>
      </c>
      <c r="E127" s="700">
        <f t="shared" si="64"/>
        <v>2024140.1879538174</v>
      </c>
      <c r="F127" s="1010" t="s">
        <v>1451</v>
      </c>
      <c r="G127" s="405"/>
      <c r="H127" s="492"/>
      <c r="I127" s="490"/>
    </row>
    <row r="128" spans="1:9">
      <c r="A128" s="451">
        <f t="shared" si="63"/>
        <v>86</v>
      </c>
      <c r="B128" s="451">
        <v>359</v>
      </c>
      <c r="C128" s="492">
        <f>'17-Depreciation'!L24</f>
        <v>173783602.50683868</v>
      </c>
      <c r="D128" s="699">
        <f>'18-DepRates'!G15</f>
        <v>1.6500000000000001E-2</v>
      </c>
      <c r="E128" s="700">
        <f t="shared" si="64"/>
        <v>2867429.4413628383</v>
      </c>
      <c r="F128" s="1010" t="s">
        <v>1452</v>
      </c>
      <c r="G128" s="405"/>
      <c r="H128" s="492"/>
      <c r="I128" s="490"/>
    </row>
    <row r="129" spans="1:9">
      <c r="A129" s="451">
        <f t="shared" si="63"/>
        <v>87</v>
      </c>
      <c r="F129" s="405"/>
      <c r="G129" s="405"/>
    </row>
    <row r="130" spans="1:9">
      <c r="A130" s="451">
        <f t="shared" si="63"/>
        <v>88</v>
      </c>
      <c r="C130" s="466" t="s">
        <v>1453</v>
      </c>
      <c r="E130" s="493">
        <f>SUM(E119:E128)</f>
        <v>240567004.43012065</v>
      </c>
      <c r="F130" s="405" t="str">
        <f>"Sum of C"&amp;RIGHT(E115)&amp;" Lines "&amp;A119&amp;" to "&amp;A128</f>
        <v>Sum of C4 Lines 77 to 86</v>
      </c>
      <c r="G130" s="405"/>
    </row>
    <row r="131" spans="1:9">
      <c r="A131" s="451">
        <f t="shared" si="63"/>
        <v>89</v>
      </c>
      <c r="C131" s="445" t="str">
        <f>"Sum of Dec Prior Year Plant"</f>
        <v>Sum of Dec Prior Year Plant</v>
      </c>
      <c r="E131" s="494">
        <f>SUM(C119:C128)</f>
        <v>8787478997.5088406</v>
      </c>
      <c r="F131" s="405" t="str">
        <f>"Sum of C"&amp;RIGHT(C115)&amp;" Lines "&amp;A119&amp;" to "&amp;A128</f>
        <v>Sum of C2 Lines 77 to 86</v>
      </c>
      <c r="G131" s="405"/>
    </row>
    <row r="132" spans="1:9">
      <c r="A132" s="451">
        <f t="shared" si="63"/>
        <v>90</v>
      </c>
    </row>
    <row r="133" spans="1:9">
      <c r="A133" s="451">
        <f t="shared" si="63"/>
        <v>91</v>
      </c>
      <c r="C133" s="445" t="s">
        <v>1454</v>
      </c>
      <c r="E133" s="467">
        <f>E130/E131</f>
        <v>2.7376111453389407E-2</v>
      </c>
      <c r="F133" s="405" t="str">
        <f>"Line "&amp;A130&amp;" / Line "&amp;A131</f>
        <v>Line 88 / Line 89</v>
      </c>
    </row>
    <row r="134" spans="1:9">
      <c r="A134" s="451"/>
    </row>
    <row r="135" spans="1:9">
      <c r="A135" s="451"/>
      <c r="B135" s="444" t="s">
        <v>226</v>
      </c>
      <c r="C135" s="768"/>
      <c r="D135" s="768"/>
      <c r="E135" s="768"/>
      <c r="F135" s="768"/>
      <c r="G135" s="768"/>
      <c r="H135" s="768"/>
      <c r="I135" s="768"/>
    </row>
    <row r="136" spans="1:9">
      <c r="A136" s="451"/>
      <c r="B136" s="439" t="s">
        <v>1121</v>
      </c>
      <c r="C136" s="474"/>
      <c r="D136" s="474"/>
      <c r="E136" s="474"/>
      <c r="F136" s="474"/>
      <c r="G136" s="474"/>
      <c r="H136" s="474"/>
      <c r="I136" s="474"/>
    </row>
    <row r="137" spans="1:9">
      <c r="A137" s="451"/>
      <c r="B137" s="439" t="s">
        <v>1455</v>
      </c>
      <c r="C137" s="768"/>
      <c r="D137" s="768"/>
      <c r="E137" s="768"/>
      <c r="F137" s="768"/>
      <c r="G137" s="10"/>
      <c r="H137" s="10"/>
      <c r="I137" s="768"/>
    </row>
    <row r="138" spans="1:9">
      <c r="A138" s="451"/>
    </row>
    <row r="139" spans="1:9">
      <c r="A139" s="451"/>
    </row>
    <row r="140" spans="1:9">
      <c r="A140" s="451"/>
    </row>
    <row r="141" spans="1:9">
      <c r="A141" s="451"/>
    </row>
    <row r="142" spans="1:9">
      <c r="A142" s="451"/>
    </row>
    <row r="143" spans="1:9">
      <c r="A143" s="451"/>
    </row>
    <row r="144" spans="1:9">
      <c r="A144" s="451"/>
    </row>
    <row r="145" spans="1:1">
      <c r="A145" s="451"/>
    </row>
    <row r="146" spans="1:1">
      <c r="A146" s="451"/>
    </row>
    <row r="147" spans="1:1">
      <c r="A147" s="451"/>
    </row>
    <row r="148" spans="1:1">
      <c r="A148" s="451"/>
    </row>
    <row r="149" spans="1:1">
      <c r="A149" s="451"/>
    </row>
    <row r="150" spans="1:1">
      <c r="A150" s="451"/>
    </row>
    <row r="151" spans="1:1">
      <c r="A151" s="451"/>
    </row>
    <row r="152" spans="1:1">
      <c r="A152" s="451"/>
    </row>
    <row r="153" spans="1:1">
      <c r="A153" s="451"/>
    </row>
    <row r="154" spans="1:1">
      <c r="A154" s="451"/>
    </row>
    <row r="155" spans="1:1">
      <c r="A155" s="451"/>
    </row>
    <row r="156" spans="1:1">
      <c r="A156" s="451"/>
    </row>
    <row r="157" spans="1:1">
      <c r="A157" s="451"/>
    </row>
    <row r="158" spans="1:1">
      <c r="A158" s="451"/>
    </row>
    <row r="159" spans="1:1">
      <c r="A159" s="451"/>
    </row>
    <row r="160" spans="1:1">
      <c r="A160" s="451"/>
    </row>
    <row r="161" spans="1:1">
      <c r="A161" s="451"/>
    </row>
    <row r="162" spans="1:1">
      <c r="A162" s="451"/>
    </row>
    <row r="163" spans="1:1">
      <c r="A163" s="451"/>
    </row>
    <row r="164" spans="1:1">
      <c r="A164" s="451"/>
    </row>
    <row r="165" spans="1:1">
      <c r="A165" s="451"/>
    </row>
    <row r="166" spans="1:1">
      <c r="A166" s="451"/>
    </row>
    <row r="167" spans="1:1">
      <c r="A167" s="451"/>
    </row>
    <row r="168" spans="1:1">
      <c r="A168" s="451"/>
    </row>
    <row r="169" spans="1:1">
      <c r="A169" s="451"/>
    </row>
    <row r="170" spans="1:1">
      <c r="A170" s="451"/>
    </row>
    <row r="171" spans="1:1">
      <c r="A171" s="451"/>
    </row>
    <row r="172" spans="1:1">
      <c r="A172" s="451"/>
    </row>
    <row r="173" spans="1:1">
      <c r="A173" s="451"/>
    </row>
    <row r="174" spans="1:1">
      <c r="A174" s="451"/>
    </row>
    <row r="175" spans="1:1">
      <c r="A175" s="451"/>
    </row>
    <row r="176" spans="1:1">
      <c r="A176" s="451"/>
    </row>
    <row r="177" spans="1:1">
      <c r="A177" s="451"/>
    </row>
    <row r="178" spans="1:1">
      <c r="A178" s="451"/>
    </row>
    <row r="179" spans="1:1">
      <c r="A179" s="451"/>
    </row>
    <row r="180" spans="1:1">
      <c r="A180" s="451"/>
    </row>
    <row r="181" spans="1:1">
      <c r="A181" s="451"/>
    </row>
    <row r="182" spans="1:1">
      <c r="A182" s="451"/>
    </row>
    <row r="183" spans="1:1">
      <c r="A183" s="451"/>
    </row>
    <row r="184" spans="1:1">
      <c r="A184" s="451"/>
    </row>
    <row r="185" spans="1:1">
      <c r="A185" s="451"/>
    </row>
    <row r="186" spans="1:1">
      <c r="A186" s="451"/>
    </row>
    <row r="187" spans="1:1">
      <c r="A187" s="451"/>
    </row>
    <row r="188" spans="1:1">
      <c r="A188" s="451"/>
    </row>
    <row r="189" spans="1:1">
      <c r="A189" s="451"/>
    </row>
    <row r="190" spans="1:1">
      <c r="A190" s="451"/>
    </row>
    <row r="191" spans="1:1">
      <c r="A191" s="451"/>
    </row>
    <row r="192" spans="1:1">
      <c r="A192" s="451"/>
    </row>
    <row r="193" spans="1:1">
      <c r="A193" s="451"/>
    </row>
    <row r="194" spans="1:1">
      <c r="A194" s="451"/>
    </row>
    <row r="195" spans="1:1">
      <c r="A195" s="451"/>
    </row>
    <row r="196" spans="1:1">
      <c r="A196" s="451"/>
    </row>
    <row r="197" spans="1:1">
      <c r="A197" s="451"/>
    </row>
    <row r="198" spans="1:1">
      <c r="A198" s="451"/>
    </row>
    <row r="199" spans="1:1">
      <c r="A199" s="451"/>
    </row>
    <row r="200" spans="1:1">
      <c r="A200" s="451"/>
    </row>
    <row r="201" spans="1:1">
      <c r="A201" s="451"/>
    </row>
    <row r="202" spans="1:1">
      <c r="A202" s="451"/>
    </row>
    <row r="203" spans="1:1">
      <c r="A203" s="451"/>
    </row>
    <row r="204" spans="1:1">
      <c r="A204" s="451"/>
    </row>
  </sheetData>
  <pageMargins left="0.7" right="0.7" top="0.75" bottom="0.75" header="0.3" footer="0.3"/>
  <pageSetup scale="52" orientation="landscape" cellComments="asDisplayed" r:id="rId1"/>
  <headerFooter>
    <oddHeader>&amp;CSchedule 16
Plant Additions
&amp;RTO2020 Draft Annual Update 
Attachment1</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workbookViewId="0"/>
  </sheetViews>
  <sheetFormatPr defaultRowHeight="12.75"/>
  <cols>
    <col min="1" max="1" width="4.7109375" customWidth="1"/>
    <col min="3" max="3" width="15.140625" customWidth="1"/>
    <col min="4" max="5" width="14.7109375" customWidth="1"/>
    <col min="6" max="6" width="15.5703125" customWidth="1"/>
    <col min="7" max="13" width="14.7109375" customWidth="1"/>
  </cols>
  <sheetData>
    <row r="1" spans="1:13">
      <c r="A1" s="1" t="s">
        <v>205</v>
      </c>
      <c r="B1" s="133"/>
      <c r="C1" s="133"/>
      <c r="D1" s="133"/>
      <c r="E1" s="133"/>
      <c r="F1" s="133"/>
      <c r="G1" s="133"/>
      <c r="H1" s="133"/>
      <c r="I1" s="333" t="s">
        <v>812</v>
      </c>
      <c r="J1" s="113"/>
      <c r="K1" s="133"/>
      <c r="L1" s="133"/>
      <c r="M1" s="133"/>
    </row>
    <row r="2" spans="1:13">
      <c r="A2" s="133"/>
      <c r="B2" s="133"/>
      <c r="C2" s="133"/>
      <c r="D2" s="133"/>
      <c r="E2" s="133"/>
      <c r="F2" s="133"/>
      <c r="G2" s="133"/>
      <c r="H2" s="133"/>
      <c r="I2" s="768"/>
      <c r="J2" s="768"/>
      <c r="K2" s="133"/>
      <c r="L2" s="133"/>
      <c r="M2" s="133"/>
    </row>
    <row r="3" spans="1:13">
      <c r="A3" s="133"/>
      <c r="B3" s="1" t="s">
        <v>1456</v>
      </c>
      <c r="C3" s="133"/>
      <c r="D3" s="133"/>
      <c r="E3" s="133"/>
      <c r="F3" s="133"/>
      <c r="G3" s="133"/>
      <c r="H3" s="141"/>
      <c r="I3" s="685" t="s">
        <v>579</v>
      </c>
      <c r="J3" s="769">
        <v>2018</v>
      </c>
      <c r="K3" s="133"/>
      <c r="L3" s="133"/>
      <c r="M3" s="133"/>
    </row>
    <row r="4" spans="1:13">
      <c r="A4" s="133"/>
      <c r="B4" s="133"/>
      <c r="C4" s="133"/>
      <c r="D4" s="133"/>
      <c r="E4" s="133"/>
      <c r="F4" s="133"/>
      <c r="G4" s="133"/>
      <c r="H4" s="141"/>
      <c r="I4" s="141"/>
      <c r="J4" s="133"/>
      <c r="K4" s="133"/>
      <c r="L4" s="133"/>
      <c r="M4" s="133"/>
    </row>
    <row r="5" spans="1:13">
      <c r="A5" s="133"/>
      <c r="B5" s="298" t="s">
        <v>1457</v>
      </c>
      <c r="C5" s="133"/>
      <c r="D5" s="133"/>
      <c r="E5" s="133"/>
      <c r="F5" s="133"/>
      <c r="G5" s="133"/>
      <c r="H5" s="300" t="s">
        <v>1458</v>
      </c>
      <c r="I5" s="141"/>
      <c r="J5" s="133"/>
      <c r="K5" s="133"/>
      <c r="L5" s="133"/>
      <c r="M5" s="133"/>
    </row>
    <row r="6" spans="1:13">
      <c r="A6" s="133"/>
      <c r="B6" s="133"/>
      <c r="C6" s="133"/>
      <c r="D6" s="133"/>
      <c r="E6" s="133"/>
      <c r="F6" s="133"/>
      <c r="G6" s="133"/>
      <c r="H6" s="133"/>
      <c r="I6" s="133"/>
      <c r="J6" s="133"/>
      <c r="K6" s="133"/>
      <c r="L6" s="133"/>
      <c r="M6" s="133"/>
    </row>
    <row r="7" spans="1:13">
      <c r="A7" s="133"/>
      <c r="B7" s="52" t="s">
        <v>307</v>
      </c>
      <c r="C7" s="52" t="s">
        <v>308</v>
      </c>
      <c r="D7" s="52" t="s">
        <v>309</v>
      </c>
      <c r="E7" s="52" t="s">
        <v>310</v>
      </c>
      <c r="F7" s="52" t="s">
        <v>311</v>
      </c>
      <c r="G7" s="52" t="s">
        <v>312</v>
      </c>
      <c r="H7" s="52" t="s">
        <v>313</v>
      </c>
      <c r="I7" s="52" t="s">
        <v>314</v>
      </c>
      <c r="J7" s="52" t="s">
        <v>315</v>
      </c>
      <c r="K7" s="52" t="s">
        <v>534</v>
      </c>
      <c r="L7" s="52" t="s">
        <v>535</v>
      </c>
      <c r="M7" s="52" t="s">
        <v>536</v>
      </c>
    </row>
    <row r="8" spans="1:13">
      <c r="A8" s="133"/>
      <c r="B8" s="149"/>
      <c r="C8" s="133"/>
      <c r="D8" s="133"/>
      <c r="E8" s="133"/>
      <c r="F8" s="133"/>
      <c r="G8" s="133"/>
      <c r="H8" s="133"/>
      <c r="I8" s="133"/>
      <c r="J8" s="133"/>
      <c r="K8" s="133"/>
      <c r="L8" s="133"/>
      <c r="M8" s="133"/>
    </row>
    <row r="9" spans="1:13">
      <c r="A9" s="133"/>
      <c r="B9" s="64"/>
      <c r="C9" s="334" t="s">
        <v>854</v>
      </c>
      <c r="D9" s="133"/>
      <c r="E9" s="133"/>
      <c r="F9" s="133"/>
      <c r="G9" s="133"/>
      <c r="H9" s="133"/>
      <c r="I9" s="133"/>
      <c r="J9" s="133"/>
      <c r="K9" s="133"/>
      <c r="L9" s="133"/>
      <c r="M9" s="133"/>
    </row>
    <row r="10" spans="1:13">
      <c r="A10" s="133"/>
      <c r="B10" s="64"/>
      <c r="C10" s="334" t="s">
        <v>855</v>
      </c>
      <c r="D10" s="133"/>
      <c r="E10" s="133"/>
      <c r="F10" s="133"/>
      <c r="G10" s="133"/>
      <c r="H10" s="133"/>
      <c r="I10" s="133"/>
      <c r="J10" s="133"/>
      <c r="K10" s="133"/>
      <c r="L10" s="133"/>
      <c r="M10" s="133"/>
    </row>
    <row r="11" spans="1:13">
      <c r="A11" s="28" t="s">
        <v>243</v>
      </c>
      <c r="B11" s="74" t="s">
        <v>742</v>
      </c>
      <c r="C11" s="200">
        <v>350.1</v>
      </c>
      <c r="D11" s="200">
        <v>350.2</v>
      </c>
      <c r="E11" s="200">
        <v>352</v>
      </c>
      <c r="F11" s="200">
        <v>353</v>
      </c>
      <c r="G11" s="200">
        <v>354</v>
      </c>
      <c r="H11" s="200">
        <v>355</v>
      </c>
      <c r="I11" s="200">
        <v>356</v>
      </c>
      <c r="J11" s="200">
        <v>357</v>
      </c>
      <c r="K11" s="200">
        <v>358</v>
      </c>
      <c r="L11" s="200">
        <v>359</v>
      </c>
      <c r="M11" s="74" t="s">
        <v>388</v>
      </c>
    </row>
    <row r="12" spans="1:13">
      <c r="A12" s="379">
        <v>1</v>
      </c>
      <c r="B12" s="744" t="s">
        <v>743</v>
      </c>
      <c r="C12" s="135">
        <f>'6-PlantInService'!C11</f>
        <v>87876203.008566424</v>
      </c>
      <c r="D12" s="135">
        <f>'6-PlantInService'!D11</f>
        <v>164901118.05652422</v>
      </c>
      <c r="E12" s="135">
        <f>'6-PlantInService'!E11</f>
        <v>569698022.78641224</v>
      </c>
      <c r="F12" s="135">
        <f>'6-PlantInService'!F11</f>
        <v>3409447773.7821789</v>
      </c>
      <c r="G12" s="135">
        <f>'6-PlantInService'!G11</f>
        <v>2283380921.7859855</v>
      </c>
      <c r="H12" s="135">
        <f>'6-PlantInService'!H11</f>
        <v>364424080.37077081</v>
      </c>
      <c r="I12" s="135">
        <f>'6-PlantInService'!I11</f>
        <v>1245933686.0102172</v>
      </c>
      <c r="J12" s="135">
        <f>'6-PlantInService'!J11</f>
        <v>190222488.7243827</v>
      </c>
      <c r="K12" s="135">
        <f>'6-PlantInService'!K11</f>
        <v>84920373.963020414</v>
      </c>
      <c r="L12" s="135">
        <f>'6-PlantInService'!L11</f>
        <v>172640885.01442629</v>
      </c>
      <c r="M12" s="135">
        <f>'6-PlantInService'!M11</f>
        <v>8573445553.5024843</v>
      </c>
    </row>
    <row r="13" spans="1:13">
      <c r="A13" s="379">
        <f>A12+1</f>
        <v>2</v>
      </c>
      <c r="B13" s="744" t="s">
        <v>744</v>
      </c>
      <c r="C13" s="135">
        <f>'6-PlantInService'!C12</f>
        <v>87726550.295030251</v>
      </c>
      <c r="D13" s="135">
        <f>'6-PlantInService'!D12</f>
        <v>164912801.54263821</v>
      </c>
      <c r="E13" s="135">
        <f>'6-PlantInService'!E12</f>
        <v>572332929.20922089</v>
      </c>
      <c r="F13" s="135">
        <f>'6-PlantInService'!F12</f>
        <v>3412113168.1990914</v>
      </c>
      <c r="G13" s="135">
        <f>'6-PlantInService'!G12</f>
        <v>2283554236.1751165</v>
      </c>
      <c r="H13" s="135">
        <f>'6-PlantInService'!H12</f>
        <v>365210290.26166874</v>
      </c>
      <c r="I13" s="135">
        <f>'6-PlantInService'!I12</f>
        <v>1262415948.0157156</v>
      </c>
      <c r="J13" s="135">
        <f>'6-PlantInService'!J12</f>
        <v>190266138.75236934</v>
      </c>
      <c r="K13" s="135">
        <f>'6-PlantInService'!K12</f>
        <v>84940910.169124484</v>
      </c>
      <c r="L13" s="135">
        <f>'6-PlantInService'!L12</f>
        <v>172627083.39453855</v>
      </c>
      <c r="M13" s="135">
        <f>'6-PlantInService'!M12</f>
        <v>8596100056.014513</v>
      </c>
    </row>
    <row r="14" spans="1:13">
      <c r="A14" s="379">
        <f t="shared" ref="A14:A76" si="0">A13+1</f>
        <v>3</v>
      </c>
      <c r="B14" s="744" t="s">
        <v>745</v>
      </c>
      <c r="C14" s="135">
        <f>'6-PlantInService'!C13</f>
        <v>87725071.925030246</v>
      </c>
      <c r="D14" s="135">
        <f>'6-PlantInService'!D13</f>
        <v>164931367.93501177</v>
      </c>
      <c r="E14" s="135">
        <f>'6-PlantInService'!E13</f>
        <v>575091120.28117836</v>
      </c>
      <c r="F14" s="135">
        <f>'6-PlantInService'!F13</f>
        <v>3418289127.0852575</v>
      </c>
      <c r="G14" s="135">
        <f>'6-PlantInService'!G13</f>
        <v>2283947645.2078562</v>
      </c>
      <c r="H14" s="135">
        <f>'6-PlantInService'!H13</f>
        <v>366128749.83100766</v>
      </c>
      <c r="I14" s="135">
        <f>'6-PlantInService'!I13</f>
        <v>1263115450.7844269</v>
      </c>
      <c r="J14" s="135">
        <f>'6-PlantInService'!J13</f>
        <v>190339338.03184837</v>
      </c>
      <c r="K14" s="135">
        <f>'6-PlantInService'!K13</f>
        <v>84952338.659547508</v>
      </c>
      <c r="L14" s="135">
        <f>'6-PlantInService'!L13</f>
        <v>172672087.5772987</v>
      </c>
      <c r="M14" s="135">
        <f>'6-PlantInService'!M13</f>
        <v>8607192297.3184624</v>
      </c>
    </row>
    <row r="15" spans="1:13">
      <c r="A15" s="379">
        <f t="shared" si="0"/>
        <v>4</v>
      </c>
      <c r="B15" s="744" t="s">
        <v>746</v>
      </c>
      <c r="C15" s="135">
        <f>'6-PlantInService'!C14</f>
        <v>87282778.050498858</v>
      </c>
      <c r="D15" s="135">
        <f>'6-PlantInService'!D14</f>
        <v>164965584.46389008</v>
      </c>
      <c r="E15" s="135">
        <f>'6-PlantInService'!E14</f>
        <v>577997993.67482126</v>
      </c>
      <c r="F15" s="135">
        <f>'6-PlantInService'!F14</f>
        <v>3426831317.1984086</v>
      </c>
      <c r="G15" s="135">
        <f>'6-PlantInService'!G14</f>
        <v>2284109107.0256138</v>
      </c>
      <c r="H15" s="135">
        <f>'6-PlantInService'!H14</f>
        <v>368947730.82697117</v>
      </c>
      <c r="I15" s="135">
        <f>'6-PlantInService'!I14</f>
        <v>1265485090.2645762</v>
      </c>
      <c r="J15" s="135">
        <f>'6-PlantInService'!J14</f>
        <v>190420082.23930779</v>
      </c>
      <c r="K15" s="135">
        <f>'6-PlantInService'!K14</f>
        <v>83759856.782664135</v>
      </c>
      <c r="L15" s="135">
        <f>'6-PlantInService'!L14</f>
        <v>172736333.7240822</v>
      </c>
      <c r="M15" s="135">
        <f>'6-PlantInService'!M14</f>
        <v>8622535874.2508335</v>
      </c>
    </row>
    <row r="16" spans="1:13">
      <c r="A16" s="379">
        <f t="shared" si="0"/>
        <v>5</v>
      </c>
      <c r="B16" s="744" t="s">
        <v>747</v>
      </c>
      <c r="C16" s="135">
        <f>'6-PlantInService'!C15</f>
        <v>87297163.262084171</v>
      </c>
      <c r="D16" s="135">
        <f>'6-PlantInService'!D15</f>
        <v>164964203.66195709</v>
      </c>
      <c r="E16" s="135">
        <f>'6-PlantInService'!E15</f>
        <v>581033320.59054029</v>
      </c>
      <c r="F16" s="135">
        <f>'6-PlantInService'!F15</f>
        <v>3431680464.0246916</v>
      </c>
      <c r="G16" s="135">
        <f>'6-PlantInService'!G15</f>
        <v>2284271822.0833359</v>
      </c>
      <c r="H16" s="135">
        <f>'6-PlantInService'!H15</f>
        <v>370175480.7862587</v>
      </c>
      <c r="I16" s="135">
        <f>'6-PlantInService'!I15</f>
        <v>1264883890.4770119</v>
      </c>
      <c r="J16" s="135">
        <f>'6-PlantInService'!J15</f>
        <v>190542108.31817213</v>
      </c>
      <c r="K16" s="135">
        <f>'6-PlantInService'!K15</f>
        <v>83819139.803474218</v>
      </c>
      <c r="L16" s="135">
        <f>'6-PlantInService'!L15</f>
        <v>172689915.91054222</v>
      </c>
      <c r="M16" s="135">
        <f>'6-PlantInService'!M15</f>
        <v>8631357508.9180679</v>
      </c>
    </row>
    <row r="17" spans="1:14">
      <c r="A17" s="379">
        <f t="shared" si="0"/>
        <v>6</v>
      </c>
      <c r="B17" s="744" t="s">
        <v>748</v>
      </c>
      <c r="C17" s="135">
        <f>'6-PlantInService'!C16</f>
        <v>87298131.989949092</v>
      </c>
      <c r="D17" s="135">
        <f>'6-PlantInService'!D16</f>
        <v>164972544.51068327</v>
      </c>
      <c r="E17" s="135">
        <f>'6-PlantInService'!E16</f>
        <v>580581318.31957078</v>
      </c>
      <c r="F17" s="135">
        <f>'6-PlantInService'!F16</f>
        <v>3433781768.0646935</v>
      </c>
      <c r="G17" s="135">
        <f>'6-PlantInService'!G16</f>
        <v>2284323094.6043339</v>
      </c>
      <c r="H17" s="135">
        <f>'6-PlantInService'!H16</f>
        <v>370936065.77365226</v>
      </c>
      <c r="I17" s="135">
        <f>'6-PlantInService'!I16</f>
        <v>1270451267.1966119</v>
      </c>
      <c r="J17" s="135">
        <f>'6-PlantInService'!J16</f>
        <v>190615515.87645289</v>
      </c>
      <c r="K17" s="135">
        <f>'6-PlantInService'!K16</f>
        <v>83855422.869540393</v>
      </c>
      <c r="L17" s="135">
        <f>'6-PlantInService'!L16</f>
        <v>172705862.6798611</v>
      </c>
      <c r="M17" s="135">
        <f>'6-PlantInService'!M16</f>
        <v>8639520991.8853474</v>
      </c>
      <c r="N17" s="768"/>
    </row>
    <row r="18" spans="1:14">
      <c r="A18" s="379">
        <f t="shared" si="0"/>
        <v>7</v>
      </c>
      <c r="B18" s="744" t="s">
        <v>749</v>
      </c>
      <c r="C18" s="135">
        <f>'6-PlantInService'!C17</f>
        <v>87307461.899949089</v>
      </c>
      <c r="D18" s="135">
        <f>'6-PlantInService'!D17</f>
        <v>165165006.39891922</v>
      </c>
      <c r="E18" s="135">
        <f>'6-PlantInService'!E17</f>
        <v>585796088.41930866</v>
      </c>
      <c r="F18" s="135">
        <f>'6-PlantInService'!F17</f>
        <v>3444242237.7036147</v>
      </c>
      <c r="G18" s="135">
        <f>'6-PlantInService'!G17</f>
        <v>2284518162.1724162</v>
      </c>
      <c r="H18" s="135">
        <f>'6-PlantInService'!H17</f>
        <v>371768073.84521317</v>
      </c>
      <c r="I18" s="135">
        <f>'6-PlantInService'!I17</f>
        <v>1271328345.7563059</v>
      </c>
      <c r="J18" s="135">
        <f>'6-PlantInService'!J17</f>
        <v>190661683.91195875</v>
      </c>
      <c r="K18" s="135">
        <f>'6-PlantInService'!K17</f>
        <v>83878067.024656311</v>
      </c>
      <c r="L18" s="135">
        <f>'6-PlantInService'!L17</f>
        <v>172883402.04519692</v>
      </c>
      <c r="M18" s="135">
        <f>'6-PlantInService'!M17</f>
        <v>8657548529.1775379</v>
      </c>
      <c r="N18" s="768"/>
    </row>
    <row r="19" spans="1:14">
      <c r="A19" s="379">
        <f t="shared" si="0"/>
        <v>8</v>
      </c>
      <c r="B19" s="744" t="s">
        <v>750</v>
      </c>
      <c r="C19" s="135">
        <f>'6-PlantInService'!C18</f>
        <v>87306975.551286086</v>
      </c>
      <c r="D19" s="135">
        <f>'6-PlantInService'!D18</f>
        <v>165176355.41463006</v>
      </c>
      <c r="E19" s="135">
        <f>'6-PlantInService'!E18</f>
        <v>589092910.36993051</v>
      </c>
      <c r="F19" s="135">
        <f>'6-PlantInService'!F18</f>
        <v>3447324974.5936556</v>
      </c>
      <c r="G19" s="135">
        <f>'6-PlantInService'!G18</f>
        <v>2284562679.5661802</v>
      </c>
      <c r="H19" s="135">
        <f>'6-PlantInService'!H18</f>
        <v>372042703.36830395</v>
      </c>
      <c r="I19" s="135">
        <f>'6-PlantInService'!I18</f>
        <v>1272813056.1168413</v>
      </c>
      <c r="J19" s="135">
        <f>'6-PlantInService'!J18</f>
        <v>190691596.60811177</v>
      </c>
      <c r="K19" s="135">
        <f>'6-PlantInService'!K18</f>
        <v>83892934.011575431</v>
      </c>
      <c r="L19" s="135">
        <f>'6-PlantInService'!L18</f>
        <v>172836726.08459714</v>
      </c>
      <c r="M19" s="135">
        <f>'6-PlantInService'!M18</f>
        <v>8665740911.685112</v>
      </c>
      <c r="N19" s="768"/>
    </row>
    <row r="20" spans="1:14">
      <c r="A20" s="379">
        <f t="shared" si="0"/>
        <v>9</v>
      </c>
      <c r="B20" s="744" t="s">
        <v>751</v>
      </c>
      <c r="C20" s="135">
        <f>'6-PlantInService'!C19</f>
        <v>87330957.31634979</v>
      </c>
      <c r="D20" s="135">
        <f>'6-PlantInService'!D19</f>
        <v>165183770.20535582</v>
      </c>
      <c r="E20" s="135">
        <f>'6-PlantInService'!E19</f>
        <v>597444040.49741554</v>
      </c>
      <c r="F20" s="135">
        <f>'6-PlantInService'!F19</f>
        <v>3455667215.9685163</v>
      </c>
      <c r="G20" s="135">
        <f>'6-PlantInService'!G19</f>
        <v>2284539001.2219119</v>
      </c>
      <c r="H20" s="135">
        <f>'6-PlantInService'!H19</f>
        <v>381776185.63943297</v>
      </c>
      <c r="I20" s="135">
        <f>'6-PlantInService'!I19</f>
        <v>1288343514.1273477</v>
      </c>
      <c r="J20" s="135">
        <f>'6-PlantInService'!J19</f>
        <v>190713761.43200237</v>
      </c>
      <c r="K20" s="135">
        <f>'6-PlantInService'!K19</f>
        <v>83903902.361348167</v>
      </c>
      <c r="L20" s="135">
        <f>'6-PlantInService'!L19</f>
        <v>172900764.77340519</v>
      </c>
      <c r="M20" s="135">
        <f>'6-PlantInService'!M19</f>
        <v>8707803113.5430851</v>
      </c>
      <c r="N20" s="768"/>
    </row>
    <row r="21" spans="1:14">
      <c r="A21" s="379">
        <f t="shared" si="0"/>
        <v>10</v>
      </c>
      <c r="B21" s="744" t="s">
        <v>752</v>
      </c>
      <c r="C21" s="135">
        <f>'6-PlantInService'!C20</f>
        <v>87331478.886349782</v>
      </c>
      <c r="D21" s="135">
        <f>'6-PlantInService'!D20</f>
        <v>165177384.16560277</v>
      </c>
      <c r="E21" s="135">
        <f>'6-PlantInService'!E20</f>
        <v>604383752.92188764</v>
      </c>
      <c r="F21" s="135">
        <f>'6-PlantInService'!F20</f>
        <v>3456584434.313148</v>
      </c>
      <c r="G21" s="135">
        <f>'6-PlantInService'!G20</f>
        <v>2284549099.1997643</v>
      </c>
      <c r="H21" s="135">
        <f>'6-PlantInService'!H20</f>
        <v>383272977.52429754</v>
      </c>
      <c r="I21" s="135">
        <f>'6-PlantInService'!I20</f>
        <v>1289977382.7310002</v>
      </c>
      <c r="J21" s="135">
        <f>'6-PlantInService'!J20</f>
        <v>190781811.03604817</v>
      </c>
      <c r="K21" s="135">
        <f>'6-PlantInService'!K20</f>
        <v>83936902.267854542</v>
      </c>
      <c r="L21" s="135">
        <f>'6-PlantInService'!L20</f>
        <v>172921318.42057058</v>
      </c>
      <c r="M21" s="135">
        <f>'6-PlantInService'!M20</f>
        <v>8718916541.4665241</v>
      </c>
      <c r="N21" s="768"/>
    </row>
    <row r="22" spans="1:14">
      <c r="A22" s="379">
        <f t="shared" si="0"/>
        <v>11</v>
      </c>
      <c r="B22" s="744" t="s">
        <v>753</v>
      </c>
      <c r="C22" s="135">
        <f>'6-PlantInService'!C21</f>
        <v>87345206.596388966</v>
      </c>
      <c r="D22" s="135">
        <f>'6-PlantInService'!D21</f>
        <v>165189259.08128485</v>
      </c>
      <c r="E22" s="135">
        <f>'6-PlantInService'!E21</f>
        <v>607654477.30842483</v>
      </c>
      <c r="F22" s="135">
        <f>'6-PlantInService'!F21</f>
        <v>3452212580.5756984</v>
      </c>
      <c r="G22" s="135">
        <f>'6-PlantInService'!G21</f>
        <v>2284577055.1636887</v>
      </c>
      <c r="H22" s="135">
        <f>'6-PlantInService'!H21</f>
        <v>384624601.74367285</v>
      </c>
      <c r="I22" s="135">
        <f>'6-PlantInService'!I21</f>
        <v>1292243484.1460822</v>
      </c>
      <c r="J22" s="135">
        <f>'6-PlantInService'!J21</f>
        <v>190831339.03385022</v>
      </c>
      <c r="K22" s="135">
        <f>'6-PlantInService'!K21</f>
        <v>83961794.35010764</v>
      </c>
      <c r="L22" s="135">
        <f>'6-PlantInService'!L21</f>
        <v>173487023.93781778</v>
      </c>
      <c r="M22" s="135">
        <f>'6-PlantInService'!M21</f>
        <v>8722126821.9370155</v>
      </c>
      <c r="N22" s="768"/>
    </row>
    <row r="23" spans="1:14">
      <c r="A23" s="379">
        <f t="shared" si="0"/>
        <v>12</v>
      </c>
      <c r="B23" s="744" t="s">
        <v>754</v>
      </c>
      <c r="C23" s="135">
        <f>'6-PlantInService'!C22</f>
        <v>87344390.961959019</v>
      </c>
      <c r="D23" s="135">
        <f>'6-PlantInService'!D22</f>
        <v>165233271.26135975</v>
      </c>
      <c r="E23" s="135">
        <f>'6-PlantInService'!E22</f>
        <v>610126156.19005215</v>
      </c>
      <c r="F23" s="135">
        <f>'6-PlantInService'!F22</f>
        <v>3458389095.0579753</v>
      </c>
      <c r="G23" s="135">
        <f>'6-PlantInService'!G22</f>
        <v>2284536272.5836568</v>
      </c>
      <c r="H23" s="135">
        <f>'6-PlantInService'!H22</f>
        <v>385813372.16361815</v>
      </c>
      <c r="I23" s="135">
        <f>'6-PlantInService'!I22</f>
        <v>1293205824.1771352</v>
      </c>
      <c r="J23" s="135">
        <f>'6-PlantInService'!J22</f>
        <v>190855519.91790837</v>
      </c>
      <c r="K23" s="135">
        <f>'6-PlantInService'!K22</f>
        <v>83971830.958077177</v>
      </c>
      <c r="L23" s="135">
        <f>'6-PlantInService'!L22</f>
        <v>173636576.85711002</v>
      </c>
      <c r="M23" s="135">
        <f>'6-PlantInService'!M22</f>
        <v>8733112310.1288528</v>
      </c>
      <c r="N23" s="768"/>
    </row>
    <row r="24" spans="1:14">
      <c r="A24" s="379">
        <f t="shared" si="0"/>
        <v>13</v>
      </c>
      <c r="B24" s="744" t="s">
        <v>755</v>
      </c>
      <c r="C24" s="135">
        <f>'6-PlantInService'!C23</f>
        <v>87352690.443103433</v>
      </c>
      <c r="D24" s="135">
        <f>'6-PlantInService'!D23</f>
        <v>165261946.55689645</v>
      </c>
      <c r="E24" s="135">
        <f>'6-PlantInService'!E23</f>
        <v>643675309.99396908</v>
      </c>
      <c r="F24" s="135">
        <f>'6-PlantInService'!F23</f>
        <v>3459763553.0064859</v>
      </c>
      <c r="G24" s="135">
        <f>'6-PlantInService'!G23</f>
        <v>2284709794.5614529</v>
      </c>
      <c r="H24" s="135">
        <f>'6-PlantInService'!H23</f>
        <v>386542291.49892306</v>
      </c>
      <c r="I24" s="135">
        <f>'6-PlantInService'!I23</f>
        <v>1311509387.2981901</v>
      </c>
      <c r="J24" s="135">
        <f>'6-PlantInService'!J23</f>
        <v>190891202.22581026</v>
      </c>
      <c r="K24" s="135">
        <f>'6-PlantInService'!K23</f>
        <v>83989219.417170852</v>
      </c>
      <c r="L24" s="135">
        <f>'6-PlantInService'!L23</f>
        <v>173783602.50683868</v>
      </c>
      <c r="M24" s="135">
        <f>'6-PlantInService'!M23</f>
        <v>8787478997.5088406</v>
      </c>
      <c r="N24" s="768"/>
    </row>
    <row r="25" spans="1:14">
      <c r="A25" s="379">
        <f t="shared" si="0"/>
        <v>14</v>
      </c>
      <c r="B25" s="133"/>
      <c r="C25" s="133"/>
      <c r="D25" s="133"/>
      <c r="E25" s="133"/>
      <c r="F25" s="133"/>
      <c r="G25" s="133"/>
      <c r="H25" s="133"/>
      <c r="I25" s="133"/>
      <c r="J25" s="133"/>
      <c r="K25" s="133"/>
      <c r="L25" s="133"/>
      <c r="M25" s="133"/>
      <c r="N25" s="768"/>
    </row>
    <row r="26" spans="1:14">
      <c r="A26" s="379">
        <f t="shared" si="0"/>
        <v>15</v>
      </c>
      <c r="B26" s="439" t="s">
        <v>1459</v>
      </c>
      <c r="C26" s="141"/>
      <c r="D26" s="141"/>
      <c r="E26" s="141"/>
      <c r="F26" s="141"/>
      <c r="G26" s="141"/>
      <c r="H26" s="141"/>
      <c r="I26" s="133"/>
      <c r="J26" s="133"/>
      <c r="K26" s="133"/>
      <c r="L26" s="133"/>
      <c r="M26" s="133"/>
      <c r="N26" s="768"/>
    </row>
    <row r="27" spans="1:14">
      <c r="A27" s="379"/>
      <c r="B27" s="64"/>
      <c r="C27" s="141"/>
      <c r="D27" s="141"/>
      <c r="E27" s="141"/>
      <c r="F27" s="141"/>
      <c r="G27" s="133"/>
      <c r="H27" s="133"/>
      <c r="I27" s="133"/>
      <c r="J27" s="133"/>
      <c r="K27" s="133"/>
      <c r="L27" s="133"/>
      <c r="M27" s="133"/>
      <c r="N27" s="768"/>
    </row>
    <row r="28" spans="1:14">
      <c r="A28" s="379">
        <f>A26+1</f>
        <v>16</v>
      </c>
      <c r="B28" s="74" t="s">
        <v>742</v>
      </c>
      <c r="C28" s="200">
        <v>350.1</v>
      </c>
      <c r="D28" s="200">
        <v>350.2</v>
      </c>
      <c r="E28" s="200">
        <v>352</v>
      </c>
      <c r="F28" s="200">
        <v>353</v>
      </c>
      <c r="G28" s="52">
        <v>354</v>
      </c>
      <c r="H28" s="52">
        <v>355</v>
      </c>
      <c r="I28" s="52">
        <v>356</v>
      </c>
      <c r="J28" s="52">
        <v>357</v>
      </c>
      <c r="K28" s="52">
        <v>358</v>
      </c>
      <c r="L28" s="52">
        <v>359</v>
      </c>
      <c r="M28" s="2"/>
      <c r="N28" s="768"/>
    </row>
    <row r="29" spans="1:14">
      <c r="A29" s="379" t="s">
        <v>1460</v>
      </c>
      <c r="B29" s="744" t="s">
        <v>743</v>
      </c>
      <c r="C29" s="530">
        <v>0</v>
      </c>
      <c r="D29" s="530">
        <v>1.67E-2</v>
      </c>
      <c r="E29" s="530">
        <v>2.41E-2</v>
      </c>
      <c r="F29" s="530">
        <v>2.8400000000000002E-2</v>
      </c>
      <c r="G29" s="530">
        <v>2.7300000000000001E-2</v>
      </c>
      <c r="H29" s="530">
        <v>2.8400000000000002E-2</v>
      </c>
      <c r="I29" s="530">
        <v>3.2399999999999998E-2</v>
      </c>
      <c r="J29" s="530">
        <v>1.7299999999999999E-2</v>
      </c>
      <c r="K29" s="530">
        <v>2.41E-2</v>
      </c>
      <c r="L29" s="530">
        <v>1.6500000000000001E-2</v>
      </c>
      <c r="M29" s="133"/>
      <c r="N29" s="332"/>
    </row>
    <row r="30" spans="1:14">
      <c r="A30" s="379" t="s">
        <v>1461</v>
      </c>
      <c r="B30" s="744" t="s">
        <v>744</v>
      </c>
      <c r="C30" s="530">
        <v>0</v>
      </c>
      <c r="D30" s="530">
        <v>1.67E-2</v>
      </c>
      <c r="E30" s="530">
        <v>2.41E-2</v>
      </c>
      <c r="F30" s="530">
        <v>2.8400000000000002E-2</v>
      </c>
      <c r="G30" s="530">
        <v>2.7300000000000001E-2</v>
      </c>
      <c r="H30" s="530">
        <v>2.8400000000000002E-2</v>
      </c>
      <c r="I30" s="530">
        <v>3.2399999999999998E-2</v>
      </c>
      <c r="J30" s="530">
        <v>1.7299999999999999E-2</v>
      </c>
      <c r="K30" s="530">
        <v>2.41E-2</v>
      </c>
      <c r="L30" s="530">
        <v>1.6500000000000001E-2</v>
      </c>
      <c r="M30" s="133"/>
      <c r="N30" s="332"/>
    </row>
    <row r="31" spans="1:14">
      <c r="A31" s="379" t="s">
        <v>1462</v>
      </c>
      <c r="B31" s="744" t="s">
        <v>745</v>
      </c>
      <c r="C31" s="530">
        <v>0</v>
      </c>
      <c r="D31" s="530">
        <v>1.67E-2</v>
      </c>
      <c r="E31" s="530">
        <v>2.41E-2</v>
      </c>
      <c r="F31" s="530">
        <v>2.8400000000000002E-2</v>
      </c>
      <c r="G31" s="530">
        <v>2.7300000000000001E-2</v>
      </c>
      <c r="H31" s="530">
        <v>2.8400000000000002E-2</v>
      </c>
      <c r="I31" s="530">
        <v>3.2399999999999998E-2</v>
      </c>
      <c r="J31" s="530">
        <v>1.7299999999999999E-2</v>
      </c>
      <c r="K31" s="530">
        <v>2.41E-2</v>
      </c>
      <c r="L31" s="530">
        <v>1.6500000000000001E-2</v>
      </c>
      <c r="M31" s="133"/>
      <c r="N31" s="332"/>
    </row>
    <row r="32" spans="1:14">
      <c r="A32" s="379" t="s">
        <v>1463</v>
      </c>
      <c r="B32" s="744" t="s">
        <v>746</v>
      </c>
      <c r="C32" s="530">
        <v>0</v>
      </c>
      <c r="D32" s="530">
        <v>1.67E-2</v>
      </c>
      <c r="E32" s="530">
        <v>2.41E-2</v>
      </c>
      <c r="F32" s="530">
        <v>2.8400000000000002E-2</v>
      </c>
      <c r="G32" s="530">
        <v>2.7300000000000001E-2</v>
      </c>
      <c r="H32" s="530">
        <v>2.8400000000000002E-2</v>
      </c>
      <c r="I32" s="530">
        <v>3.2399999999999998E-2</v>
      </c>
      <c r="J32" s="530">
        <v>1.7299999999999999E-2</v>
      </c>
      <c r="K32" s="530">
        <v>2.41E-2</v>
      </c>
      <c r="L32" s="530">
        <v>1.6500000000000001E-2</v>
      </c>
      <c r="M32" s="133"/>
      <c r="N32" s="332"/>
    </row>
    <row r="33" spans="1:14">
      <c r="A33" s="379" t="s">
        <v>1464</v>
      </c>
      <c r="B33" s="744" t="s">
        <v>747</v>
      </c>
      <c r="C33" s="530">
        <v>0</v>
      </c>
      <c r="D33" s="530">
        <v>1.67E-2</v>
      </c>
      <c r="E33" s="530">
        <v>2.41E-2</v>
      </c>
      <c r="F33" s="530">
        <v>2.8400000000000002E-2</v>
      </c>
      <c r="G33" s="530">
        <v>2.7300000000000001E-2</v>
      </c>
      <c r="H33" s="530">
        <v>2.8400000000000002E-2</v>
      </c>
      <c r="I33" s="530">
        <v>3.2399999999999998E-2</v>
      </c>
      <c r="J33" s="530">
        <v>1.7299999999999999E-2</v>
      </c>
      <c r="K33" s="530">
        <v>2.41E-2</v>
      </c>
      <c r="L33" s="530">
        <v>1.6500000000000001E-2</v>
      </c>
      <c r="M33" s="133"/>
      <c r="N33" s="332"/>
    </row>
    <row r="34" spans="1:14">
      <c r="A34" s="379" t="s">
        <v>1465</v>
      </c>
      <c r="B34" s="744" t="s">
        <v>748</v>
      </c>
      <c r="C34" s="530">
        <v>0</v>
      </c>
      <c r="D34" s="530">
        <v>1.67E-2</v>
      </c>
      <c r="E34" s="530">
        <v>2.41E-2</v>
      </c>
      <c r="F34" s="530">
        <v>2.8400000000000002E-2</v>
      </c>
      <c r="G34" s="530">
        <v>2.7300000000000001E-2</v>
      </c>
      <c r="H34" s="530">
        <v>2.8400000000000002E-2</v>
      </c>
      <c r="I34" s="530">
        <v>3.2399999999999998E-2</v>
      </c>
      <c r="J34" s="530">
        <v>1.7299999999999999E-2</v>
      </c>
      <c r="K34" s="530">
        <v>2.41E-2</v>
      </c>
      <c r="L34" s="530">
        <v>1.6500000000000001E-2</v>
      </c>
      <c r="M34" s="133"/>
      <c r="N34" s="332"/>
    </row>
    <row r="35" spans="1:14">
      <c r="A35" s="379" t="s">
        <v>1466</v>
      </c>
      <c r="B35" s="744" t="s">
        <v>749</v>
      </c>
      <c r="C35" s="530">
        <v>0</v>
      </c>
      <c r="D35" s="530">
        <v>1.67E-2</v>
      </c>
      <c r="E35" s="530">
        <v>2.41E-2</v>
      </c>
      <c r="F35" s="530">
        <v>2.8400000000000002E-2</v>
      </c>
      <c r="G35" s="530">
        <v>2.7300000000000001E-2</v>
      </c>
      <c r="H35" s="530">
        <v>2.8400000000000002E-2</v>
      </c>
      <c r="I35" s="530">
        <v>3.2399999999999998E-2</v>
      </c>
      <c r="J35" s="530">
        <v>1.7299999999999999E-2</v>
      </c>
      <c r="K35" s="530">
        <v>2.41E-2</v>
      </c>
      <c r="L35" s="530">
        <v>1.6500000000000001E-2</v>
      </c>
      <c r="M35" s="133"/>
      <c r="N35" s="332"/>
    </row>
    <row r="36" spans="1:14">
      <c r="A36" s="379" t="s">
        <v>1467</v>
      </c>
      <c r="B36" s="744" t="s">
        <v>750</v>
      </c>
      <c r="C36" s="530">
        <v>0</v>
      </c>
      <c r="D36" s="530">
        <v>1.67E-2</v>
      </c>
      <c r="E36" s="530">
        <v>2.41E-2</v>
      </c>
      <c r="F36" s="530">
        <v>2.8400000000000002E-2</v>
      </c>
      <c r="G36" s="530">
        <v>2.7300000000000001E-2</v>
      </c>
      <c r="H36" s="530">
        <v>2.8400000000000002E-2</v>
      </c>
      <c r="I36" s="530">
        <v>3.2399999999999998E-2</v>
      </c>
      <c r="J36" s="530">
        <v>1.7299999999999999E-2</v>
      </c>
      <c r="K36" s="530">
        <v>2.41E-2</v>
      </c>
      <c r="L36" s="530">
        <v>1.6500000000000001E-2</v>
      </c>
      <c r="M36" s="133"/>
      <c r="N36" s="332"/>
    </row>
    <row r="37" spans="1:14">
      <c r="A37" s="379" t="s">
        <v>1468</v>
      </c>
      <c r="B37" s="744" t="s">
        <v>751</v>
      </c>
      <c r="C37" s="530">
        <v>0</v>
      </c>
      <c r="D37" s="530">
        <v>1.67E-2</v>
      </c>
      <c r="E37" s="530">
        <v>2.41E-2</v>
      </c>
      <c r="F37" s="530">
        <v>2.8400000000000002E-2</v>
      </c>
      <c r="G37" s="530">
        <v>2.7300000000000001E-2</v>
      </c>
      <c r="H37" s="530">
        <v>2.8400000000000002E-2</v>
      </c>
      <c r="I37" s="530">
        <v>3.2399999999999998E-2</v>
      </c>
      <c r="J37" s="530">
        <v>1.7299999999999999E-2</v>
      </c>
      <c r="K37" s="530">
        <v>2.41E-2</v>
      </c>
      <c r="L37" s="530">
        <v>1.6500000000000001E-2</v>
      </c>
      <c r="M37" s="133"/>
      <c r="N37" s="332"/>
    </row>
    <row r="38" spans="1:14">
      <c r="A38" s="379" t="s">
        <v>1469</v>
      </c>
      <c r="B38" s="744" t="s">
        <v>752</v>
      </c>
      <c r="C38" s="530">
        <v>0</v>
      </c>
      <c r="D38" s="530">
        <v>1.67E-2</v>
      </c>
      <c r="E38" s="530">
        <v>2.41E-2</v>
      </c>
      <c r="F38" s="530">
        <v>2.8400000000000002E-2</v>
      </c>
      <c r="G38" s="530">
        <v>2.7300000000000001E-2</v>
      </c>
      <c r="H38" s="530">
        <v>2.8400000000000002E-2</v>
      </c>
      <c r="I38" s="530">
        <v>3.2399999999999998E-2</v>
      </c>
      <c r="J38" s="530">
        <v>1.7299999999999999E-2</v>
      </c>
      <c r="K38" s="530">
        <v>2.41E-2</v>
      </c>
      <c r="L38" s="530">
        <v>1.6500000000000001E-2</v>
      </c>
      <c r="M38" s="133"/>
      <c r="N38" s="332"/>
    </row>
    <row r="39" spans="1:14">
      <c r="A39" s="379" t="s">
        <v>1470</v>
      </c>
      <c r="B39" s="744" t="s">
        <v>753</v>
      </c>
      <c r="C39" s="530">
        <v>0</v>
      </c>
      <c r="D39" s="530">
        <v>1.67E-2</v>
      </c>
      <c r="E39" s="530">
        <v>2.41E-2</v>
      </c>
      <c r="F39" s="530">
        <v>2.8400000000000002E-2</v>
      </c>
      <c r="G39" s="530">
        <v>2.7300000000000001E-2</v>
      </c>
      <c r="H39" s="530">
        <v>2.8400000000000002E-2</v>
      </c>
      <c r="I39" s="530">
        <v>3.2399999999999998E-2</v>
      </c>
      <c r="J39" s="530">
        <v>1.7299999999999999E-2</v>
      </c>
      <c r="K39" s="530">
        <v>2.41E-2</v>
      </c>
      <c r="L39" s="530">
        <v>1.6500000000000001E-2</v>
      </c>
      <c r="M39" s="133"/>
      <c r="N39" s="768"/>
    </row>
    <row r="40" spans="1:14">
      <c r="A40" s="379" t="s">
        <v>1471</v>
      </c>
      <c r="B40" s="744" t="s">
        <v>754</v>
      </c>
      <c r="C40" s="530">
        <v>0</v>
      </c>
      <c r="D40" s="530">
        <v>1.67E-2</v>
      </c>
      <c r="E40" s="530">
        <v>2.41E-2</v>
      </c>
      <c r="F40" s="530">
        <v>2.8400000000000002E-2</v>
      </c>
      <c r="G40" s="530">
        <v>2.7300000000000001E-2</v>
      </c>
      <c r="H40" s="530">
        <v>2.8400000000000002E-2</v>
      </c>
      <c r="I40" s="530">
        <v>3.2399999999999998E-2</v>
      </c>
      <c r="J40" s="530">
        <v>1.7299999999999999E-2</v>
      </c>
      <c r="K40" s="530">
        <v>2.41E-2</v>
      </c>
      <c r="L40" s="530">
        <v>1.6500000000000001E-2</v>
      </c>
      <c r="M40" s="133"/>
      <c r="N40" s="768"/>
    </row>
    <row r="41" spans="1:14">
      <c r="A41" s="379" t="s">
        <v>1472</v>
      </c>
      <c r="B41" s="744" t="s">
        <v>755</v>
      </c>
      <c r="C41" s="530">
        <v>0</v>
      </c>
      <c r="D41" s="530">
        <v>1.67E-2</v>
      </c>
      <c r="E41" s="530">
        <v>2.41E-2</v>
      </c>
      <c r="F41" s="530">
        <v>2.8400000000000002E-2</v>
      </c>
      <c r="G41" s="530">
        <v>2.7300000000000001E-2</v>
      </c>
      <c r="H41" s="530">
        <v>2.8400000000000002E-2</v>
      </c>
      <c r="I41" s="530">
        <v>3.2399999999999998E-2</v>
      </c>
      <c r="J41" s="530">
        <v>1.7299999999999999E-2</v>
      </c>
      <c r="K41" s="530">
        <v>2.41E-2</v>
      </c>
      <c r="L41" s="530">
        <v>1.6500000000000001E-2</v>
      </c>
      <c r="M41" s="133"/>
      <c r="N41" s="768"/>
    </row>
    <row r="42" spans="1:14">
      <c r="A42" s="379">
        <v>18</v>
      </c>
      <c r="B42" s="768"/>
      <c r="C42" s="205"/>
      <c r="D42" s="205"/>
      <c r="E42" s="205"/>
      <c r="F42" s="205"/>
      <c r="G42" s="205"/>
      <c r="H42" s="205"/>
      <c r="I42" s="205"/>
      <c r="J42" s="205"/>
      <c r="K42" s="205"/>
      <c r="L42" s="205"/>
      <c r="M42" s="133"/>
      <c r="N42" s="768"/>
    </row>
    <row r="43" spans="1:14">
      <c r="A43" s="379">
        <f t="shared" si="0"/>
        <v>19</v>
      </c>
      <c r="B43" s="300" t="s">
        <v>1473</v>
      </c>
      <c r="C43" s="142"/>
      <c r="D43" s="142"/>
      <c r="E43" s="142"/>
      <c r="F43" s="142"/>
      <c r="G43" s="332" t="s">
        <v>1474</v>
      </c>
      <c r="H43" s="142"/>
      <c r="I43" s="205"/>
      <c r="J43" s="205"/>
      <c r="K43" s="205"/>
      <c r="L43" s="205"/>
      <c r="M43" s="133"/>
      <c r="N43" s="768"/>
    </row>
    <row r="44" spans="1:14">
      <c r="A44" s="379">
        <f t="shared" si="0"/>
        <v>20</v>
      </c>
      <c r="B44" s="141"/>
      <c r="C44" s="141"/>
      <c r="D44" s="141"/>
      <c r="E44" s="141"/>
      <c r="F44" s="141"/>
      <c r="G44" s="141"/>
      <c r="H44" s="141"/>
      <c r="I44" s="133"/>
      <c r="J44" s="133"/>
      <c r="K44" s="133"/>
      <c r="L44" s="133"/>
      <c r="M44" s="133"/>
      <c r="N44" s="768"/>
    </row>
    <row r="45" spans="1:14">
      <c r="A45" s="379">
        <f t="shared" si="0"/>
        <v>21</v>
      </c>
      <c r="B45" s="64"/>
      <c r="C45" s="646" t="s">
        <v>854</v>
      </c>
      <c r="D45" s="141"/>
      <c r="E45" s="141"/>
      <c r="F45" s="141"/>
      <c r="G45" s="141"/>
      <c r="H45" s="141"/>
      <c r="I45" s="133"/>
      <c r="J45" s="133"/>
      <c r="K45" s="133"/>
      <c r="L45" s="133"/>
      <c r="M45" s="133"/>
      <c r="N45" s="768"/>
    </row>
    <row r="46" spans="1:14">
      <c r="A46" s="379">
        <f t="shared" si="0"/>
        <v>22</v>
      </c>
      <c r="B46" s="64"/>
      <c r="C46" s="646" t="s">
        <v>855</v>
      </c>
      <c r="D46" s="141"/>
      <c r="E46" s="141"/>
      <c r="F46" s="141"/>
      <c r="G46" s="141"/>
      <c r="H46" s="141"/>
      <c r="I46" s="133"/>
      <c r="J46" s="133"/>
      <c r="K46" s="133"/>
      <c r="L46" s="133"/>
      <c r="M46" s="379" t="s">
        <v>342</v>
      </c>
      <c r="N46" s="768"/>
    </row>
    <row r="47" spans="1:14">
      <c r="A47" s="379">
        <f t="shared" si="0"/>
        <v>23</v>
      </c>
      <c r="B47" s="74" t="s">
        <v>742</v>
      </c>
      <c r="C47" s="200">
        <v>350.1</v>
      </c>
      <c r="D47" s="200">
        <v>350.2</v>
      </c>
      <c r="E47" s="200">
        <v>352</v>
      </c>
      <c r="F47" s="200">
        <v>353</v>
      </c>
      <c r="G47" s="200">
        <v>354</v>
      </c>
      <c r="H47" s="200">
        <v>355</v>
      </c>
      <c r="I47" s="200">
        <v>356</v>
      </c>
      <c r="J47" s="200">
        <v>357</v>
      </c>
      <c r="K47" s="200">
        <v>358</v>
      </c>
      <c r="L47" s="200">
        <v>359</v>
      </c>
      <c r="M47" s="74" t="s">
        <v>388</v>
      </c>
      <c r="N47" s="768"/>
    </row>
    <row r="48" spans="1:14">
      <c r="A48" s="379">
        <f t="shared" si="0"/>
        <v>24</v>
      </c>
      <c r="B48" s="744" t="s">
        <v>744</v>
      </c>
      <c r="C48" s="137">
        <f>C12*$C$30/12</f>
        <v>0</v>
      </c>
      <c r="D48" s="137">
        <f t="shared" ref="D48:D59" si="1">D12*$D30/12</f>
        <v>229487.38929532954</v>
      </c>
      <c r="E48" s="137">
        <f t="shared" ref="E48:E59" si="2">E12*$E30/12</f>
        <v>1144143.5290960446</v>
      </c>
      <c r="F48" s="137">
        <f t="shared" ref="F48:F59" si="3">F12*$F30/12</f>
        <v>8069026.3979511568</v>
      </c>
      <c r="G48" s="137">
        <f t="shared" ref="G48:G59" si="4">G12*$G30/12</f>
        <v>5194691.5970631177</v>
      </c>
      <c r="H48" s="137">
        <f t="shared" ref="H48:H59" si="5">H12*$H30/12</f>
        <v>862470.32354415767</v>
      </c>
      <c r="I48" s="137">
        <f t="shared" ref="I48:I59" si="6">I12*$I30/12</f>
        <v>3364020.9522275864</v>
      </c>
      <c r="J48" s="137">
        <f t="shared" ref="J48:J59" si="7">J12*$J30/12</f>
        <v>274237.42124431836</v>
      </c>
      <c r="K48" s="137">
        <f t="shared" ref="K48:K59" si="8">K12*$K30/12</f>
        <v>170548.41770906598</v>
      </c>
      <c r="L48" s="137">
        <f t="shared" ref="L48:L59" si="9">L12*$L30/12</f>
        <v>237381.21689483617</v>
      </c>
      <c r="M48" s="135">
        <f>SUM(C48:L48)</f>
        <v>19546007.245025616</v>
      </c>
      <c r="N48" s="768"/>
    </row>
    <row r="49" spans="1:13">
      <c r="A49" s="379">
        <f t="shared" si="0"/>
        <v>25</v>
      </c>
      <c r="B49" s="744" t="s">
        <v>745</v>
      </c>
      <c r="C49" s="137">
        <f>C13*$C$31/12</f>
        <v>0</v>
      </c>
      <c r="D49" s="137">
        <f t="shared" si="1"/>
        <v>229503.64881350484</v>
      </c>
      <c r="E49" s="137">
        <f t="shared" si="2"/>
        <v>1149435.2994951853</v>
      </c>
      <c r="F49" s="137">
        <f t="shared" si="3"/>
        <v>8075334.4980711835</v>
      </c>
      <c r="G49" s="137">
        <f t="shared" si="4"/>
        <v>5195085.8872983903</v>
      </c>
      <c r="H49" s="137">
        <f t="shared" si="5"/>
        <v>864331.02028594946</v>
      </c>
      <c r="I49" s="137">
        <f t="shared" si="6"/>
        <v>3408523.0596424318</v>
      </c>
      <c r="J49" s="137">
        <f t="shared" si="7"/>
        <v>274300.35003466578</v>
      </c>
      <c r="K49" s="137">
        <f t="shared" si="8"/>
        <v>170589.66125632499</v>
      </c>
      <c r="L49" s="137">
        <f t="shared" si="9"/>
        <v>237362.2396674905</v>
      </c>
      <c r="M49" s="135">
        <f t="shared" ref="M49:M59" si="10">SUM(C49:L49)</f>
        <v>19604465.664565124</v>
      </c>
    </row>
    <row r="50" spans="1:13">
      <c r="A50" s="379">
        <f t="shared" si="0"/>
        <v>26</v>
      </c>
      <c r="B50" s="744" t="s">
        <v>746</v>
      </c>
      <c r="C50" s="137">
        <f>C14*$C$32/12</f>
        <v>0</v>
      </c>
      <c r="D50" s="137">
        <f t="shared" si="1"/>
        <v>229529.48704289136</v>
      </c>
      <c r="E50" s="137">
        <f t="shared" si="2"/>
        <v>1154974.6665647</v>
      </c>
      <c r="F50" s="137">
        <f t="shared" si="3"/>
        <v>8089950.9341017762</v>
      </c>
      <c r="G50" s="137">
        <f t="shared" si="4"/>
        <v>5195980.8928478733</v>
      </c>
      <c r="H50" s="137">
        <f t="shared" si="5"/>
        <v>866504.70793338481</v>
      </c>
      <c r="I50" s="137">
        <f t="shared" si="6"/>
        <v>3410411.7171179526</v>
      </c>
      <c r="J50" s="137">
        <f t="shared" si="7"/>
        <v>274405.87899591471</v>
      </c>
      <c r="K50" s="137">
        <f t="shared" si="8"/>
        <v>170612.61347459126</v>
      </c>
      <c r="L50" s="137">
        <f t="shared" si="9"/>
        <v>237424.12041878572</v>
      </c>
      <c r="M50" s="135">
        <f t="shared" si="10"/>
        <v>19629795.018497873</v>
      </c>
    </row>
    <row r="51" spans="1:13">
      <c r="A51" s="379">
        <f t="shared" si="0"/>
        <v>27</v>
      </c>
      <c r="B51" s="744" t="s">
        <v>747</v>
      </c>
      <c r="C51" s="137">
        <f>C15*$C$33/12</f>
        <v>0</v>
      </c>
      <c r="D51" s="137">
        <f t="shared" si="1"/>
        <v>229577.10504558033</v>
      </c>
      <c r="E51" s="137">
        <f t="shared" si="2"/>
        <v>1160812.6372969327</v>
      </c>
      <c r="F51" s="137">
        <f t="shared" si="3"/>
        <v>8110167.450702901</v>
      </c>
      <c r="G51" s="137">
        <f t="shared" si="4"/>
        <v>5196348.218483272</v>
      </c>
      <c r="H51" s="137">
        <f t="shared" si="5"/>
        <v>873176.29629049858</v>
      </c>
      <c r="I51" s="137">
        <f t="shared" si="6"/>
        <v>3416809.7437143554</v>
      </c>
      <c r="J51" s="137">
        <f t="shared" si="7"/>
        <v>274522.28522833536</v>
      </c>
      <c r="K51" s="137">
        <f t="shared" si="8"/>
        <v>168217.71237185047</v>
      </c>
      <c r="L51" s="137">
        <f t="shared" si="9"/>
        <v>237512.45887061305</v>
      </c>
      <c r="M51" s="135">
        <f t="shared" si="10"/>
        <v>19667143.90800434</v>
      </c>
    </row>
    <row r="52" spans="1:13">
      <c r="A52" s="379">
        <f t="shared" si="0"/>
        <v>28</v>
      </c>
      <c r="B52" s="744" t="s">
        <v>748</v>
      </c>
      <c r="C52" s="137">
        <f>C16*$C$34/12</f>
        <v>0</v>
      </c>
      <c r="D52" s="137">
        <f t="shared" si="1"/>
        <v>229575.18342955693</v>
      </c>
      <c r="E52" s="137">
        <f t="shared" si="2"/>
        <v>1166908.585519335</v>
      </c>
      <c r="F52" s="137">
        <f t="shared" si="3"/>
        <v>8121643.7648584368</v>
      </c>
      <c r="G52" s="137">
        <f t="shared" si="4"/>
        <v>5196718.3952395888</v>
      </c>
      <c r="H52" s="137">
        <f t="shared" si="5"/>
        <v>876081.97119414562</v>
      </c>
      <c r="I52" s="137">
        <f t="shared" si="6"/>
        <v>3415186.5042879321</v>
      </c>
      <c r="J52" s="137">
        <f t="shared" si="7"/>
        <v>274698.20615869813</v>
      </c>
      <c r="K52" s="137">
        <f t="shared" si="8"/>
        <v>168336.77243864405</v>
      </c>
      <c r="L52" s="137">
        <f t="shared" si="9"/>
        <v>237448.63437699559</v>
      </c>
      <c r="M52" s="135">
        <f t="shared" si="10"/>
        <v>19686598.017503336</v>
      </c>
    </row>
    <row r="53" spans="1:13">
      <c r="A53" s="379">
        <f t="shared" si="0"/>
        <v>29</v>
      </c>
      <c r="B53" s="744" t="s">
        <v>749</v>
      </c>
      <c r="C53" s="137">
        <f>C17*$C$35/12</f>
        <v>0</v>
      </c>
      <c r="D53" s="137">
        <f t="shared" si="1"/>
        <v>229586.7911107009</v>
      </c>
      <c r="E53" s="137">
        <f t="shared" si="2"/>
        <v>1166000.8142918048</v>
      </c>
      <c r="F53" s="137">
        <f t="shared" si="3"/>
        <v>8126616.8510864414</v>
      </c>
      <c r="G53" s="137">
        <f t="shared" si="4"/>
        <v>5196835.0402248604</v>
      </c>
      <c r="H53" s="137">
        <f t="shared" si="5"/>
        <v>877882.02233097702</v>
      </c>
      <c r="I53" s="137">
        <f t="shared" si="6"/>
        <v>3430218.4214308518</v>
      </c>
      <c r="J53" s="137">
        <f t="shared" si="7"/>
        <v>274804.03538855287</v>
      </c>
      <c r="K53" s="137">
        <f t="shared" si="8"/>
        <v>168409.64092966029</v>
      </c>
      <c r="L53" s="137">
        <f t="shared" si="9"/>
        <v>237470.56118480905</v>
      </c>
      <c r="M53" s="135">
        <f t="shared" si="10"/>
        <v>19707824.177978657</v>
      </c>
    </row>
    <row r="54" spans="1:13">
      <c r="A54" s="379">
        <f t="shared" si="0"/>
        <v>30</v>
      </c>
      <c r="B54" s="744" t="s">
        <v>750</v>
      </c>
      <c r="C54" s="137">
        <f>C18*$C$36/12</f>
        <v>0</v>
      </c>
      <c r="D54" s="137">
        <f t="shared" si="1"/>
        <v>229854.63390516257</v>
      </c>
      <c r="E54" s="137">
        <f t="shared" si="2"/>
        <v>1176473.8109087783</v>
      </c>
      <c r="F54" s="137">
        <f t="shared" si="3"/>
        <v>8151373.2958985558</v>
      </c>
      <c r="G54" s="137">
        <f t="shared" si="4"/>
        <v>5197278.818942247</v>
      </c>
      <c r="H54" s="137">
        <f t="shared" si="5"/>
        <v>879851.10810033791</v>
      </c>
      <c r="I54" s="137">
        <f t="shared" si="6"/>
        <v>3432586.5335420258</v>
      </c>
      <c r="J54" s="137">
        <f t="shared" si="7"/>
        <v>274870.59430640721</v>
      </c>
      <c r="K54" s="137">
        <f t="shared" si="8"/>
        <v>168455.11794118476</v>
      </c>
      <c r="L54" s="137">
        <f t="shared" si="9"/>
        <v>237714.67781214579</v>
      </c>
      <c r="M54" s="135">
        <f t="shared" si="10"/>
        <v>19748458.591356844</v>
      </c>
    </row>
    <row r="55" spans="1:13">
      <c r="A55" s="379">
        <f t="shared" si="0"/>
        <v>31</v>
      </c>
      <c r="B55" s="744" t="s">
        <v>751</v>
      </c>
      <c r="C55" s="137">
        <f>C19*$C$37/12</f>
        <v>0</v>
      </c>
      <c r="D55" s="137">
        <f t="shared" si="1"/>
        <v>229870.42795202683</v>
      </c>
      <c r="E55" s="137">
        <f t="shared" si="2"/>
        <v>1183094.9283262771</v>
      </c>
      <c r="F55" s="137">
        <f t="shared" si="3"/>
        <v>8158669.1065383181</v>
      </c>
      <c r="G55" s="137">
        <f t="shared" si="4"/>
        <v>5197380.0960130608</v>
      </c>
      <c r="H55" s="137">
        <f t="shared" si="5"/>
        <v>880501.06463831943</v>
      </c>
      <c r="I55" s="137">
        <f t="shared" si="6"/>
        <v>3436595.2515154709</v>
      </c>
      <c r="J55" s="137">
        <f t="shared" si="7"/>
        <v>274913.71844336111</v>
      </c>
      <c r="K55" s="137">
        <f t="shared" si="8"/>
        <v>168484.97580658065</v>
      </c>
      <c r="L55" s="137">
        <f t="shared" si="9"/>
        <v>237650.49836632109</v>
      </c>
      <c r="M55" s="135">
        <f t="shared" si="10"/>
        <v>19767160.067599736</v>
      </c>
    </row>
    <row r="56" spans="1:13">
      <c r="A56" s="379">
        <f t="shared" si="0"/>
        <v>32</v>
      </c>
      <c r="B56" s="744" t="s">
        <v>752</v>
      </c>
      <c r="C56" s="137">
        <f>C20*$C$38/12</f>
        <v>0</v>
      </c>
      <c r="D56" s="137">
        <f t="shared" si="1"/>
        <v>229880.74686912016</v>
      </c>
      <c r="E56" s="137">
        <f t="shared" si="2"/>
        <v>1199866.7813323096</v>
      </c>
      <c r="F56" s="137">
        <f t="shared" si="3"/>
        <v>8178412.4111254886</v>
      </c>
      <c r="G56" s="137">
        <f t="shared" si="4"/>
        <v>5197326.2277798494</v>
      </c>
      <c r="H56" s="137">
        <f t="shared" si="5"/>
        <v>903536.97267999139</v>
      </c>
      <c r="I56" s="137">
        <f t="shared" si="6"/>
        <v>3478527.4881438385</v>
      </c>
      <c r="J56" s="137">
        <f t="shared" si="7"/>
        <v>274945.67273113673</v>
      </c>
      <c r="K56" s="137">
        <f t="shared" si="8"/>
        <v>168507.00390904091</v>
      </c>
      <c r="L56" s="137">
        <f t="shared" si="9"/>
        <v>237738.55156343218</v>
      </c>
      <c r="M56" s="135">
        <f t="shared" si="10"/>
        <v>19868741.856134202</v>
      </c>
    </row>
    <row r="57" spans="1:13">
      <c r="A57" s="379">
        <f t="shared" si="0"/>
        <v>33</v>
      </c>
      <c r="B57" s="744" t="s">
        <v>753</v>
      </c>
      <c r="C57" s="137">
        <f>C21*$C$39/12</f>
        <v>0</v>
      </c>
      <c r="D57" s="137">
        <f t="shared" si="1"/>
        <v>229871.85963046385</v>
      </c>
      <c r="E57" s="137">
        <f t="shared" si="2"/>
        <v>1213804.0371181243</v>
      </c>
      <c r="F57" s="137">
        <f t="shared" si="3"/>
        <v>8180583.161207784</v>
      </c>
      <c r="G57" s="137">
        <f t="shared" si="4"/>
        <v>5197349.2006794633</v>
      </c>
      <c r="H57" s="137">
        <f t="shared" si="5"/>
        <v>907079.38014083763</v>
      </c>
      <c r="I57" s="137">
        <f t="shared" si="6"/>
        <v>3482938.9333737004</v>
      </c>
      <c r="J57" s="137">
        <f t="shared" si="7"/>
        <v>275043.77757696941</v>
      </c>
      <c r="K57" s="137">
        <f t="shared" si="8"/>
        <v>168573.27872127455</v>
      </c>
      <c r="L57" s="137">
        <f t="shared" si="9"/>
        <v>237766.81282828457</v>
      </c>
      <c r="M57" s="135">
        <f t="shared" si="10"/>
        <v>19893010.441276897</v>
      </c>
    </row>
    <row r="58" spans="1:13">
      <c r="A58" s="379">
        <f t="shared" si="0"/>
        <v>34</v>
      </c>
      <c r="B58" s="744" t="s">
        <v>754</v>
      </c>
      <c r="C58" s="137">
        <f>C22*$C$40/12</f>
        <v>0</v>
      </c>
      <c r="D58" s="137">
        <f t="shared" si="1"/>
        <v>229888.38555478808</v>
      </c>
      <c r="E58" s="137">
        <f t="shared" si="2"/>
        <v>1220372.7419277532</v>
      </c>
      <c r="F58" s="137">
        <f t="shared" si="3"/>
        <v>8170236.4406958194</v>
      </c>
      <c r="G58" s="137">
        <f t="shared" si="4"/>
        <v>5197412.8004973922</v>
      </c>
      <c r="H58" s="137">
        <f t="shared" si="5"/>
        <v>910278.2241266924</v>
      </c>
      <c r="I58" s="137">
        <f t="shared" si="6"/>
        <v>3489057.4071944221</v>
      </c>
      <c r="J58" s="137">
        <f t="shared" si="7"/>
        <v>275115.18044046737</v>
      </c>
      <c r="K58" s="137">
        <f t="shared" si="8"/>
        <v>168623.27031979951</v>
      </c>
      <c r="L58" s="137">
        <f t="shared" si="9"/>
        <v>238544.65791449949</v>
      </c>
      <c r="M58" s="135">
        <f t="shared" si="10"/>
        <v>19899529.108671635</v>
      </c>
    </row>
    <row r="59" spans="1:13">
      <c r="A59" s="379">
        <f t="shared" si="0"/>
        <v>35</v>
      </c>
      <c r="B59" s="744" t="s">
        <v>755</v>
      </c>
      <c r="C59" s="137">
        <f>C23*$C$41/12</f>
        <v>0</v>
      </c>
      <c r="D59" s="137">
        <f t="shared" si="1"/>
        <v>229949.63583872563</v>
      </c>
      <c r="E59" s="137">
        <f t="shared" si="2"/>
        <v>1225336.6970150215</v>
      </c>
      <c r="F59" s="137">
        <f t="shared" si="3"/>
        <v>8184854.1916372078</v>
      </c>
      <c r="G59" s="137">
        <f t="shared" si="4"/>
        <v>5197320.0201278189</v>
      </c>
      <c r="H59" s="137">
        <f t="shared" si="5"/>
        <v>913091.64745389635</v>
      </c>
      <c r="I59" s="137">
        <f t="shared" si="6"/>
        <v>3491655.7252782653</v>
      </c>
      <c r="J59" s="137">
        <f t="shared" si="7"/>
        <v>275150.04121498455</v>
      </c>
      <c r="K59" s="137">
        <f t="shared" si="8"/>
        <v>168643.42717413834</v>
      </c>
      <c r="L59" s="137">
        <f t="shared" si="9"/>
        <v>238750.29317852631</v>
      </c>
      <c r="M59" s="55">
        <f t="shared" si="10"/>
        <v>19924751.678918585</v>
      </c>
    </row>
    <row r="60" spans="1:13">
      <c r="A60" s="379">
        <f t="shared" si="0"/>
        <v>36</v>
      </c>
      <c r="B60" s="134" t="s">
        <v>406</v>
      </c>
      <c r="C60" s="135">
        <f>SUM(C48:C59)</f>
        <v>0</v>
      </c>
      <c r="D60" s="135">
        <f t="shared" ref="D60:K60" si="11">SUM(D48:D59)</f>
        <v>2756575.2944878512</v>
      </c>
      <c r="E60" s="135">
        <f t="shared" si="11"/>
        <v>14161224.528892267</v>
      </c>
      <c r="F60" s="135">
        <f t="shared" si="11"/>
        <v>97616868.503875062</v>
      </c>
      <c r="G60" s="135">
        <f t="shared" si="11"/>
        <v>62359727.195196934</v>
      </c>
      <c r="H60" s="135">
        <f>SUM(H48:H59)</f>
        <v>10614784.73871919</v>
      </c>
      <c r="I60" s="135">
        <f t="shared" si="11"/>
        <v>41256531.737468831</v>
      </c>
      <c r="J60" s="135">
        <f t="shared" si="11"/>
        <v>3297007.1617638115</v>
      </c>
      <c r="K60" s="135">
        <f t="shared" si="11"/>
        <v>2028001.8920521557</v>
      </c>
      <c r="L60" s="135">
        <f>SUM(L48:L59)</f>
        <v>2852764.7230767389</v>
      </c>
      <c r="M60" s="5"/>
    </row>
    <row r="61" spans="1:13">
      <c r="A61" s="379">
        <f t="shared" si="0"/>
        <v>37</v>
      </c>
      <c r="B61" s="133"/>
      <c r="C61" s="133"/>
      <c r="D61" s="133"/>
      <c r="E61" s="133"/>
      <c r="F61" s="133"/>
      <c r="G61" s="133"/>
      <c r="H61" s="133"/>
      <c r="I61" s="133"/>
      <c r="J61" s="133"/>
      <c r="K61" s="133"/>
      <c r="L61" s="296" t="s">
        <v>1475</v>
      </c>
      <c r="M61" s="135">
        <f>SUM(M48:M59)</f>
        <v>236943485.77553284</v>
      </c>
    </row>
    <row r="62" spans="1:13">
      <c r="A62" s="379">
        <f t="shared" si="0"/>
        <v>38</v>
      </c>
      <c r="B62" s="133"/>
      <c r="C62" s="133"/>
      <c r="D62" s="133"/>
      <c r="E62" s="133"/>
      <c r="F62" s="133"/>
      <c r="G62" s="133"/>
      <c r="H62" s="133"/>
      <c r="I62" s="133"/>
      <c r="J62" s="133"/>
      <c r="K62" s="133"/>
      <c r="L62" s="531" t="s">
        <v>1476</v>
      </c>
      <c r="M62" s="133"/>
    </row>
    <row r="63" spans="1:13">
      <c r="A63" s="379">
        <f t="shared" si="0"/>
        <v>39</v>
      </c>
      <c r="B63" s="1" t="s">
        <v>1477</v>
      </c>
      <c r="C63" s="133"/>
      <c r="D63" s="133"/>
      <c r="E63" s="133"/>
      <c r="F63" s="133"/>
      <c r="G63" s="133"/>
      <c r="H63" s="133"/>
      <c r="I63" s="133"/>
      <c r="J63" s="133"/>
      <c r="K63" s="133"/>
      <c r="L63" s="133"/>
      <c r="M63" s="133"/>
    </row>
    <row r="64" spans="1:13">
      <c r="A64" s="379">
        <f t="shared" si="0"/>
        <v>40</v>
      </c>
      <c r="B64" s="133"/>
      <c r="C64" s="133"/>
      <c r="D64" s="133"/>
      <c r="E64" s="133"/>
      <c r="F64" s="133"/>
      <c r="G64" s="133"/>
      <c r="H64" s="133"/>
      <c r="I64" s="133"/>
      <c r="J64" s="133"/>
      <c r="K64" s="133"/>
      <c r="L64" s="133"/>
      <c r="M64" s="133"/>
    </row>
    <row r="65" spans="1:13">
      <c r="A65" s="379">
        <f t="shared" si="0"/>
        <v>41</v>
      </c>
      <c r="B65" s="133"/>
      <c r="C65" s="133"/>
      <c r="D65" s="52">
        <v>360</v>
      </c>
      <c r="E65" s="52">
        <v>361</v>
      </c>
      <c r="F65" s="52">
        <v>362</v>
      </c>
      <c r="G65" s="133"/>
      <c r="H65" s="28" t="s">
        <v>763</v>
      </c>
      <c r="I65" s="2"/>
      <c r="J65" s="133"/>
      <c r="K65" s="133"/>
      <c r="L65" s="133"/>
      <c r="M65" s="133"/>
    </row>
    <row r="66" spans="1:13">
      <c r="A66" s="379">
        <f t="shared" si="0"/>
        <v>42</v>
      </c>
      <c r="B66" s="298" t="s">
        <v>1478</v>
      </c>
      <c r="C66" s="133"/>
      <c r="D66" s="137">
        <f>'6-PlantInService'!C34</f>
        <v>0</v>
      </c>
      <c r="E66" s="137">
        <f>'6-PlantInService'!D34</f>
        <v>0</v>
      </c>
      <c r="F66" s="137">
        <f>'6-PlantInService'!E34</f>
        <v>0</v>
      </c>
      <c r="G66" s="141"/>
      <c r="H66" s="300" t="s">
        <v>1479</v>
      </c>
      <c r="I66" s="297"/>
      <c r="J66" s="133"/>
      <c r="K66" s="133"/>
      <c r="L66" s="133"/>
      <c r="M66" s="133"/>
    </row>
    <row r="67" spans="1:13">
      <c r="A67" s="379">
        <f t="shared" si="0"/>
        <v>43</v>
      </c>
      <c r="B67" s="298" t="s">
        <v>1480</v>
      </c>
      <c r="C67" s="133"/>
      <c r="D67" s="286">
        <f>'6-PlantInService'!C35</f>
        <v>0</v>
      </c>
      <c r="E67" s="286">
        <f>'6-PlantInService'!D35</f>
        <v>0</v>
      </c>
      <c r="F67" s="286">
        <f>'6-PlantInService'!E35</f>
        <v>0</v>
      </c>
      <c r="G67" s="141"/>
      <c r="H67" s="300" t="s">
        <v>1481</v>
      </c>
      <c r="I67" s="141"/>
      <c r="J67" s="133"/>
      <c r="K67" s="133"/>
      <c r="L67" s="768"/>
      <c r="M67" s="133"/>
    </row>
    <row r="68" spans="1:13">
      <c r="A68" s="379">
        <f t="shared" si="0"/>
        <v>44</v>
      </c>
      <c r="B68" s="298" t="s">
        <v>1482</v>
      </c>
      <c r="C68" s="133"/>
      <c r="D68" s="137">
        <f>AVERAGE(D66:D67)</f>
        <v>0</v>
      </c>
      <c r="E68" s="137">
        <f>AVERAGE(E66:E67)</f>
        <v>0</v>
      </c>
      <c r="F68" s="137">
        <f>AVERAGE(F66:F67)</f>
        <v>0</v>
      </c>
      <c r="G68" s="141"/>
      <c r="H68" s="701"/>
      <c r="I68" s="302"/>
      <c r="J68" s="133"/>
      <c r="K68" s="133"/>
      <c r="L68" s="768"/>
      <c r="M68" s="133"/>
    </row>
    <row r="69" spans="1:13">
      <c r="A69" s="379">
        <f t="shared" si="0"/>
        <v>45</v>
      </c>
      <c r="B69" s="768"/>
      <c r="C69" s="768"/>
      <c r="D69" s="10"/>
      <c r="E69" s="10"/>
      <c r="F69" s="10"/>
      <c r="G69" s="10"/>
      <c r="H69" s="10"/>
      <c r="I69" s="768"/>
      <c r="J69" s="133"/>
      <c r="K69" s="133"/>
      <c r="L69" s="768"/>
      <c r="M69" s="133"/>
    </row>
    <row r="70" spans="1:13">
      <c r="A70" s="379">
        <f t="shared" si="0"/>
        <v>46</v>
      </c>
      <c r="B70" s="439" t="s">
        <v>1483</v>
      </c>
      <c r="C70" s="133"/>
      <c r="D70" s="141"/>
      <c r="E70" s="141"/>
      <c r="F70" s="10"/>
      <c r="G70" s="10"/>
      <c r="H70" s="10"/>
      <c r="I70" s="768"/>
      <c r="J70" s="141"/>
      <c r="K70" s="141"/>
      <c r="L70" s="137"/>
      <c r="M70" s="133"/>
    </row>
    <row r="71" spans="1:13">
      <c r="A71" s="379">
        <f t="shared" si="0"/>
        <v>47</v>
      </c>
      <c r="B71" s="133"/>
      <c r="C71" s="768"/>
      <c r="D71" s="200">
        <v>360</v>
      </c>
      <c r="E71" s="200">
        <v>361</v>
      </c>
      <c r="F71" s="200">
        <v>362</v>
      </c>
      <c r="G71" s="10"/>
      <c r="H71" s="10"/>
      <c r="I71" s="768"/>
      <c r="J71" s="141"/>
      <c r="K71" s="141"/>
      <c r="L71" s="137"/>
      <c r="M71" s="133"/>
    </row>
    <row r="72" spans="1:13">
      <c r="A72" s="379">
        <f t="shared" si="0"/>
        <v>48</v>
      </c>
      <c r="B72" s="768"/>
      <c r="C72" s="768"/>
      <c r="D72" s="142">
        <f>'18-DepRates'!$G20</f>
        <v>1.67E-2</v>
      </c>
      <c r="E72" s="142">
        <f>'18-DepRates'!$G21</f>
        <v>2.3900000000000001E-2</v>
      </c>
      <c r="F72" s="142">
        <f>'18-DepRates'!$G22</f>
        <v>2.01E-2</v>
      </c>
      <c r="G72" s="10"/>
      <c r="H72" s="10"/>
      <c r="I72" s="768"/>
      <c r="J72" s="141"/>
      <c r="K72" s="141"/>
      <c r="L72" s="137"/>
      <c r="M72" s="133"/>
    </row>
    <row r="73" spans="1:13">
      <c r="A73" s="379">
        <f t="shared" si="0"/>
        <v>49</v>
      </c>
      <c r="B73" s="768"/>
      <c r="C73" s="768"/>
      <c r="D73" s="10"/>
      <c r="E73" s="10"/>
      <c r="F73" s="10"/>
      <c r="G73" s="10"/>
      <c r="H73" s="10"/>
      <c r="I73" s="768"/>
      <c r="J73" s="141"/>
      <c r="K73" s="141"/>
      <c r="L73" s="65"/>
      <c r="M73" s="133"/>
    </row>
    <row r="74" spans="1:13">
      <c r="A74" s="379">
        <f t="shared" si="0"/>
        <v>50</v>
      </c>
      <c r="B74" s="768" t="s">
        <v>1484</v>
      </c>
      <c r="C74" s="768"/>
      <c r="D74" s="10"/>
      <c r="E74" s="10"/>
      <c r="F74" s="300" t="s">
        <v>1485</v>
      </c>
      <c r="G74" s="10"/>
      <c r="H74" s="10"/>
      <c r="I74" s="768"/>
      <c r="J74" s="141"/>
      <c r="K74" s="141"/>
      <c r="L74" s="142"/>
      <c r="M74" s="133"/>
    </row>
    <row r="75" spans="1:13">
      <c r="A75" s="379">
        <f t="shared" si="0"/>
        <v>51</v>
      </c>
      <c r="B75" s="768"/>
      <c r="C75" s="768"/>
      <c r="D75" s="768"/>
      <c r="E75" s="768"/>
      <c r="F75" s="768"/>
      <c r="G75" s="768"/>
      <c r="H75" s="768"/>
      <c r="I75" s="768"/>
      <c r="J75" s="141"/>
      <c r="K75" s="141"/>
      <c r="L75" s="142"/>
      <c r="M75" s="133"/>
    </row>
    <row r="76" spans="1:13">
      <c r="A76" s="379">
        <f t="shared" si="0"/>
        <v>52</v>
      </c>
      <c r="B76" s="768"/>
      <c r="C76" s="768"/>
      <c r="D76" s="52">
        <v>360</v>
      </c>
      <c r="E76" s="52">
        <v>361</v>
      </c>
      <c r="F76" s="52">
        <v>362</v>
      </c>
      <c r="G76" s="207" t="s">
        <v>388</v>
      </c>
      <c r="H76" s="768"/>
      <c r="I76" s="768"/>
      <c r="J76" s="141"/>
      <c r="K76" s="141"/>
      <c r="L76" s="142"/>
      <c r="M76" s="133"/>
    </row>
    <row r="77" spans="1:13">
      <c r="A77" s="379">
        <f t="shared" ref="A77:A90" si="12">A76+1</f>
        <v>53</v>
      </c>
      <c r="B77" s="768"/>
      <c r="C77" s="768"/>
      <c r="D77" s="5">
        <f xml:space="preserve"> D68*D72</f>
        <v>0</v>
      </c>
      <c r="E77" s="5">
        <f xml:space="preserve"> E68*E72</f>
        <v>0</v>
      </c>
      <c r="F77" s="5">
        <f xml:space="preserve"> F68*F72</f>
        <v>0</v>
      </c>
      <c r="G77" s="5">
        <f>SUM(D77:F77)</f>
        <v>0</v>
      </c>
      <c r="H77" s="11" t="s">
        <v>1486</v>
      </c>
      <c r="I77" s="768"/>
      <c r="J77" s="141"/>
      <c r="K77" s="141"/>
      <c r="L77" s="137"/>
      <c r="M77" s="133"/>
    </row>
    <row r="78" spans="1:13">
      <c r="A78" s="379">
        <f t="shared" si="12"/>
        <v>54</v>
      </c>
      <c r="B78" s="768"/>
      <c r="C78" s="768"/>
      <c r="D78" s="768"/>
      <c r="E78" s="768"/>
      <c r="F78" s="768"/>
      <c r="G78" s="768"/>
      <c r="H78" s="11" t="s">
        <v>1487</v>
      </c>
      <c r="I78" s="768"/>
      <c r="J78" s="141"/>
      <c r="K78" s="141"/>
      <c r="L78" s="141"/>
      <c r="M78" s="133"/>
    </row>
    <row r="79" spans="1:13">
      <c r="A79" s="379">
        <f t="shared" si="12"/>
        <v>55</v>
      </c>
      <c r="B79" s="768"/>
      <c r="C79" s="768"/>
      <c r="D79" s="768"/>
      <c r="E79" s="768"/>
      <c r="F79" s="768"/>
      <c r="G79" s="768"/>
      <c r="H79" s="768"/>
      <c r="I79" s="768"/>
      <c r="J79" s="141"/>
      <c r="K79" s="141"/>
      <c r="L79" s="141"/>
      <c r="M79" s="133"/>
    </row>
    <row r="80" spans="1:13">
      <c r="A80" s="379">
        <f t="shared" si="12"/>
        <v>56</v>
      </c>
      <c r="B80" s="1" t="s">
        <v>1488</v>
      </c>
      <c r="C80" s="768"/>
      <c r="D80" s="768"/>
      <c r="E80" s="768"/>
      <c r="F80" s="768"/>
      <c r="G80" s="768"/>
      <c r="H80" s="768"/>
      <c r="I80" s="768"/>
      <c r="J80" s="141"/>
      <c r="K80" s="141"/>
      <c r="L80" s="141"/>
      <c r="M80" s="133"/>
    </row>
    <row r="81" spans="1:13">
      <c r="A81" s="379">
        <f t="shared" si="12"/>
        <v>57</v>
      </c>
      <c r="B81" s="133"/>
      <c r="C81" s="133"/>
      <c r="D81" s="133"/>
      <c r="E81" s="133"/>
      <c r="F81" s="133"/>
      <c r="G81" s="133"/>
      <c r="H81" s="133"/>
      <c r="I81" s="133"/>
      <c r="J81" s="133"/>
      <c r="K81" s="133"/>
      <c r="L81" s="133"/>
      <c r="M81" s="133"/>
    </row>
    <row r="82" spans="1:13">
      <c r="A82" s="379">
        <f t="shared" si="12"/>
        <v>58</v>
      </c>
      <c r="B82" s="362" t="s">
        <v>1489</v>
      </c>
      <c r="C82" s="133"/>
      <c r="D82" s="133"/>
      <c r="E82" s="133"/>
      <c r="F82" s="133"/>
      <c r="G82" s="133"/>
      <c r="H82" s="208">
        <v>243387703</v>
      </c>
      <c r="I82" s="302" t="s">
        <v>1490</v>
      </c>
      <c r="J82" s="133"/>
      <c r="K82" s="133"/>
      <c r="L82" s="133"/>
      <c r="M82" s="133"/>
    </row>
    <row r="83" spans="1:13">
      <c r="A83" s="379">
        <f t="shared" si="12"/>
        <v>59</v>
      </c>
      <c r="B83" s="298" t="s">
        <v>1491</v>
      </c>
      <c r="C83" s="133"/>
      <c r="D83" s="133"/>
      <c r="E83" s="133"/>
      <c r="F83" s="133"/>
      <c r="G83" s="133"/>
      <c r="H83" s="61">
        <v>205114641</v>
      </c>
      <c r="I83" s="302" t="s">
        <v>1492</v>
      </c>
      <c r="J83" s="133"/>
      <c r="K83" s="133"/>
      <c r="L83" s="133"/>
      <c r="M83" s="133"/>
    </row>
    <row r="84" spans="1:13">
      <c r="A84" s="379">
        <f t="shared" si="12"/>
        <v>60</v>
      </c>
      <c r="B84" s="362" t="s">
        <v>1493</v>
      </c>
      <c r="C84" s="133"/>
      <c r="D84" s="133"/>
      <c r="E84" s="133"/>
      <c r="F84" s="133"/>
      <c r="G84" s="133"/>
      <c r="H84" s="135">
        <f>SUM(H82:H83)</f>
        <v>448502344</v>
      </c>
      <c r="I84" s="297" t="str">
        <f>"Line "&amp;A82&amp;" + Line "&amp;A83&amp;""</f>
        <v>Line 58 + Line 59</v>
      </c>
      <c r="J84" s="141"/>
      <c r="K84" s="133"/>
      <c r="L84" s="133"/>
      <c r="M84" s="133"/>
    </row>
    <row r="85" spans="1:13">
      <c r="A85" s="379">
        <f t="shared" si="12"/>
        <v>61</v>
      </c>
      <c r="B85" s="362" t="s">
        <v>148</v>
      </c>
      <c r="C85" s="133"/>
      <c r="D85" s="133"/>
      <c r="E85" s="133"/>
      <c r="F85" s="133"/>
      <c r="G85" s="133"/>
      <c r="H85" s="148">
        <f>'27-Allocators'!G14</f>
        <v>5.9033379723389116E-2</v>
      </c>
      <c r="I85" s="67" t="str">
        <f>"27-Allocators, Line "&amp;'27-Allocators'!A14&amp;""</f>
        <v>27-Allocators, Line 9</v>
      </c>
      <c r="J85" s="141"/>
      <c r="K85" s="133"/>
      <c r="L85" s="133"/>
      <c r="M85" s="133"/>
    </row>
    <row r="86" spans="1:13">
      <c r="A86" s="379">
        <f t="shared" si="12"/>
        <v>62</v>
      </c>
      <c r="B86" s="362" t="s">
        <v>1494</v>
      </c>
      <c r="C86" s="133"/>
      <c r="D86" s="133"/>
      <c r="E86" s="133"/>
      <c r="F86" s="133"/>
      <c r="G86" s="133"/>
      <c r="H86" s="135">
        <f>H84*H85</f>
        <v>26476609.180182092</v>
      </c>
      <c r="I86" s="297" t="str">
        <f>"Line "&amp;A84&amp;" * Line "&amp;A85&amp;""</f>
        <v>Line 60 * Line 61</v>
      </c>
      <c r="J86" s="141"/>
      <c r="K86" s="133"/>
      <c r="L86" s="133"/>
      <c r="M86" s="133"/>
    </row>
    <row r="87" spans="1:13">
      <c r="A87" s="379">
        <f t="shared" si="12"/>
        <v>63</v>
      </c>
      <c r="B87" s="362"/>
      <c r="C87" s="298"/>
      <c r="D87" s="133"/>
      <c r="E87" s="133"/>
      <c r="F87" s="133"/>
      <c r="G87" s="133"/>
      <c r="H87" s="133"/>
      <c r="I87" s="133"/>
      <c r="J87" s="133"/>
      <c r="K87" s="133"/>
      <c r="L87" s="133"/>
      <c r="M87" s="133"/>
    </row>
    <row r="88" spans="1:13">
      <c r="A88" s="379">
        <f t="shared" si="12"/>
        <v>64</v>
      </c>
      <c r="B88" s="51" t="s">
        <v>1495</v>
      </c>
      <c r="C88" s="133"/>
      <c r="D88" s="133"/>
      <c r="E88" s="133"/>
      <c r="F88" s="133"/>
      <c r="G88" s="133"/>
      <c r="H88" s="133"/>
      <c r="I88" s="133"/>
      <c r="J88" s="133"/>
      <c r="K88" s="133"/>
      <c r="L88" s="133"/>
      <c r="M88" s="133"/>
    </row>
    <row r="89" spans="1:13">
      <c r="A89" s="379">
        <f t="shared" si="12"/>
        <v>65</v>
      </c>
      <c r="B89" s="362"/>
      <c r="C89" s="298"/>
      <c r="D89" s="133"/>
      <c r="E89" s="133"/>
      <c r="F89" s="133"/>
      <c r="G89" s="133"/>
      <c r="H89" s="133"/>
      <c r="I89" s="133"/>
      <c r="J89" s="133"/>
      <c r="K89" s="133"/>
      <c r="L89" s="133"/>
      <c r="M89" s="133"/>
    </row>
    <row r="90" spans="1:13">
      <c r="A90" s="379">
        <f t="shared" si="12"/>
        <v>66</v>
      </c>
      <c r="B90" s="362" t="s">
        <v>1496</v>
      </c>
      <c r="C90" s="133"/>
      <c r="D90" s="133"/>
      <c r="E90" s="133"/>
      <c r="F90" s="2" t="s">
        <v>79</v>
      </c>
      <c r="G90" s="2" t="s">
        <v>763</v>
      </c>
      <c r="H90" s="133"/>
      <c r="I90" s="133"/>
      <c r="J90" s="768"/>
      <c r="K90" s="768"/>
      <c r="L90" s="768"/>
      <c r="M90" s="768"/>
    </row>
    <row r="91" spans="1:13">
      <c r="A91" s="379">
        <f>A90+1</f>
        <v>67</v>
      </c>
      <c r="B91" s="302" t="s">
        <v>1497</v>
      </c>
      <c r="C91" s="133"/>
      <c r="D91" s="133"/>
      <c r="E91" s="133"/>
      <c r="F91" s="135">
        <f>M61</f>
        <v>236943485.77553284</v>
      </c>
      <c r="G91" s="302" t="str">
        <f>"Line "&amp;A61&amp;", Col 12"</f>
        <v>Line 37, Col 12</v>
      </c>
      <c r="H91" s="133"/>
      <c r="I91" s="133"/>
      <c r="J91" s="768"/>
      <c r="K91" s="768"/>
      <c r="L91" s="768"/>
      <c r="M91" s="768"/>
    </row>
    <row r="92" spans="1:13">
      <c r="A92" s="379">
        <f>A91+1</f>
        <v>68</v>
      </c>
      <c r="B92" s="302" t="s">
        <v>1498</v>
      </c>
      <c r="C92" s="133"/>
      <c r="D92" s="133"/>
      <c r="E92" s="133"/>
      <c r="F92" s="135">
        <f>G77</f>
        <v>0</v>
      </c>
      <c r="G92" s="302" t="str">
        <f>"Line "&amp;A77&amp;""</f>
        <v>Line 53</v>
      </c>
      <c r="H92" s="133"/>
      <c r="I92" s="133"/>
      <c r="J92" s="768"/>
      <c r="K92" s="768"/>
      <c r="L92" s="768"/>
      <c r="M92" s="768"/>
    </row>
    <row r="93" spans="1:13">
      <c r="A93" s="379">
        <f>A92+1</f>
        <v>69</v>
      </c>
      <c r="B93" s="302" t="s">
        <v>1499</v>
      </c>
      <c r="C93" s="133"/>
      <c r="D93" s="133"/>
      <c r="E93" s="133"/>
      <c r="F93" s="55">
        <f>H86</f>
        <v>26476609.180182092</v>
      </c>
      <c r="G93" s="302" t="str">
        <f>"Line "&amp;A86&amp;""</f>
        <v>Line 62</v>
      </c>
      <c r="H93" s="133"/>
      <c r="I93" s="133"/>
      <c r="J93" s="768"/>
      <c r="K93" s="768"/>
      <c r="L93" s="768"/>
      <c r="M93" s="768"/>
    </row>
    <row r="94" spans="1:13">
      <c r="A94" s="379">
        <f>A93+1</f>
        <v>70</v>
      </c>
      <c r="B94" s="133"/>
      <c r="C94" s="133"/>
      <c r="D94" s="133"/>
      <c r="E94" s="134" t="s">
        <v>1500</v>
      </c>
      <c r="F94" s="135">
        <f>SUM(F91:F93)</f>
        <v>263420094.95571494</v>
      </c>
      <c r="G94" s="302" t="str">
        <f>"Line "&amp;A91&amp;" + Line "&amp;A92&amp;" + Line "&amp;A93&amp;""</f>
        <v>Line 67 + Line 68 + Line 69</v>
      </c>
      <c r="H94" s="133"/>
      <c r="I94" s="133"/>
      <c r="J94" s="768"/>
      <c r="K94" s="768"/>
      <c r="L94" s="768"/>
      <c r="M94" s="768"/>
    </row>
    <row r="95" spans="1:13">
      <c r="A95" s="133"/>
      <c r="B95" s="1" t="s">
        <v>226</v>
      </c>
      <c r="C95" s="133"/>
      <c r="D95" s="133"/>
      <c r="E95" s="133"/>
      <c r="F95" s="133"/>
      <c r="G95" s="133"/>
      <c r="H95" s="133"/>
      <c r="I95" s="133"/>
      <c r="J95" s="768"/>
      <c r="K95" s="768"/>
      <c r="L95" s="768"/>
      <c r="M95" s="768"/>
    </row>
    <row r="96" spans="1:13">
      <c r="A96" s="133"/>
      <c r="B96" s="298" t="s">
        <v>1501</v>
      </c>
      <c r="C96" s="133"/>
      <c r="D96" s="133"/>
      <c r="E96" s="133"/>
      <c r="F96" s="133"/>
      <c r="G96" s="133"/>
      <c r="H96" s="133"/>
      <c r="I96" s="133"/>
      <c r="J96" s="768"/>
      <c r="K96" s="768"/>
      <c r="L96" s="768"/>
      <c r="M96" s="768"/>
    </row>
    <row r="97" spans="1:10">
      <c r="A97" s="133"/>
      <c r="B97" s="300" t="str">
        <f>"same account, times the Monthly Depreciation Rate for that account.  Monthly rate = annual rates on Line "&amp;A29&amp;" etc. divided by 12."</f>
        <v>same account, times the Monthly Depreciation Rate for that account.  Monthly rate = annual rates on Line 17a etc. divided by 12.</v>
      </c>
      <c r="C97" s="141"/>
      <c r="D97" s="141"/>
      <c r="E97" s="141"/>
      <c r="F97" s="141"/>
      <c r="G97" s="141"/>
      <c r="H97" s="141"/>
      <c r="I97" s="141"/>
      <c r="J97" s="10"/>
    </row>
    <row r="98" spans="1:10">
      <c r="A98" s="133"/>
      <c r="B98" s="300" t="str">
        <f>"2) Depreciation Expense for each account is equal to the Average BOY/EOY value on Line "&amp;A68&amp;" times the"</f>
        <v>2) Depreciation Expense for each account is equal to the Average BOY/EOY value on Line 44 times the</v>
      </c>
      <c r="C98" s="141"/>
      <c r="D98" s="141"/>
      <c r="E98" s="141"/>
      <c r="F98" s="141"/>
      <c r="G98" s="141"/>
      <c r="H98" s="141"/>
      <c r="I98" s="141"/>
      <c r="J98" s="10"/>
    </row>
    <row r="99" spans="1:10">
      <c r="A99" s="768"/>
      <c r="B99" s="300" t="str">
        <f>"Depreciation Rate on Line "&amp;A72&amp;"."</f>
        <v>Depreciation Rate on Line 48.</v>
      </c>
      <c r="C99" s="10"/>
      <c r="D99" s="10"/>
      <c r="E99" s="10"/>
      <c r="F99" s="10"/>
      <c r="G99" s="10"/>
      <c r="H99" s="10"/>
      <c r="I99" s="10"/>
      <c r="J99" s="10"/>
    </row>
    <row r="100" spans="1:10">
      <c r="A100" s="768"/>
      <c r="B100" s="25" t="s">
        <v>408</v>
      </c>
      <c r="C100" s="10"/>
      <c r="D100" s="10"/>
      <c r="E100" s="10"/>
      <c r="F100" s="10"/>
      <c r="G100" s="10"/>
      <c r="H100" s="10"/>
      <c r="I100" s="10"/>
      <c r="J100" s="10"/>
    </row>
    <row r="101" spans="1:10">
      <c r="A101" s="768"/>
      <c r="B101" s="298" t="s">
        <v>1502</v>
      </c>
      <c r="C101" s="10"/>
      <c r="D101" s="10"/>
      <c r="E101" s="10"/>
      <c r="F101" s="10"/>
      <c r="G101" s="10"/>
      <c r="H101" s="10"/>
      <c r="I101" s="10"/>
      <c r="J101" s="10"/>
    </row>
    <row r="102" spans="1:10">
      <c r="A102" s="768"/>
      <c r="B102" s="298" t="s">
        <v>1503</v>
      </c>
      <c r="C102" s="10"/>
      <c r="D102" s="10"/>
      <c r="E102" s="10"/>
      <c r="F102" s="10"/>
      <c r="G102" s="10"/>
      <c r="H102" s="10"/>
      <c r="I102" s="10"/>
      <c r="J102" s="10"/>
    </row>
    <row r="103" spans="1:10">
      <c r="A103" s="768"/>
      <c r="B103" s="300" t="s">
        <v>1504</v>
      </c>
      <c r="C103" s="10"/>
      <c r="D103" s="10"/>
      <c r="E103" s="10"/>
      <c r="F103" s="10"/>
      <c r="G103" s="10"/>
      <c r="H103" s="10"/>
      <c r="I103" s="10"/>
      <c r="J103" s="10"/>
    </row>
    <row r="104" spans="1:10">
      <c r="A104" s="768"/>
      <c r="B104" s="300"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0"/>
      <c r="D104" s="10"/>
      <c r="E104" s="10"/>
      <c r="F104" s="10"/>
      <c r="G104" s="10"/>
      <c r="H104" s="10"/>
      <c r="I104" s="10"/>
      <c r="J104" s="10"/>
    </row>
  </sheetData>
  <pageMargins left="0.7" right="0.7" top="0.75" bottom="0.75" header="0.3" footer="0.3"/>
  <pageSetup scale="63" orientation="landscape" cellComments="asDisplayed" r:id="rId1"/>
  <headerFooter>
    <oddHeader>&amp;CSchedule 17
Depreciation Expense
&amp;RTO2020 Draft Annual Update 
Attachment1</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66"/>
  <sheetViews>
    <sheetView zoomScaleNormal="100" workbookViewId="0"/>
  </sheetViews>
  <sheetFormatPr defaultColWidth="8.85546875" defaultRowHeight="12.75"/>
  <cols>
    <col min="1" max="1" width="4.7109375" style="768" customWidth="1"/>
    <col min="2" max="3" width="8.85546875" style="768"/>
    <col min="4" max="4" width="38.7109375" style="768" customWidth="1"/>
    <col min="5" max="7" width="8.85546875" style="298"/>
    <col min="8" max="16384" width="8.85546875" style="768"/>
  </cols>
  <sheetData>
    <row r="1" spans="1:16">
      <c r="A1" s="227" t="s">
        <v>1505</v>
      </c>
      <c r="B1" s="298"/>
      <c r="C1" s="298"/>
      <c r="D1" s="298"/>
      <c r="P1" s="768" t="s">
        <v>1506</v>
      </c>
    </row>
    <row r="2" spans="1:16">
      <c r="A2" s="298"/>
      <c r="B2" s="298"/>
      <c r="C2" s="298"/>
      <c r="D2" s="298"/>
    </row>
    <row r="3" spans="1:16">
      <c r="A3" s="298"/>
      <c r="B3" s="227" t="s">
        <v>739</v>
      </c>
      <c r="C3" s="298"/>
      <c r="D3" s="298"/>
      <c r="E3" s="379" t="s">
        <v>771</v>
      </c>
      <c r="F3" s="379"/>
      <c r="G3" s="379"/>
    </row>
    <row r="4" spans="1:16">
      <c r="A4" s="298"/>
      <c r="B4" s="298"/>
      <c r="C4" s="136" t="s">
        <v>854</v>
      </c>
      <c r="D4" s="298"/>
      <c r="E4" s="379" t="s">
        <v>1507</v>
      </c>
      <c r="F4" s="3" t="s">
        <v>1414</v>
      </c>
      <c r="G4" s="3"/>
    </row>
    <row r="5" spans="1:16">
      <c r="A5" s="28" t="s">
        <v>243</v>
      </c>
      <c r="B5" s="298"/>
      <c r="C5" s="207" t="s">
        <v>816</v>
      </c>
      <c r="D5" s="207" t="s">
        <v>926</v>
      </c>
      <c r="E5" s="2" t="s">
        <v>1508</v>
      </c>
      <c r="F5" s="2" t="s">
        <v>1509</v>
      </c>
      <c r="G5" s="2" t="s">
        <v>388</v>
      </c>
    </row>
    <row r="6" spans="1:16" ht="15" customHeight="1">
      <c r="A6" s="379">
        <v>1</v>
      </c>
      <c r="B6" s="298"/>
      <c r="C6" s="531">
        <v>350.1</v>
      </c>
      <c r="D6" s="302" t="s">
        <v>1510</v>
      </c>
      <c r="E6" s="332">
        <v>0</v>
      </c>
      <c r="F6" s="332">
        <v>0</v>
      </c>
      <c r="G6" s="332">
        <v>0</v>
      </c>
    </row>
    <row r="7" spans="1:16" ht="15" customHeight="1">
      <c r="A7" s="379">
        <f>A6+1</f>
        <v>2</v>
      </c>
      <c r="B7" s="298"/>
      <c r="C7" s="531">
        <v>350.2</v>
      </c>
      <c r="D7" s="302" t="s">
        <v>1511</v>
      </c>
      <c r="E7" s="332">
        <v>1.67E-2</v>
      </c>
      <c r="F7" s="332">
        <v>0</v>
      </c>
      <c r="G7" s="332">
        <v>1.67E-2</v>
      </c>
    </row>
    <row r="8" spans="1:16">
      <c r="A8" s="379">
        <f t="shared" ref="A8:A16" si="0">A7+1</f>
        <v>3</v>
      </c>
      <c r="B8" s="298"/>
      <c r="C8" s="531">
        <v>352</v>
      </c>
      <c r="D8" s="302" t="s">
        <v>1512</v>
      </c>
      <c r="E8" s="332">
        <v>1.7899999999999999E-2</v>
      </c>
      <c r="F8" s="332">
        <v>6.1999999999999998E-3</v>
      </c>
      <c r="G8" s="332">
        <v>2.41E-2</v>
      </c>
    </row>
    <row r="9" spans="1:16">
      <c r="A9" s="379">
        <f t="shared" si="0"/>
        <v>4</v>
      </c>
      <c r="B9" s="298"/>
      <c r="C9" s="531">
        <v>353</v>
      </c>
      <c r="D9" s="302" t="s">
        <v>1513</v>
      </c>
      <c r="E9" s="332">
        <v>2.3900000000000001E-2</v>
      </c>
      <c r="F9" s="332">
        <v>4.4999999999999997E-3</v>
      </c>
      <c r="G9" s="332">
        <v>2.8400000000000002E-2</v>
      </c>
    </row>
    <row r="10" spans="1:16">
      <c r="A10" s="379">
        <f t="shared" si="0"/>
        <v>5</v>
      </c>
      <c r="B10" s="298"/>
      <c r="C10" s="531">
        <v>354</v>
      </c>
      <c r="D10" s="302" t="s">
        <v>1514</v>
      </c>
      <c r="E10" s="332">
        <v>1.2000000000000002E-2</v>
      </c>
      <c r="F10" s="332">
        <v>1.5299999999999999E-2</v>
      </c>
      <c r="G10" s="332">
        <v>2.7300000000000001E-2</v>
      </c>
    </row>
    <row r="11" spans="1:16">
      <c r="A11" s="379">
        <f t="shared" si="0"/>
        <v>6</v>
      </c>
      <c r="B11" s="298"/>
      <c r="C11" s="531">
        <v>355</v>
      </c>
      <c r="D11" s="302" t="s">
        <v>1515</v>
      </c>
      <c r="E11" s="332">
        <v>1.0600000000000002E-2</v>
      </c>
      <c r="F11" s="332">
        <v>1.78E-2</v>
      </c>
      <c r="G11" s="332">
        <v>2.8400000000000002E-2</v>
      </c>
    </row>
    <row r="12" spans="1:16">
      <c r="A12" s="379">
        <f t="shared" si="0"/>
        <v>7</v>
      </c>
      <c r="B12" s="298"/>
      <c r="C12" s="531">
        <v>356</v>
      </c>
      <c r="D12" s="302" t="s">
        <v>1516</v>
      </c>
      <c r="E12" s="332">
        <v>7.7999999999999979E-3</v>
      </c>
      <c r="F12" s="332">
        <v>2.46E-2</v>
      </c>
      <c r="G12" s="332">
        <v>3.2399999999999998E-2</v>
      </c>
    </row>
    <row r="13" spans="1:16">
      <c r="A13" s="379">
        <f t="shared" si="0"/>
        <v>8</v>
      </c>
      <c r="B13" s="298"/>
      <c r="C13" s="531">
        <v>357</v>
      </c>
      <c r="D13" s="302" t="s">
        <v>1517</v>
      </c>
      <c r="E13" s="332">
        <v>1.7299999999999999E-2</v>
      </c>
      <c r="F13" s="332">
        <v>0</v>
      </c>
      <c r="G13" s="332">
        <v>1.7299999999999999E-2</v>
      </c>
    </row>
    <row r="14" spans="1:16">
      <c r="A14" s="379">
        <f t="shared" si="0"/>
        <v>9</v>
      </c>
      <c r="B14" s="298"/>
      <c r="C14" s="531">
        <v>358</v>
      </c>
      <c r="D14" s="302" t="s">
        <v>1518</v>
      </c>
      <c r="E14" s="332">
        <v>1.6199999999999999E-2</v>
      </c>
      <c r="F14" s="332">
        <v>7.9000000000000008E-3</v>
      </c>
      <c r="G14" s="332">
        <v>2.41E-2</v>
      </c>
    </row>
    <row r="15" spans="1:16">
      <c r="A15" s="379">
        <f t="shared" si="0"/>
        <v>10</v>
      </c>
      <c r="B15" s="298"/>
      <c r="C15" s="531">
        <v>359</v>
      </c>
      <c r="D15" s="302" t="s">
        <v>1519</v>
      </c>
      <c r="E15" s="332">
        <v>1.6500000000000001E-2</v>
      </c>
      <c r="F15" s="332">
        <v>0</v>
      </c>
      <c r="G15" s="332">
        <v>1.6500000000000001E-2</v>
      </c>
    </row>
    <row r="16" spans="1:16">
      <c r="A16" s="379">
        <f t="shared" si="0"/>
        <v>11</v>
      </c>
      <c r="B16" s="298"/>
      <c r="C16" s="298"/>
      <c r="D16" s="298"/>
    </row>
    <row r="17" spans="1:7">
      <c r="A17" s="298"/>
      <c r="B17" s="227" t="s">
        <v>757</v>
      </c>
      <c r="C17" s="298"/>
      <c r="D17" s="298"/>
      <c r="E17" s="379" t="s">
        <v>771</v>
      </c>
      <c r="F17" s="379"/>
      <c r="G17" s="379"/>
    </row>
    <row r="18" spans="1:7">
      <c r="A18" s="298"/>
      <c r="B18" s="298"/>
      <c r="C18" s="136" t="s">
        <v>854</v>
      </c>
      <c r="D18" s="298"/>
      <c r="E18" s="379" t="s">
        <v>1507</v>
      </c>
      <c r="F18" s="3" t="s">
        <v>1414</v>
      </c>
      <c r="G18" s="3"/>
    </row>
    <row r="19" spans="1:7">
      <c r="A19" s="298"/>
      <c r="B19" s="298"/>
      <c r="C19" s="207" t="s">
        <v>816</v>
      </c>
      <c r="D19" s="207" t="s">
        <v>926</v>
      </c>
      <c r="E19" s="2" t="s">
        <v>1508</v>
      </c>
      <c r="F19" s="2" t="s">
        <v>1509</v>
      </c>
      <c r="G19" s="2" t="s">
        <v>388</v>
      </c>
    </row>
    <row r="20" spans="1:7">
      <c r="A20" s="379">
        <f>A16+1</f>
        <v>12</v>
      </c>
      <c r="B20" s="298"/>
      <c r="C20" s="298">
        <v>360</v>
      </c>
      <c r="D20" s="302" t="s">
        <v>1520</v>
      </c>
      <c r="E20" s="664">
        <v>1.67E-2</v>
      </c>
      <c r="F20" s="664">
        <v>0</v>
      </c>
      <c r="G20" s="664">
        <v>1.67E-2</v>
      </c>
    </row>
    <row r="21" spans="1:7">
      <c r="A21" s="379">
        <f>A20+1</f>
        <v>13</v>
      </c>
      <c r="B21" s="298"/>
      <c r="C21" s="298">
        <v>361</v>
      </c>
      <c r="D21" s="302" t="s">
        <v>1512</v>
      </c>
      <c r="E21" s="664">
        <v>1.7500000000000002E-2</v>
      </c>
      <c r="F21" s="664">
        <v>6.4000000000000003E-3</v>
      </c>
      <c r="G21" s="664">
        <v>2.3900000000000001E-2</v>
      </c>
    </row>
    <row r="22" spans="1:7">
      <c r="A22" s="379">
        <f>A21+1</f>
        <v>14</v>
      </c>
      <c r="B22" s="298"/>
      <c r="C22" s="298">
        <v>362</v>
      </c>
      <c r="D22" s="302" t="s">
        <v>1513</v>
      </c>
      <c r="E22" s="664">
        <v>1.32E-2</v>
      </c>
      <c r="F22" s="664">
        <v>6.8999999999999999E-3</v>
      </c>
      <c r="G22" s="664">
        <v>2.01E-2</v>
      </c>
    </row>
    <row r="23" spans="1:7">
      <c r="A23" s="298"/>
      <c r="B23" s="298"/>
      <c r="C23" s="298"/>
      <c r="D23" s="298"/>
    </row>
    <row r="24" spans="1:7">
      <c r="A24" s="298"/>
      <c r="B24" s="227" t="s">
        <v>1521</v>
      </c>
      <c r="C24" s="298"/>
      <c r="D24" s="298"/>
      <c r="E24" s="379" t="s">
        <v>771</v>
      </c>
    </row>
    <row r="25" spans="1:7">
      <c r="A25" s="298"/>
      <c r="B25" s="298"/>
      <c r="C25" s="136" t="s">
        <v>854</v>
      </c>
      <c r="D25" s="298"/>
      <c r="E25" s="379" t="s">
        <v>1507</v>
      </c>
      <c r="F25" s="3" t="s">
        <v>1414</v>
      </c>
      <c r="G25" s="3"/>
    </row>
    <row r="26" spans="1:7">
      <c r="A26" s="298"/>
      <c r="B26" s="298"/>
      <c r="C26" s="207" t="s">
        <v>816</v>
      </c>
      <c r="D26" s="207" t="s">
        <v>926</v>
      </c>
      <c r="E26" s="2" t="s">
        <v>1508</v>
      </c>
      <c r="F26" s="2" t="s">
        <v>1509</v>
      </c>
      <c r="G26" s="2" t="s">
        <v>388</v>
      </c>
    </row>
    <row r="27" spans="1:7">
      <c r="A27" s="379">
        <f>A22+1</f>
        <v>15</v>
      </c>
      <c r="B27" s="298"/>
      <c r="C27" s="298">
        <v>389</v>
      </c>
      <c r="D27" s="302" t="s">
        <v>1520</v>
      </c>
      <c r="E27" s="664">
        <v>1.67E-2</v>
      </c>
      <c r="F27" s="664">
        <v>0</v>
      </c>
      <c r="G27" s="664">
        <v>1.67E-2</v>
      </c>
    </row>
    <row r="28" spans="1:7">
      <c r="A28" s="379">
        <f t="shared" ref="A28:A42" si="1">A27+1</f>
        <v>16</v>
      </c>
      <c r="B28" s="298"/>
      <c r="C28" s="298">
        <v>390</v>
      </c>
      <c r="D28" s="302" t="s">
        <v>1512</v>
      </c>
      <c r="E28" s="664">
        <v>1.8099999999999998E-2</v>
      </c>
      <c r="F28" s="664">
        <v>2.7000000000000001E-3</v>
      </c>
      <c r="G28" s="664">
        <v>2.0799999999999999E-2</v>
      </c>
    </row>
    <row r="29" spans="1:7">
      <c r="A29" s="379">
        <f t="shared" si="1"/>
        <v>17</v>
      </c>
      <c r="B29" s="298"/>
      <c r="C29" s="298">
        <v>391.1</v>
      </c>
      <c r="D29" s="664" t="s">
        <v>1522</v>
      </c>
      <c r="E29" s="664">
        <v>0.05</v>
      </c>
      <c r="F29" s="664">
        <v>0</v>
      </c>
      <c r="G29" s="664">
        <v>0.05</v>
      </c>
    </row>
    <row r="30" spans="1:7">
      <c r="A30" s="379">
        <f t="shared" si="1"/>
        <v>18</v>
      </c>
      <c r="B30" s="298"/>
      <c r="C30" s="298">
        <v>391.5</v>
      </c>
      <c r="D30" s="664" t="s">
        <v>1523</v>
      </c>
      <c r="E30" s="664">
        <v>0.2</v>
      </c>
      <c r="F30" s="664">
        <v>0</v>
      </c>
      <c r="G30" s="664">
        <v>0.2</v>
      </c>
    </row>
    <row r="31" spans="1:7">
      <c r="A31" s="379">
        <f t="shared" si="1"/>
        <v>19</v>
      </c>
      <c r="B31" s="298"/>
      <c r="C31" s="298">
        <v>391.6</v>
      </c>
      <c r="D31" s="664" t="s">
        <v>1524</v>
      </c>
      <c r="E31" s="664">
        <v>0.2</v>
      </c>
      <c r="F31" s="664">
        <v>0</v>
      </c>
      <c r="G31" s="664">
        <v>0.2</v>
      </c>
    </row>
    <row r="32" spans="1:7">
      <c r="A32" s="379">
        <f t="shared" si="1"/>
        <v>20</v>
      </c>
      <c r="B32" s="298"/>
      <c r="C32" s="298">
        <v>391.2</v>
      </c>
      <c r="D32" s="664" t="s">
        <v>1525</v>
      </c>
      <c r="E32" s="664">
        <v>0.2</v>
      </c>
      <c r="F32" s="664">
        <v>0</v>
      </c>
      <c r="G32" s="664">
        <v>0.2</v>
      </c>
    </row>
    <row r="33" spans="1:11">
      <c r="A33" s="379">
        <f t="shared" si="1"/>
        <v>21</v>
      </c>
      <c r="B33" s="298"/>
      <c r="C33" s="298">
        <v>391.3</v>
      </c>
      <c r="D33" s="664" t="s">
        <v>1526</v>
      </c>
      <c r="E33" s="664">
        <v>0.2</v>
      </c>
      <c r="F33" s="664">
        <v>0</v>
      </c>
      <c r="G33" s="664">
        <v>0.2</v>
      </c>
    </row>
    <row r="34" spans="1:11">
      <c r="A34" s="379">
        <f t="shared" si="1"/>
        <v>22</v>
      </c>
      <c r="B34" s="298"/>
      <c r="C34" s="296">
        <v>391.7</v>
      </c>
      <c r="D34" s="664" t="s">
        <v>1527</v>
      </c>
      <c r="E34" s="664">
        <v>0.2</v>
      </c>
      <c r="F34" s="664">
        <v>0</v>
      </c>
      <c r="G34" s="664">
        <v>0.2</v>
      </c>
    </row>
    <row r="35" spans="1:11">
      <c r="A35" s="379">
        <f t="shared" si="1"/>
        <v>23</v>
      </c>
      <c r="B35" s="298"/>
      <c r="C35" s="296">
        <v>391.4</v>
      </c>
      <c r="D35" s="664" t="s">
        <v>1528</v>
      </c>
      <c r="E35" s="664">
        <v>0.1429</v>
      </c>
      <c r="F35" s="664">
        <v>0</v>
      </c>
      <c r="G35" s="664">
        <v>0.1429</v>
      </c>
    </row>
    <row r="36" spans="1:11">
      <c r="A36" s="379">
        <f t="shared" si="1"/>
        <v>24</v>
      </c>
      <c r="B36" s="298"/>
      <c r="C36" s="298">
        <v>391.4</v>
      </c>
      <c r="D36" s="664" t="s">
        <v>1529</v>
      </c>
      <c r="E36" s="664">
        <v>0.1</v>
      </c>
      <c r="F36" s="664">
        <v>0</v>
      </c>
      <c r="G36" s="664">
        <v>0.1</v>
      </c>
    </row>
    <row r="37" spans="1:11">
      <c r="A37" s="379">
        <f t="shared" si="1"/>
        <v>25</v>
      </c>
      <c r="B37" s="298"/>
      <c r="C37" s="296">
        <v>391.4</v>
      </c>
      <c r="D37" s="664" t="s">
        <v>1530</v>
      </c>
      <c r="E37" s="664">
        <v>6.6699999999999995E-2</v>
      </c>
      <c r="F37" s="664">
        <v>0</v>
      </c>
      <c r="G37" s="664">
        <v>6.6699999999999995E-2</v>
      </c>
    </row>
    <row r="38" spans="1:11">
      <c r="A38" s="379">
        <f t="shared" si="1"/>
        <v>26</v>
      </c>
      <c r="B38" s="298"/>
      <c r="C38" s="296">
        <v>391.4</v>
      </c>
      <c r="D38" s="664" t="s">
        <v>1531</v>
      </c>
      <c r="E38" s="664">
        <v>0.05</v>
      </c>
      <c r="F38" s="664">
        <v>0</v>
      </c>
      <c r="G38" s="664">
        <v>0.05</v>
      </c>
    </row>
    <row r="39" spans="1:11" ht="15">
      <c r="A39" s="379">
        <f t="shared" si="1"/>
        <v>27</v>
      </c>
      <c r="B39" s="298"/>
      <c r="C39" s="296">
        <v>391.4</v>
      </c>
      <c r="D39" s="664" t="s">
        <v>1532</v>
      </c>
      <c r="E39" s="664">
        <v>0.04</v>
      </c>
      <c r="F39" s="664">
        <v>0</v>
      </c>
      <c r="G39" s="664">
        <v>0.04</v>
      </c>
      <c r="I39" s="210"/>
      <c r="J39" s="210"/>
      <c r="K39" s="210"/>
    </row>
    <row r="40" spans="1:11" ht="15">
      <c r="A40" s="379">
        <f t="shared" si="1"/>
        <v>28</v>
      </c>
      <c r="B40" s="298"/>
      <c r="C40" s="296">
        <v>393</v>
      </c>
      <c r="D40" s="298" t="s">
        <v>1533</v>
      </c>
      <c r="E40" s="664">
        <v>0.05</v>
      </c>
      <c r="F40" s="664">
        <v>0</v>
      </c>
      <c r="G40" s="664">
        <v>0.05</v>
      </c>
      <c r="I40" s="210"/>
      <c r="J40" s="210"/>
      <c r="K40" s="210"/>
    </row>
    <row r="41" spans="1:11" ht="15">
      <c r="A41" s="379">
        <f t="shared" si="1"/>
        <v>29</v>
      </c>
      <c r="B41" s="298"/>
      <c r="C41" s="296">
        <v>395</v>
      </c>
      <c r="D41" s="298" t="s">
        <v>1534</v>
      </c>
      <c r="E41" s="664">
        <v>6.6699999999999995E-2</v>
      </c>
      <c r="F41" s="664">
        <v>0</v>
      </c>
      <c r="G41" s="664">
        <v>6.6699999999999995E-2</v>
      </c>
      <c r="I41" s="210"/>
      <c r="J41" s="210"/>
      <c r="K41" s="210"/>
    </row>
    <row r="42" spans="1:11" ht="15">
      <c r="A42" s="379">
        <f t="shared" si="1"/>
        <v>30</v>
      </c>
      <c r="B42" s="298"/>
      <c r="C42" s="296">
        <v>398</v>
      </c>
      <c r="D42" s="298" t="s">
        <v>1535</v>
      </c>
      <c r="E42" s="664">
        <v>0.05</v>
      </c>
      <c r="F42" s="664">
        <v>0</v>
      </c>
      <c r="G42" s="664">
        <v>0.05</v>
      </c>
      <c r="I42" s="210"/>
      <c r="J42" s="210"/>
      <c r="K42" s="210"/>
    </row>
    <row r="43" spans="1:11" ht="15">
      <c r="A43" s="379">
        <f>A42+1</f>
        <v>31</v>
      </c>
      <c r="B43" s="298"/>
      <c r="C43" s="296">
        <v>397</v>
      </c>
      <c r="D43" s="298" t="s">
        <v>1536</v>
      </c>
      <c r="E43" s="664">
        <v>0.2</v>
      </c>
      <c r="F43" s="664">
        <v>0</v>
      </c>
      <c r="G43" s="664">
        <v>0.2</v>
      </c>
      <c r="I43" s="210"/>
      <c r="J43" s="210"/>
      <c r="K43" s="210"/>
    </row>
    <row r="44" spans="1:11" ht="15">
      <c r="A44" s="379">
        <f t="shared" ref="A44:A53" si="2">A43+1</f>
        <v>32</v>
      </c>
      <c r="B44" s="298"/>
      <c r="C44" s="296">
        <v>397</v>
      </c>
      <c r="D44" s="298" t="s">
        <v>1537</v>
      </c>
      <c r="E44" s="664">
        <v>0.1429</v>
      </c>
      <c r="F44" s="664">
        <v>0</v>
      </c>
      <c r="G44" s="664">
        <v>0.1429</v>
      </c>
      <c r="I44" s="210"/>
      <c r="J44" s="210"/>
      <c r="K44" s="210"/>
    </row>
    <row r="45" spans="1:11" ht="15">
      <c r="A45" s="379">
        <f t="shared" si="2"/>
        <v>33</v>
      </c>
      <c r="B45" s="298"/>
      <c r="C45" s="296">
        <v>397</v>
      </c>
      <c r="D45" s="298" t="s">
        <v>1538</v>
      </c>
      <c r="E45" s="664">
        <v>0.1</v>
      </c>
      <c r="F45" s="664">
        <v>0</v>
      </c>
      <c r="G45" s="664">
        <v>0.1</v>
      </c>
      <c r="I45" s="210"/>
      <c r="J45" s="210"/>
      <c r="K45" s="210"/>
    </row>
    <row r="46" spans="1:11" ht="15">
      <c r="A46" s="379">
        <f t="shared" si="2"/>
        <v>34</v>
      </c>
      <c r="B46" s="298"/>
      <c r="C46" s="296">
        <v>397</v>
      </c>
      <c r="D46" s="298" t="s">
        <v>1539</v>
      </c>
      <c r="E46" s="664">
        <v>6.6699999999999995E-2</v>
      </c>
      <c r="F46" s="664">
        <v>0</v>
      </c>
      <c r="G46" s="664">
        <v>6.6699999999999995E-2</v>
      </c>
      <c r="I46" s="210"/>
      <c r="J46" s="210"/>
      <c r="K46" s="210"/>
    </row>
    <row r="47" spans="1:11" ht="15">
      <c r="A47" s="379">
        <f t="shared" si="2"/>
        <v>35</v>
      </c>
      <c r="B47" s="298"/>
      <c r="C47" s="296">
        <v>397</v>
      </c>
      <c r="D47" s="298" t="s">
        <v>1540</v>
      </c>
      <c r="E47" s="808">
        <v>0.05</v>
      </c>
      <c r="F47" s="664">
        <v>0</v>
      </c>
      <c r="G47" s="808">
        <v>0.05</v>
      </c>
      <c r="I47" s="210"/>
      <c r="J47" s="210"/>
      <c r="K47" s="210"/>
    </row>
    <row r="48" spans="1:11">
      <c r="A48" s="379">
        <f t="shared" si="2"/>
        <v>36</v>
      </c>
      <c r="B48" s="298"/>
      <c r="C48" s="296">
        <v>397</v>
      </c>
      <c r="D48" s="298" t="s">
        <v>1541</v>
      </c>
      <c r="E48" s="664">
        <v>0.04</v>
      </c>
      <c r="F48" s="664">
        <v>0</v>
      </c>
      <c r="G48" s="664">
        <v>0.04</v>
      </c>
    </row>
    <row r="49" spans="1:7">
      <c r="A49" s="379">
        <f t="shared" si="2"/>
        <v>37</v>
      </c>
      <c r="B49" s="298"/>
      <c r="C49" s="296">
        <v>397</v>
      </c>
      <c r="D49" s="298" t="s">
        <v>1542</v>
      </c>
      <c r="E49" s="664">
        <v>2.5000000000000001E-2</v>
      </c>
      <c r="F49" s="664">
        <v>0</v>
      </c>
      <c r="G49" s="664">
        <v>2.5000000000000001E-2</v>
      </c>
    </row>
    <row r="50" spans="1:7">
      <c r="A50" s="379">
        <f t="shared" si="2"/>
        <v>38</v>
      </c>
      <c r="B50" s="298"/>
      <c r="C50" s="296">
        <v>392</v>
      </c>
      <c r="D50" s="298" t="s">
        <v>1543</v>
      </c>
      <c r="E50" s="664">
        <v>0.1429</v>
      </c>
      <c r="F50" s="664">
        <v>0</v>
      </c>
      <c r="G50" s="664">
        <v>0.1429</v>
      </c>
    </row>
    <row r="51" spans="1:7">
      <c r="A51" s="379">
        <f t="shared" si="2"/>
        <v>39</v>
      </c>
      <c r="B51" s="298"/>
      <c r="C51" s="296">
        <v>394.4</v>
      </c>
      <c r="D51" s="298" t="s">
        <v>1544</v>
      </c>
      <c r="E51" s="664">
        <v>0.1</v>
      </c>
      <c r="F51" s="664">
        <v>0</v>
      </c>
      <c r="G51" s="664">
        <v>0.1</v>
      </c>
    </row>
    <row r="52" spans="1:7">
      <c r="A52" s="379">
        <f t="shared" si="2"/>
        <v>40</v>
      </c>
      <c r="B52" s="298"/>
      <c r="C52" s="296">
        <v>394.5</v>
      </c>
      <c r="D52" s="298" t="s">
        <v>1545</v>
      </c>
      <c r="E52" s="664">
        <v>0.1</v>
      </c>
      <c r="F52" s="664">
        <v>0</v>
      </c>
      <c r="G52" s="664">
        <v>0.1</v>
      </c>
    </row>
    <row r="53" spans="1:7">
      <c r="A53" s="379">
        <f t="shared" si="2"/>
        <v>41</v>
      </c>
      <c r="B53" s="298"/>
      <c r="C53" s="296">
        <v>396</v>
      </c>
      <c r="D53" s="298" t="s">
        <v>1546</v>
      </c>
      <c r="E53" s="664">
        <v>6.6699999999999995E-2</v>
      </c>
      <c r="F53" s="664">
        <v>0</v>
      </c>
      <c r="G53" s="664">
        <v>6.6699999999999995E-2</v>
      </c>
    </row>
    <row r="54" spans="1:7">
      <c r="A54" s="298"/>
      <c r="B54" s="298"/>
      <c r="C54" s="298"/>
      <c r="D54" s="298"/>
    </row>
    <row r="55" spans="1:7">
      <c r="A55" s="298"/>
      <c r="B55" s="227" t="s">
        <v>1547</v>
      </c>
      <c r="C55" s="298"/>
      <c r="D55" s="298"/>
      <c r="E55" s="379" t="s">
        <v>771</v>
      </c>
    </row>
    <row r="56" spans="1:7">
      <c r="A56" s="298"/>
      <c r="B56" s="298"/>
      <c r="C56" s="136" t="s">
        <v>854</v>
      </c>
      <c r="D56" s="298"/>
      <c r="E56" s="379" t="s">
        <v>1507</v>
      </c>
      <c r="F56" s="3" t="s">
        <v>1414</v>
      </c>
      <c r="G56" s="3"/>
    </row>
    <row r="57" spans="1:7">
      <c r="A57" s="298"/>
      <c r="B57" s="298"/>
      <c r="C57" s="207" t="s">
        <v>816</v>
      </c>
      <c r="D57" s="207" t="s">
        <v>926</v>
      </c>
      <c r="E57" s="2" t="s">
        <v>1508</v>
      </c>
      <c r="F57" s="2" t="s">
        <v>1509</v>
      </c>
      <c r="G57" s="2" t="s">
        <v>388</v>
      </c>
    </row>
    <row r="58" spans="1:7">
      <c r="A58" s="379">
        <f>A53+1</f>
        <v>42</v>
      </c>
      <c r="B58" s="298"/>
      <c r="C58" s="296">
        <v>302</v>
      </c>
      <c r="D58" s="302" t="s">
        <v>1548</v>
      </c>
      <c r="E58" s="664">
        <v>2.47E-2</v>
      </c>
      <c r="F58" s="664">
        <v>0</v>
      </c>
      <c r="G58" s="664">
        <v>2.47E-2</v>
      </c>
    </row>
    <row r="59" spans="1:7">
      <c r="A59" s="379">
        <f t="shared" ref="A59:A64" si="3">A58+1</f>
        <v>43</v>
      </c>
      <c r="B59" s="298"/>
      <c r="C59" s="296">
        <v>303</v>
      </c>
      <c r="D59" s="302" t="s">
        <v>1549</v>
      </c>
      <c r="E59" s="664">
        <v>2.5000000000000001E-2</v>
      </c>
      <c r="F59" s="664">
        <v>0</v>
      </c>
      <c r="G59" s="664">
        <v>2.5000000000000001E-2</v>
      </c>
    </row>
    <row r="60" spans="1:7">
      <c r="A60" s="379">
        <f t="shared" si="3"/>
        <v>44</v>
      </c>
      <c r="B60" s="298"/>
      <c r="C60" s="296">
        <v>301</v>
      </c>
      <c r="D60" s="302" t="s">
        <v>1550</v>
      </c>
      <c r="E60" s="664">
        <v>0.05</v>
      </c>
      <c r="F60" s="664">
        <v>0</v>
      </c>
      <c r="G60" s="664">
        <v>0.05</v>
      </c>
    </row>
    <row r="61" spans="1:7">
      <c r="A61" s="379">
        <f t="shared" si="3"/>
        <v>45</v>
      </c>
      <c r="B61" s="298"/>
      <c r="C61" s="296">
        <v>303</v>
      </c>
      <c r="D61" s="302" t="s">
        <v>1551</v>
      </c>
      <c r="E61" s="664">
        <v>0.2031</v>
      </c>
      <c r="F61" s="664">
        <v>0</v>
      </c>
      <c r="G61" s="664">
        <v>0.2031</v>
      </c>
    </row>
    <row r="62" spans="1:7">
      <c r="A62" s="379">
        <f t="shared" si="3"/>
        <v>46</v>
      </c>
      <c r="B62" s="298"/>
      <c r="C62" s="296">
        <v>303</v>
      </c>
      <c r="D62" s="302" t="s">
        <v>1552</v>
      </c>
      <c r="E62" s="664">
        <v>0.1462</v>
      </c>
      <c r="F62" s="664">
        <v>0</v>
      </c>
      <c r="G62" s="664">
        <v>0.1462</v>
      </c>
    </row>
    <row r="63" spans="1:7">
      <c r="A63" s="379">
        <f t="shared" si="3"/>
        <v>47</v>
      </c>
      <c r="B63" s="298"/>
      <c r="C63" s="296">
        <v>303</v>
      </c>
      <c r="D63" s="302" t="s">
        <v>1553</v>
      </c>
      <c r="E63" s="664">
        <v>0.1293</v>
      </c>
      <c r="F63" s="664">
        <v>0</v>
      </c>
      <c r="G63" s="664">
        <v>0.1293</v>
      </c>
    </row>
    <row r="64" spans="1:7">
      <c r="A64" s="379">
        <f t="shared" si="3"/>
        <v>48</v>
      </c>
      <c r="B64" s="298"/>
      <c r="C64" s="296">
        <v>303</v>
      </c>
      <c r="D64" s="302" t="s">
        <v>1554</v>
      </c>
      <c r="E64" s="664">
        <v>8.48E-2</v>
      </c>
      <c r="F64" s="664">
        <v>0</v>
      </c>
      <c r="G64" s="664">
        <v>8.48E-2</v>
      </c>
    </row>
    <row r="65" spans="1:6">
      <c r="A65" s="298"/>
      <c r="B65" s="300" t="s">
        <v>1555</v>
      </c>
      <c r="C65" s="300"/>
      <c r="D65" s="300"/>
      <c r="E65" s="300"/>
      <c r="F65" s="300"/>
    </row>
    <row r="66" spans="1:6">
      <c r="A66" s="298"/>
      <c r="B66" s="300" t="s">
        <v>1556</v>
      </c>
      <c r="C66" s="300"/>
      <c r="D66" s="300"/>
      <c r="E66" s="300"/>
      <c r="F66" s="300"/>
    </row>
  </sheetData>
  <pageMargins left="0.7" right="0.7" top="0.75" bottom="0.75" header="0.3" footer="0.3"/>
  <pageSetup scale="75" orientation="portrait" cellComments="asDisplayed" r:id="rId1"/>
  <headerFooter>
    <oddHeader>&amp;CSchedule 18
Depreciation Rates
&amp;RTO2020 Draft Annual Update 
Attachment1</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6"/>
  <sheetViews>
    <sheetView zoomScaleNormal="100" zoomScaleSheetLayoutView="40" workbookViewId="0"/>
  </sheetViews>
  <sheetFormatPr defaultColWidth="9.140625" defaultRowHeight="12.75"/>
  <cols>
    <col min="1" max="1" width="5.7109375" style="310" customWidth="1"/>
    <col min="2" max="2" width="50.7109375" style="310" customWidth="1"/>
    <col min="3" max="3" width="14.7109375" style="308" customWidth="1"/>
    <col min="4" max="4" width="16.28515625" style="308" customWidth="1"/>
    <col min="5" max="5" width="14.7109375" style="308" customWidth="1"/>
    <col min="6" max="6" width="12.7109375" style="655" customWidth="1"/>
    <col min="7" max="7" width="16.7109375" style="615" customWidth="1"/>
    <col min="8" max="9" width="14.7109375" style="616" customWidth="1"/>
    <col min="10" max="12" width="14.7109375" style="310" customWidth="1"/>
    <col min="13" max="13" width="9.140625" style="298"/>
    <col min="14" max="14" width="10.7109375" style="298" bestFit="1" customWidth="1"/>
    <col min="15" max="16384" width="9.140625" style="298"/>
  </cols>
  <sheetData>
    <row r="1" spans="1:12" ht="12.75" customHeight="1">
      <c r="A1" s="238" t="s">
        <v>1557</v>
      </c>
      <c r="C1" s="239"/>
      <c r="D1" s="240"/>
      <c r="E1" s="240"/>
      <c r="F1" s="241"/>
      <c r="G1" s="242"/>
      <c r="H1" s="242"/>
      <c r="I1" s="242"/>
      <c r="J1" s="242"/>
      <c r="K1" s="298"/>
      <c r="L1" s="298"/>
    </row>
    <row r="2" spans="1:12" ht="12.75" customHeight="1">
      <c r="A2" s="243"/>
      <c r="C2" s="239"/>
      <c r="D2" s="240"/>
      <c r="E2" s="240"/>
      <c r="F2" s="244"/>
      <c r="G2" s="496" t="s">
        <v>94</v>
      </c>
      <c r="H2" s="770"/>
      <c r="I2" s="240"/>
      <c r="J2" s="242"/>
      <c r="K2" s="242"/>
      <c r="L2" s="242"/>
    </row>
    <row r="3" spans="1:12" ht="12.75" customHeight="1">
      <c r="A3" s="245"/>
      <c r="B3" s="246" t="s">
        <v>1558</v>
      </c>
      <c r="C3" s="248"/>
      <c r="D3" s="248"/>
      <c r="E3" s="248"/>
      <c r="F3" s="249"/>
      <c r="G3" s="247"/>
      <c r="H3" s="247"/>
      <c r="I3" s="247"/>
      <c r="J3" s="247"/>
      <c r="K3" s="247"/>
      <c r="L3" s="250"/>
    </row>
    <row r="4" spans="1:12" ht="12.75" customHeight="1">
      <c r="A4" s="251"/>
      <c r="B4" s="243"/>
      <c r="C4" s="252"/>
      <c r="D4" s="252"/>
      <c r="E4" s="252"/>
      <c r="F4" s="253"/>
      <c r="G4" s="14"/>
      <c r="H4" s="14"/>
      <c r="I4" s="14"/>
      <c r="J4" s="14"/>
      <c r="K4" s="14"/>
      <c r="L4" s="242"/>
    </row>
    <row r="5" spans="1:12" ht="12.75" customHeight="1">
      <c r="A5" s="247"/>
      <c r="B5" s="254" t="s">
        <v>307</v>
      </c>
      <c r="C5" s="254" t="s">
        <v>308</v>
      </c>
      <c r="D5" s="254" t="s">
        <v>309</v>
      </c>
      <c r="E5" s="254" t="s">
        <v>310</v>
      </c>
      <c r="F5" s="255" t="s">
        <v>311</v>
      </c>
      <c r="G5" s="254" t="s">
        <v>312</v>
      </c>
      <c r="H5" s="254" t="s">
        <v>313</v>
      </c>
      <c r="I5" s="254" t="s">
        <v>314</v>
      </c>
      <c r="J5" s="254" t="s">
        <v>315</v>
      </c>
      <c r="K5" s="254" t="s">
        <v>534</v>
      </c>
      <c r="L5" s="254" t="s">
        <v>535</v>
      </c>
    </row>
    <row r="6" spans="1:12" ht="12.75" customHeight="1">
      <c r="A6" s="251"/>
      <c r="B6" s="243"/>
      <c r="C6" s="1032" t="s">
        <v>1559</v>
      </c>
      <c r="D6" s="252"/>
      <c r="E6" s="252"/>
      <c r="F6" s="611" t="s">
        <v>170</v>
      </c>
      <c r="G6" s="1032" t="s">
        <v>1560</v>
      </c>
      <c r="H6" s="1039"/>
      <c r="I6" s="1039"/>
      <c r="J6" s="1032" t="s">
        <v>1561</v>
      </c>
      <c r="K6" s="1032" t="s">
        <v>1562</v>
      </c>
      <c r="L6" s="1033" t="s">
        <v>1563</v>
      </c>
    </row>
    <row r="7" spans="1:12" ht="12.75" customHeight="1">
      <c r="C7" s="612"/>
      <c r="D7" s="613"/>
      <c r="E7" s="613"/>
      <c r="F7" s="614"/>
      <c r="J7" s="617"/>
    </row>
    <row r="8" spans="1:12">
      <c r="A8" s="257"/>
      <c r="B8" s="1139" t="s">
        <v>1564</v>
      </c>
      <c r="C8" s="1141" t="s">
        <v>1565</v>
      </c>
      <c r="D8" s="1141"/>
      <c r="E8" s="1141"/>
      <c r="F8" s="258"/>
      <c r="G8" s="1142" t="s">
        <v>1566</v>
      </c>
      <c r="H8" s="1142"/>
      <c r="I8" s="1143"/>
      <c r="J8" s="1145" t="s">
        <v>1567</v>
      </c>
      <c r="K8" s="1142"/>
      <c r="L8" s="1143"/>
    </row>
    <row r="9" spans="1:12">
      <c r="A9" s="28"/>
      <c r="B9" s="1140"/>
      <c r="C9" s="1117" t="s">
        <v>388</v>
      </c>
      <c r="D9" s="1117" t="s">
        <v>917</v>
      </c>
      <c r="E9" s="259" t="s">
        <v>1568</v>
      </c>
      <c r="F9" s="260" t="s">
        <v>1569</v>
      </c>
      <c r="G9" s="259" t="s">
        <v>388</v>
      </c>
      <c r="H9" s="259" t="s">
        <v>917</v>
      </c>
      <c r="I9" s="259" t="s">
        <v>1568</v>
      </c>
      <c r="J9" s="1117" t="s">
        <v>388</v>
      </c>
      <c r="K9" s="259" t="s">
        <v>917</v>
      </c>
      <c r="L9" s="259" t="s">
        <v>1568</v>
      </c>
    </row>
    <row r="10" spans="1:12">
      <c r="A10" s="28" t="s">
        <v>243</v>
      </c>
      <c r="B10" s="261" t="s">
        <v>1570</v>
      </c>
      <c r="C10" s="155"/>
      <c r="D10" s="155"/>
      <c r="E10" s="262"/>
      <c r="F10" s="263"/>
      <c r="G10" s="262"/>
      <c r="H10" s="262"/>
      <c r="I10" s="262"/>
      <c r="J10" s="155"/>
      <c r="K10" s="262"/>
      <c r="L10" s="262"/>
    </row>
    <row r="11" spans="1:12">
      <c r="A11" s="379">
        <v>1</v>
      </c>
      <c r="B11" s="315" t="s">
        <v>1571</v>
      </c>
      <c r="C11" s="618">
        <f>SUM(D11:E11)</f>
        <v>7858325.8600000003</v>
      </c>
      <c r="D11" s="764">
        <v>4060417.9300000006</v>
      </c>
      <c r="E11" s="764">
        <v>3797907.9299999997</v>
      </c>
      <c r="F11" s="856" t="s">
        <v>1572</v>
      </c>
      <c r="G11" s="619">
        <f t="shared" ref="G11:G42" si="0">SUM(H11:I11)</f>
        <v>-67500</v>
      </c>
      <c r="H11" s="764">
        <v>0</v>
      </c>
      <c r="I11" s="764">
        <v>-67500</v>
      </c>
      <c r="J11" s="401">
        <f>SUM(K11:L11)</f>
        <v>7790825.8600000003</v>
      </c>
      <c r="K11" s="401">
        <f>D11+H11</f>
        <v>4060417.9300000006</v>
      </c>
      <c r="L11" s="401">
        <f>E11+I11</f>
        <v>3730407.9299999997</v>
      </c>
    </row>
    <row r="12" spans="1:12">
      <c r="A12" s="379">
        <f>A11+1</f>
        <v>2</v>
      </c>
      <c r="B12" s="315" t="s">
        <v>1573</v>
      </c>
      <c r="C12" s="618">
        <f>SUM(D12:E12)</f>
        <v>236782.3</v>
      </c>
      <c r="D12" s="764">
        <v>0</v>
      </c>
      <c r="E12" s="764">
        <v>236782.3</v>
      </c>
      <c r="F12" s="856"/>
      <c r="G12" s="619">
        <f t="shared" si="0"/>
        <v>0</v>
      </c>
      <c r="H12" s="764">
        <v>0</v>
      </c>
      <c r="I12" s="764">
        <v>0</v>
      </c>
      <c r="J12" s="401">
        <f t="shared" ref="J12:J42" si="1">SUM(K12:L12)</f>
        <v>236782.3</v>
      </c>
      <c r="K12" s="401">
        <f t="shared" ref="K12:K21" si="2">D12+H12</f>
        <v>0</v>
      </c>
      <c r="L12" s="401">
        <f t="shared" ref="K12:L27" si="3">E12+I12</f>
        <v>236782.3</v>
      </c>
    </row>
    <row r="13" spans="1:12">
      <c r="A13" s="379">
        <f t="shared" ref="A13:A44" si="4">A12+1</f>
        <v>3</v>
      </c>
      <c r="B13" s="399" t="s">
        <v>1574</v>
      </c>
      <c r="C13" s="618">
        <f t="shared" ref="C13:C40" si="5">SUM(D13:E13)</f>
        <v>10677344.129999997</v>
      </c>
      <c r="D13" s="764">
        <v>8445222.2899999972</v>
      </c>
      <c r="E13" s="764">
        <v>2232121.84</v>
      </c>
      <c r="F13" s="856"/>
      <c r="G13" s="619">
        <f t="shared" si="0"/>
        <v>0</v>
      </c>
      <c r="H13" s="764">
        <v>0</v>
      </c>
      <c r="I13" s="764">
        <v>0</v>
      </c>
      <c r="J13" s="401">
        <f t="shared" si="1"/>
        <v>10677344.129999997</v>
      </c>
      <c r="K13" s="401">
        <f t="shared" si="2"/>
        <v>8445222.2899999972</v>
      </c>
      <c r="L13" s="401">
        <f t="shared" si="3"/>
        <v>2232121.84</v>
      </c>
    </row>
    <row r="14" spans="1:12">
      <c r="A14" s="379">
        <f t="shared" si="4"/>
        <v>4</v>
      </c>
      <c r="B14" s="399" t="s">
        <v>1575</v>
      </c>
      <c r="C14" s="618">
        <f t="shared" si="5"/>
        <v>36792219.689999998</v>
      </c>
      <c r="D14" s="764">
        <v>0</v>
      </c>
      <c r="E14" s="764">
        <v>36792219.689999998</v>
      </c>
      <c r="F14" s="856" t="s">
        <v>1576</v>
      </c>
      <c r="G14" s="619">
        <f t="shared" si="0"/>
        <v>-36792219.689999998</v>
      </c>
      <c r="H14" s="764">
        <v>0</v>
      </c>
      <c r="I14" s="764">
        <v>-36792219.689999998</v>
      </c>
      <c r="J14" s="401">
        <f t="shared" si="1"/>
        <v>0</v>
      </c>
      <c r="K14" s="401">
        <f t="shared" si="2"/>
        <v>0</v>
      </c>
      <c r="L14" s="401">
        <f t="shared" si="3"/>
        <v>0</v>
      </c>
    </row>
    <row r="15" spans="1:12">
      <c r="A15" s="379">
        <f t="shared" si="4"/>
        <v>5</v>
      </c>
      <c r="B15" s="399" t="s">
        <v>1577</v>
      </c>
      <c r="C15" s="618">
        <f t="shared" si="5"/>
        <v>4373749.83</v>
      </c>
      <c r="D15" s="764">
        <v>3933924.68</v>
      </c>
      <c r="E15" s="764">
        <v>439825.15</v>
      </c>
      <c r="F15" s="856"/>
      <c r="G15" s="619">
        <f t="shared" si="0"/>
        <v>0</v>
      </c>
      <c r="H15" s="764">
        <v>0</v>
      </c>
      <c r="I15" s="764">
        <v>0</v>
      </c>
      <c r="J15" s="401">
        <f t="shared" si="1"/>
        <v>4373749.83</v>
      </c>
      <c r="K15" s="401">
        <f t="shared" si="2"/>
        <v>3933924.68</v>
      </c>
      <c r="L15" s="401">
        <f t="shared" si="3"/>
        <v>439825.15</v>
      </c>
    </row>
    <row r="16" spans="1:12">
      <c r="A16" s="379">
        <f t="shared" si="4"/>
        <v>6</v>
      </c>
      <c r="B16" s="399" t="s">
        <v>1578</v>
      </c>
      <c r="C16" s="618">
        <f t="shared" si="5"/>
        <v>21299110.940000001</v>
      </c>
      <c r="D16" s="764">
        <v>17032798.830000002</v>
      </c>
      <c r="E16" s="764">
        <v>4266312.1100000003</v>
      </c>
      <c r="F16" s="856"/>
      <c r="G16" s="619">
        <f t="shared" si="0"/>
        <v>0</v>
      </c>
      <c r="H16" s="764">
        <v>0</v>
      </c>
      <c r="I16" s="764">
        <v>0</v>
      </c>
      <c r="J16" s="401">
        <f t="shared" si="1"/>
        <v>21299110.940000001</v>
      </c>
      <c r="K16" s="401">
        <f t="shared" si="2"/>
        <v>17032798.830000002</v>
      </c>
      <c r="L16" s="401">
        <f t="shared" si="3"/>
        <v>4266312.1100000003</v>
      </c>
    </row>
    <row r="17" spans="1:12">
      <c r="A17" s="379">
        <f t="shared" si="4"/>
        <v>7</v>
      </c>
      <c r="B17" s="399" t="s">
        <v>1579</v>
      </c>
      <c r="C17" s="618">
        <f t="shared" si="5"/>
        <v>0</v>
      </c>
      <c r="D17" s="764">
        <v>0</v>
      </c>
      <c r="E17" s="764">
        <v>0</v>
      </c>
      <c r="F17" s="856" t="s">
        <v>1580</v>
      </c>
      <c r="G17" s="619">
        <f t="shared" si="0"/>
        <v>0</v>
      </c>
      <c r="H17" s="764">
        <v>0</v>
      </c>
      <c r="I17" s="764">
        <v>0</v>
      </c>
      <c r="J17" s="401">
        <f t="shared" si="1"/>
        <v>0</v>
      </c>
      <c r="K17" s="401">
        <f t="shared" si="2"/>
        <v>0</v>
      </c>
      <c r="L17" s="401">
        <f t="shared" si="3"/>
        <v>0</v>
      </c>
    </row>
    <row r="18" spans="1:12">
      <c r="A18" s="379">
        <f t="shared" si="4"/>
        <v>8</v>
      </c>
      <c r="B18" s="399" t="s">
        <v>1581</v>
      </c>
      <c r="C18" s="618">
        <f t="shared" si="5"/>
        <v>901303.9</v>
      </c>
      <c r="D18" s="764">
        <v>0</v>
      </c>
      <c r="E18" s="764">
        <v>901303.9</v>
      </c>
      <c r="F18" s="856"/>
      <c r="G18" s="619">
        <f t="shared" si="0"/>
        <v>0</v>
      </c>
      <c r="H18" s="764">
        <v>0</v>
      </c>
      <c r="I18" s="764">
        <v>0</v>
      </c>
      <c r="J18" s="401">
        <f t="shared" si="1"/>
        <v>901303.9</v>
      </c>
      <c r="K18" s="401">
        <f t="shared" si="2"/>
        <v>0</v>
      </c>
      <c r="L18" s="401">
        <f t="shared" si="3"/>
        <v>901303.9</v>
      </c>
    </row>
    <row r="19" spans="1:12">
      <c r="A19" s="379">
        <f t="shared" si="4"/>
        <v>9</v>
      </c>
      <c r="B19" s="399" t="s">
        <v>1582</v>
      </c>
      <c r="C19" s="618">
        <f t="shared" si="5"/>
        <v>5388237.7000000002</v>
      </c>
      <c r="D19" s="764">
        <v>3483356.4600000009</v>
      </c>
      <c r="E19" s="764">
        <v>1904881.2399999995</v>
      </c>
      <c r="F19" s="856"/>
      <c r="G19" s="619">
        <f t="shared" si="0"/>
        <v>0</v>
      </c>
      <c r="H19" s="764">
        <v>0</v>
      </c>
      <c r="I19" s="764">
        <v>0</v>
      </c>
      <c r="J19" s="401">
        <f t="shared" si="1"/>
        <v>5388237.7000000002</v>
      </c>
      <c r="K19" s="401">
        <f t="shared" si="2"/>
        <v>3483356.4600000009</v>
      </c>
      <c r="L19" s="401">
        <f t="shared" si="3"/>
        <v>1904881.2399999995</v>
      </c>
    </row>
    <row r="20" spans="1:12">
      <c r="A20" s="379">
        <f t="shared" si="4"/>
        <v>10</v>
      </c>
      <c r="B20" s="399" t="s">
        <v>1583</v>
      </c>
      <c r="C20" s="618">
        <f t="shared" si="5"/>
        <v>1929613.5799999998</v>
      </c>
      <c r="D20" s="764">
        <v>1629005.6199999999</v>
      </c>
      <c r="E20" s="764">
        <v>300607.96000000002</v>
      </c>
      <c r="F20" s="856"/>
      <c r="G20" s="619">
        <f t="shared" si="0"/>
        <v>0</v>
      </c>
      <c r="H20" s="764">
        <v>0</v>
      </c>
      <c r="I20" s="764">
        <v>0</v>
      </c>
      <c r="J20" s="401">
        <f t="shared" si="1"/>
        <v>1929613.5799999998</v>
      </c>
      <c r="K20" s="401">
        <f t="shared" si="2"/>
        <v>1629005.6199999999</v>
      </c>
      <c r="L20" s="401">
        <f t="shared" si="3"/>
        <v>300607.96000000002</v>
      </c>
    </row>
    <row r="21" spans="1:12">
      <c r="A21" s="379">
        <f t="shared" si="4"/>
        <v>11</v>
      </c>
      <c r="B21" s="399" t="s">
        <v>1584</v>
      </c>
      <c r="C21" s="618">
        <f t="shared" si="5"/>
        <v>-9783.35</v>
      </c>
      <c r="D21" s="764">
        <v>0</v>
      </c>
      <c r="E21" s="764">
        <v>-9783.35</v>
      </c>
      <c r="F21" s="856"/>
      <c r="G21" s="619">
        <f t="shared" si="0"/>
        <v>0</v>
      </c>
      <c r="H21" s="764">
        <v>0</v>
      </c>
      <c r="I21" s="764">
        <v>0</v>
      </c>
      <c r="J21" s="401">
        <f t="shared" si="1"/>
        <v>-9783.35</v>
      </c>
      <c r="K21" s="401">
        <f t="shared" si="2"/>
        <v>0</v>
      </c>
      <c r="L21" s="401">
        <f t="shared" si="3"/>
        <v>-9783.35</v>
      </c>
    </row>
    <row r="22" spans="1:12">
      <c r="A22" s="379">
        <f t="shared" si="4"/>
        <v>12</v>
      </c>
      <c r="B22" s="399" t="s">
        <v>1585</v>
      </c>
      <c r="C22" s="618">
        <f t="shared" si="5"/>
        <v>17452121.48</v>
      </c>
      <c r="D22" s="764">
        <v>0</v>
      </c>
      <c r="E22" s="764">
        <v>17452121.48</v>
      </c>
      <c r="F22" s="856" t="s">
        <v>1586</v>
      </c>
      <c r="G22" s="620">
        <f t="shared" si="0"/>
        <v>-17452121.48</v>
      </c>
      <c r="H22" s="764">
        <v>0</v>
      </c>
      <c r="I22" s="764">
        <v>-17452121.48</v>
      </c>
      <c r="J22" s="401">
        <f t="shared" si="1"/>
        <v>0</v>
      </c>
      <c r="K22" s="401">
        <f t="shared" si="3"/>
        <v>0</v>
      </c>
      <c r="L22" s="401">
        <f t="shared" si="3"/>
        <v>0</v>
      </c>
    </row>
    <row r="23" spans="1:12">
      <c r="A23" s="379">
        <f t="shared" si="4"/>
        <v>13</v>
      </c>
      <c r="B23" s="399" t="s">
        <v>1587</v>
      </c>
      <c r="C23" s="618">
        <f t="shared" si="5"/>
        <v>282330.11</v>
      </c>
      <c r="D23" s="764">
        <v>0</v>
      </c>
      <c r="E23" s="764">
        <v>282330.11</v>
      </c>
      <c r="F23" s="856"/>
      <c r="G23" s="619">
        <f t="shared" si="0"/>
        <v>0</v>
      </c>
      <c r="H23" s="764">
        <v>0</v>
      </c>
      <c r="I23" s="764">
        <v>0</v>
      </c>
      <c r="J23" s="401">
        <f t="shared" si="1"/>
        <v>282330.11</v>
      </c>
      <c r="K23" s="401">
        <f t="shared" si="3"/>
        <v>0</v>
      </c>
      <c r="L23" s="401">
        <f t="shared" si="3"/>
        <v>282330.11</v>
      </c>
    </row>
    <row r="24" spans="1:12">
      <c r="A24" s="379">
        <f t="shared" si="4"/>
        <v>14</v>
      </c>
      <c r="B24" s="399" t="s">
        <v>1588</v>
      </c>
      <c r="C24" s="618">
        <f t="shared" si="5"/>
        <v>43137241.579999983</v>
      </c>
      <c r="D24" s="764">
        <v>21165534.069999982</v>
      </c>
      <c r="E24" s="764">
        <v>21971707.510000002</v>
      </c>
      <c r="F24" s="856" t="s">
        <v>1589</v>
      </c>
      <c r="G24" s="619">
        <f>SUM(H24:I24)</f>
        <v>-7734.55</v>
      </c>
      <c r="H24" s="764">
        <v>-7034.04</v>
      </c>
      <c r="I24" s="764">
        <v>-700.5100000000001</v>
      </c>
      <c r="J24" s="401">
        <f>SUM(K24:L24)</f>
        <v>43129507.029999986</v>
      </c>
      <c r="K24" s="401">
        <f t="shared" si="3"/>
        <v>21158500.029999983</v>
      </c>
      <c r="L24" s="401">
        <f t="shared" si="3"/>
        <v>21971007</v>
      </c>
    </row>
    <row r="25" spans="1:12">
      <c r="A25" s="379">
        <f t="shared" si="4"/>
        <v>15</v>
      </c>
      <c r="B25" s="399" t="s">
        <v>1590</v>
      </c>
      <c r="C25" s="618">
        <f t="shared" si="5"/>
        <v>13032603.360000001</v>
      </c>
      <c r="D25" s="764">
        <v>284723.58</v>
      </c>
      <c r="E25" s="764">
        <v>12747879.780000001</v>
      </c>
      <c r="F25" s="856" t="s">
        <v>1591</v>
      </c>
      <c r="G25" s="619">
        <f>SUM(H25:I25)</f>
        <v>-11056670.280000001</v>
      </c>
      <c r="H25" s="764">
        <v>-7439.820000000007</v>
      </c>
      <c r="I25" s="764">
        <v>-11049230.460000001</v>
      </c>
      <c r="J25" s="401">
        <f t="shared" si="1"/>
        <v>1975933.0800000003</v>
      </c>
      <c r="K25" s="401">
        <f t="shared" si="3"/>
        <v>277283.76</v>
      </c>
      <c r="L25" s="401">
        <f t="shared" si="3"/>
        <v>1698649.3200000003</v>
      </c>
    </row>
    <row r="26" spans="1:12">
      <c r="A26" s="379">
        <f t="shared" si="4"/>
        <v>16</v>
      </c>
      <c r="B26" s="399" t="s">
        <v>1592</v>
      </c>
      <c r="C26" s="618">
        <f t="shared" si="5"/>
        <v>1110387.45</v>
      </c>
      <c r="D26" s="764">
        <v>0</v>
      </c>
      <c r="E26" s="764">
        <v>1110387.45</v>
      </c>
      <c r="F26" s="856"/>
      <c r="G26" s="619">
        <f t="shared" si="0"/>
        <v>0</v>
      </c>
      <c r="H26" s="764">
        <v>0</v>
      </c>
      <c r="I26" s="764">
        <v>0</v>
      </c>
      <c r="J26" s="401">
        <f t="shared" si="1"/>
        <v>1110387.45</v>
      </c>
      <c r="K26" s="401">
        <f t="shared" si="3"/>
        <v>0</v>
      </c>
      <c r="L26" s="401">
        <f t="shared" si="3"/>
        <v>1110387.45</v>
      </c>
    </row>
    <row r="27" spans="1:12">
      <c r="A27" s="379">
        <f t="shared" si="4"/>
        <v>17</v>
      </c>
      <c r="B27" s="399" t="s">
        <v>1593</v>
      </c>
      <c r="C27" s="618">
        <f t="shared" si="5"/>
        <v>15939487.119999999</v>
      </c>
      <c r="D27" s="764">
        <v>5614.2400000000007</v>
      </c>
      <c r="E27" s="764">
        <v>15933872.879999999</v>
      </c>
      <c r="F27" s="856"/>
      <c r="G27" s="620">
        <f t="shared" si="0"/>
        <v>0</v>
      </c>
      <c r="H27" s="764">
        <v>0</v>
      </c>
      <c r="I27" s="764">
        <v>0</v>
      </c>
      <c r="J27" s="401">
        <f t="shared" si="1"/>
        <v>15939487.119999999</v>
      </c>
      <c r="K27" s="401">
        <f t="shared" si="3"/>
        <v>5614.2400000000007</v>
      </c>
      <c r="L27" s="401">
        <f t="shared" si="3"/>
        <v>15933872.879999999</v>
      </c>
    </row>
    <row r="28" spans="1:12">
      <c r="A28" s="64">
        <f t="shared" si="4"/>
        <v>18</v>
      </c>
      <c r="B28" s="399" t="s">
        <v>1594</v>
      </c>
      <c r="C28" s="618">
        <f t="shared" si="5"/>
        <v>82878.5</v>
      </c>
      <c r="D28" s="764">
        <v>0</v>
      </c>
      <c r="E28" s="764">
        <v>82878.5</v>
      </c>
      <c r="F28" s="856"/>
      <c r="G28" s="619">
        <f t="shared" si="0"/>
        <v>0</v>
      </c>
      <c r="H28" s="764">
        <v>0</v>
      </c>
      <c r="I28" s="764">
        <v>0</v>
      </c>
      <c r="J28" s="636">
        <f t="shared" si="1"/>
        <v>82878.5</v>
      </c>
      <c r="K28" s="636">
        <f t="shared" ref="K28:L40" si="6">D28+H28</f>
        <v>0</v>
      </c>
      <c r="L28" s="636">
        <f t="shared" si="6"/>
        <v>82878.5</v>
      </c>
    </row>
    <row r="29" spans="1:12">
      <c r="A29" s="64">
        <f t="shared" si="4"/>
        <v>19</v>
      </c>
      <c r="B29" s="399" t="s">
        <v>1595</v>
      </c>
      <c r="C29" s="618">
        <f t="shared" si="5"/>
        <v>438002.55</v>
      </c>
      <c r="D29" s="764">
        <v>0</v>
      </c>
      <c r="E29" s="764">
        <v>438002.55</v>
      </c>
      <c r="F29" s="856"/>
      <c r="G29" s="620">
        <f t="shared" si="0"/>
        <v>0</v>
      </c>
      <c r="H29" s="764">
        <v>0</v>
      </c>
      <c r="I29" s="764">
        <v>0</v>
      </c>
      <c r="J29" s="636">
        <f t="shared" ref="J29" si="7">SUM(K29:L29)</f>
        <v>438002.55</v>
      </c>
      <c r="K29" s="636">
        <f t="shared" ref="K29" si="8">D29+H29</f>
        <v>0</v>
      </c>
      <c r="L29" s="636">
        <f t="shared" ref="L29" si="9">E29+I29</f>
        <v>438002.55</v>
      </c>
    </row>
    <row r="30" spans="1:12">
      <c r="A30" s="64">
        <f t="shared" si="4"/>
        <v>20</v>
      </c>
      <c r="B30" s="399" t="s">
        <v>1596</v>
      </c>
      <c r="C30" s="618">
        <f t="shared" si="5"/>
        <v>2571657.44</v>
      </c>
      <c r="D30" s="764">
        <v>2231814.2599999998</v>
      </c>
      <c r="E30" s="764">
        <v>339843.18</v>
      </c>
      <c r="F30" s="856"/>
      <c r="G30" s="619">
        <f t="shared" si="0"/>
        <v>0</v>
      </c>
      <c r="H30" s="764">
        <v>0</v>
      </c>
      <c r="I30" s="764">
        <v>0</v>
      </c>
      <c r="J30" s="401">
        <f t="shared" si="1"/>
        <v>2571657.44</v>
      </c>
      <c r="K30" s="401">
        <f t="shared" si="6"/>
        <v>2231814.2599999998</v>
      </c>
      <c r="L30" s="401">
        <f t="shared" si="6"/>
        <v>339843.18</v>
      </c>
    </row>
    <row r="31" spans="1:12">
      <c r="A31" s="64">
        <f t="shared" si="4"/>
        <v>21</v>
      </c>
      <c r="B31" s="399" t="s">
        <v>1597</v>
      </c>
      <c r="C31" s="618">
        <f t="shared" si="5"/>
        <v>248127.19</v>
      </c>
      <c r="D31" s="764">
        <v>0</v>
      </c>
      <c r="E31" s="764">
        <v>248127.19</v>
      </c>
      <c r="F31" s="856"/>
      <c r="G31" s="619">
        <f t="shared" si="0"/>
        <v>0</v>
      </c>
      <c r="H31" s="764">
        <v>0</v>
      </c>
      <c r="I31" s="764">
        <v>0</v>
      </c>
      <c r="J31" s="401">
        <f t="shared" si="1"/>
        <v>248127.19</v>
      </c>
      <c r="K31" s="401">
        <f t="shared" si="6"/>
        <v>0</v>
      </c>
      <c r="L31" s="401">
        <f t="shared" si="6"/>
        <v>248127.19</v>
      </c>
    </row>
    <row r="32" spans="1:12">
      <c r="A32" s="64">
        <f t="shared" si="4"/>
        <v>22</v>
      </c>
      <c r="B32" s="399" t="s">
        <v>1598</v>
      </c>
      <c r="C32" s="618">
        <f t="shared" si="5"/>
        <v>40591067.450000003</v>
      </c>
      <c r="D32" s="764">
        <v>-15573.549999999997</v>
      </c>
      <c r="E32" s="764">
        <v>40606641</v>
      </c>
      <c r="F32" s="856" t="s">
        <v>1599</v>
      </c>
      <c r="G32" s="619">
        <f t="shared" si="0"/>
        <v>-37524555</v>
      </c>
      <c r="H32" s="764">
        <v>0</v>
      </c>
      <c r="I32" s="764">
        <v>-37524555</v>
      </c>
      <c r="J32" s="401">
        <f t="shared" si="1"/>
        <v>3066512.45</v>
      </c>
      <c r="K32" s="401">
        <f t="shared" si="6"/>
        <v>-15573.549999999997</v>
      </c>
      <c r="L32" s="401">
        <f t="shared" si="6"/>
        <v>3082086</v>
      </c>
    </row>
    <row r="33" spans="1:12">
      <c r="A33" s="64">
        <f t="shared" si="4"/>
        <v>23</v>
      </c>
      <c r="B33" s="399" t="s">
        <v>1600</v>
      </c>
      <c r="C33" s="618">
        <f t="shared" si="5"/>
        <v>147366.79999999999</v>
      </c>
      <c r="D33" s="764">
        <v>0</v>
      </c>
      <c r="E33" s="764">
        <v>147366.79999999999</v>
      </c>
      <c r="F33" s="856"/>
      <c r="G33" s="619">
        <f t="shared" si="0"/>
        <v>0</v>
      </c>
      <c r="H33" s="764">
        <v>0</v>
      </c>
      <c r="I33" s="764">
        <v>0</v>
      </c>
      <c r="J33" s="401">
        <f t="shared" si="1"/>
        <v>147366.79999999999</v>
      </c>
      <c r="K33" s="401">
        <f t="shared" si="6"/>
        <v>0</v>
      </c>
      <c r="L33" s="401">
        <f t="shared" si="6"/>
        <v>147366.79999999999</v>
      </c>
    </row>
    <row r="34" spans="1:12">
      <c r="A34" s="64">
        <f t="shared" si="4"/>
        <v>24</v>
      </c>
      <c r="B34" s="399" t="s">
        <v>1601</v>
      </c>
      <c r="C34" s="618">
        <f t="shared" si="5"/>
        <v>8094280.9200000018</v>
      </c>
      <c r="D34" s="764">
        <v>4388694.8900000006</v>
      </c>
      <c r="E34" s="764">
        <v>3705586.0300000007</v>
      </c>
      <c r="F34" s="856"/>
      <c r="G34" s="619">
        <f t="shared" si="0"/>
        <v>0</v>
      </c>
      <c r="H34" s="764">
        <v>0</v>
      </c>
      <c r="I34" s="764">
        <v>0</v>
      </c>
      <c r="J34" s="401">
        <f t="shared" si="1"/>
        <v>8094280.9200000018</v>
      </c>
      <c r="K34" s="401">
        <f t="shared" si="6"/>
        <v>4388694.8900000006</v>
      </c>
      <c r="L34" s="401">
        <f t="shared" si="6"/>
        <v>3705586.0300000007</v>
      </c>
    </row>
    <row r="35" spans="1:12">
      <c r="A35" s="64">
        <f t="shared" si="4"/>
        <v>25</v>
      </c>
      <c r="B35" s="399" t="s">
        <v>1602</v>
      </c>
      <c r="C35" s="618">
        <f t="shared" si="5"/>
        <v>1007420.83</v>
      </c>
      <c r="D35" s="764">
        <v>14053.08</v>
      </c>
      <c r="E35" s="764">
        <v>993367.75</v>
      </c>
      <c r="F35" s="856"/>
      <c r="G35" s="619">
        <f t="shared" si="0"/>
        <v>0</v>
      </c>
      <c r="H35" s="764">
        <v>0</v>
      </c>
      <c r="I35" s="764">
        <v>0</v>
      </c>
      <c r="J35" s="401">
        <f t="shared" si="1"/>
        <v>1007420.83</v>
      </c>
      <c r="K35" s="401">
        <f t="shared" si="6"/>
        <v>14053.08</v>
      </c>
      <c r="L35" s="401">
        <f t="shared" si="6"/>
        <v>993367.75</v>
      </c>
    </row>
    <row r="36" spans="1:12">
      <c r="A36" s="64">
        <f t="shared" si="4"/>
        <v>26</v>
      </c>
      <c r="B36" s="399" t="s">
        <v>1603</v>
      </c>
      <c r="C36" s="618">
        <f t="shared" si="5"/>
        <v>25917292.030000001</v>
      </c>
      <c r="D36" s="764">
        <v>7348269.7999999998</v>
      </c>
      <c r="E36" s="764">
        <v>18569022.23</v>
      </c>
      <c r="F36" s="856" t="s">
        <v>1589</v>
      </c>
      <c r="G36" s="619">
        <f t="shared" si="0"/>
        <v>-2951737.2500000009</v>
      </c>
      <c r="H36" s="764">
        <v>-91503.41</v>
      </c>
      <c r="I36" s="764">
        <v>-2860233.8400000008</v>
      </c>
      <c r="J36" s="401">
        <f t="shared" si="1"/>
        <v>22965554.780000001</v>
      </c>
      <c r="K36" s="401">
        <f t="shared" si="6"/>
        <v>7256766.3899999997</v>
      </c>
      <c r="L36" s="401">
        <f t="shared" si="6"/>
        <v>15708788.390000001</v>
      </c>
    </row>
    <row r="37" spans="1:12">
      <c r="A37" s="64">
        <f t="shared" si="4"/>
        <v>27</v>
      </c>
      <c r="B37" s="399" t="s">
        <v>1604</v>
      </c>
      <c r="C37" s="618">
        <f t="shared" si="5"/>
        <v>518174.82</v>
      </c>
      <c r="D37" s="764">
        <v>0</v>
      </c>
      <c r="E37" s="764">
        <v>518174.82</v>
      </c>
      <c r="F37" s="856"/>
      <c r="G37" s="619">
        <f t="shared" si="0"/>
        <v>0</v>
      </c>
      <c r="H37" s="764">
        <v>0</v>
      </c>
      <c r="I37" s="764">
        <v>0</v>
      </c>
      <c r="J37" s="401">
        <f t="shared" si="1"/>
        <v>518174.82</v>
      </c>
      <c r="K37" s="401">
        <f t="shared" si="6"/>
        <v>0</v>
      </c>
      <c r="L37" s="401">
        <f t="shared" si="6"/>
        <v>518174.82</v>
      </c>
    </row>
    <row r="38" spans="1:12">
      <c r="A38" s="64">
        <f t="shared" si="4"/>
        <v>28</v>
      </c>
      <c r="B38" s="399" t="s">
        <v>1605</v>
      </c>
      <c r="C38" s="618">
        <f t="shared" si="5"/>
        <v>322776.31</v>
      </c>
      <c r="D38" s="764">
        <v>63259.859999999993</v>
      </c>
      <c r="E38" s="764">
        <v>259516.44999999998</v>
      </c>
      <c r="F38" s="856"/>
      <c r="G38" s="619">
        <f t="shared" si="0"/>
        <v>0</v>
      </c>
      <c r="H38" s="764">
        <v>0</v>
      </c>
      <c r="I38" s="764">
        <v>0</v>
      </c>
      <c r="J38" s="401">
        <f t="shared" si="1"/>
        <v>322776.31</v>
      </c>
      <c r="K38" s="401">
        <f t="shared" si="6"/>
        <v>63259.859999999993</v>
      </c>
      <c r="L38" s="401">
        <f t="shared" si="6"/>
        <v>259516.44999999998</v>
      </c>
    </row>
    <row r="39" spans="1:12">
      <c r="A39" s="64">
        <f t="shared" si="4"/>
        <v>29</v>
      </c>
      <c r="B39" s="399" t="s">
        <v>1606</v>
      </c>
      <c r="C39" s="618">
        <f t="shared" si="5"/>
        <v>392.55</v>
      </c>
      <c r="D39" s="764">
        <v>0</v>
      </c>
      <c r="E39" s="764">
        <v>392.55</v>
      </c>
      <c r="F39" s="856"/>
      <c r="G39" s="619">
        <f t="shared" si="0"/>
        <v>0</v>
      </c>
      <c r="H39" s="764">
        <v>0</v>
      </c>
      <c r="I39" s="764">
        <v>0</v>
      </c>
      <c r="J39" s="401">
        <f t="shared" si="1"/>
        <v>392.55</v>
      </c>
      <c r="K39" s="401">
        <f t="shared" si="6"/>
        <v>0</v>
      </c>
      <c r="L39" s="401">
        <f t="shared" si="6"/>
        <v>392.55</v>
      </c>
    </row>
    <row r="40" spans="1:12">
      <c r="A40" s="64">
        <f t="shared" si="4"/>
        <v>30</v>
      </c>
      <c r="B40" s="399" t="s">
        <v>1607</v>
      </c>
      <c r="C40" s="618">
        <f t="shared" si="5"/>
        <v>-362672.48999999987</v>
      </c>
      <c r="D40" s="764">
        <v>577047.99000000011</v>
      </c>
      <c r="E40" s="764">
        <v>-939720.48</v>
      </c>
      <c r="F40" s="856"/>
      <c r="G40" s="619">
        <f t="shared" si="0"/>
        <v>0</v>
      </c>
      <c r="H40" s="764">
        <v>0</v>
      </c>
      <c r="I40" s="764">
        <v>0</v>
      </c>
      <c r="J40" s="401">
        <f t="shared" si="1"/>
        <v>-362672.48999999987</v>
      </c>
      <c r="K40" s="401">
        <f t="shared" si="6"/>
        <v>577047.99000000011</v>
      </c>
      <c r="L40" s="401">
        <f t="shared" si="6"/>
        <v>-939720.48</v>
      </c>
    </row>
    <row r="41" spans="1:12" ht="15">
      <c r="A41" s="64">
        <f t="shared" si="4"/>
        <v>31</v>
      </c>
      <c r="B41" s="745" t="s">
        <v>661</v>
      </c>
      <c r="C41" s="622" t="s">
        <v>351</v>
      </c>
      <c r="D41" s="622" t="s">
        <v>351</v>
      </c>
      <c r="E41" s="622" t="s">
        <v>351</v>
      </c>
      <c r="F41" s="622" t="s">
        <v>351</v>
      </c>
      <c r="G41" s="620">
        <f t="shared" si="0"/>
        <v>0</v>
      </c>
      <c r="H41" s="622" t="s">
        <v>351</v>
      </c>
      <c r="I41" s="622" t="s">
        <v>351</v>
      </c>
      <c r="J41" s="264"/>
      <c r="K41" s="264"/>
      <c r="L41" s="264"/>
    </row>
    <row r="42" spans="1:12">
      <c r="A42" s="64">
        <f t="shared" si="4"/>
        <v>32</v>
      </c>
      <c r="B42" s="399" t="s">
        <v>1608</v>
      </c>
      <c r="C42" s="623">
        <v>0</v>
      </c>
      <c r="D42" s="623">
        <v>0</v>
      </c>
      <c r="E42" s="623">
        <v>0</v>
      </c>
      <c r="F42" s="638"/>
      <c r="G42" s="624">
        <f t="shared" si="0"/>
        <v>10035170.649128139</v>
      </c>
      <c r="H42" s="625">
        <f>+C64*C145</f>
        <v>10035170.649128139</v>
      </c>
      <c r="I42" s="625">
        <v>0</v>
      </c>
      <c r="J42" s="626">
        <f t="shared" si="1"/>
        <v>10035170.649128139</v>
      </c>
      <c r="K42" s="626">
        <f>D42+H42</f>
        <v>10035170.649128139</v>
      </c>
      <c r="L42" s="626">
        <f>E42+I42</f>
        <v>0</v>
      </c>
    </row>
    <row r="43" spans="1:12">
      <c r="A43" s="64">
        <f t="shared" si="4"/>
        <v>33</v>
      </c>
      <c r="B43" s="265" t="s">
        <v>1609</v>
      </c>
      <c r="C43" s="618">
        <f>SUM(C11:C42)</f>
        <v>259977840.58000004</v>
      </c>
      <c r="D43" s="627">
        <f>SUM(D11:D42)</f>
        <v>74648164.029999971</v>
      </c>
      <c r="E43" s="627">
        <f>SUM(E11:E42)</f>
        <v>185329676.55000001</v>
      </c>
      <c r="F43" s="628"/>
      <c r="G43" s="628">
        <f t="shared" ref="G43:L43" si="10">SUM(G11:G42)</f>
        <v>-95817367.600871861</v>
      </c>
      <c r="H43" s="629">
        <f t="shared" si="10"/>
        <v>9929193.3791281395</v>
      </c>
      <c r="I43" s="629">
        <f t="shared" si="10"/>
        <v>-105746560.98</v>
      </c>
      <c r="J43" s="629">
        <f t="shared" si="10"/>
        <v>164160472.97912812</v>
      </c>
      <c r="K43" s="629">
        <f t="shared" si="10"/>
        <v>84577357.4091281</v>
      </c>
      <c r="L43" s="629">
        <f t="shared" si="10"/>
        <v>79583115.569999978</v>
      </c>
    </row>
    <row r="44" spans="1:12">
      <c r="A44" s="64">
        <f t="shared" si="4"/>
        <v>34</v>
      </c>
      <c r="B44" s="328"/>
      <c r="C44" s="630"/>
      <c r="D44" s="631"/>
      <c r="E44" s="631"/>
      <c r="F44" s="632"/>
      <c r="G44" s="633"/>
      <c r="H44" s="634"/>
      <c r="I44" s="634"/>
      <c r="J44" s="401"/>
      <c r="K44" s="401"/>
      <c r="L44" s="401"/>
    </row>
    <row r="45" spans="1:12">
      <c r="A45" s="379"/>
      <c r="B45" s="265"/>
      <c r="C45" s="631"/>
      <c r="D45" s="631"/>
      <c r="E45" s="631"/>
      <c r="F45" s="632"/>
      <c r="G45" s="635"/>
      <c r="H45" s="631"/>
      <c r="I45" s="631"/>
      <c r="J45" s="631"/>
      <c r="K45" s="631"/>
      <c r="L45" s="631"/>
    </row>
    <row r="46" spans="1:12">
      <c r="A46" s="379"/>
      <c r="B46" s="254" t="s">
        <v>307</v>
      </c>
      <c r="C46" s="254" t="s">
        <v>308</v>
      </c>
      <c r="D46" s="254" t="s">
        <v>309</v>
      </c>
      <c r="E46" s="254" t="s">
        <v>310</v>
      </c>
      <c r="F46" s="255" t="s">
        <v>311</v>
      </c>
      <c r="G46" s="254" t="s">
        <v>312</v>
      </c>
      <c r="H46" s="254" t="s">
        <v>313</v>
      </c>
      <c r="I46" s="254" t="s">
        <v>314</v>
      </c>
      <c r="J46" s="254" t="s">
        <v>315</v>
      </c>
      <c r="K46" s="254" t="s">
        <v>534</v>
      </c>
      <c r="L46" s="254" t="s">
        <v>535</v>
      </c>
    </row>
    <row r="47" spans="1:12">
      <c r="A47" s="379"/>
      <c r="B47" s="265"/>
      <c r="C47" s="1032" t="s">
        <v>1559</v>
      </c>
      <c r="D47" s="252"/>
      <c r="E47" s="252"/>
      <c r="F47" s="611" t="s">
        <v>170</v>
      </c>
      <c r="G47" s="1032" t="s">
        <v>1560</v>
      </c>
      <c r="H47" s="256"/>
      <c r="I47" s="256"/>
      <c r="J47" s="1032" t="s">
        <v>1561</v>
      </c>
      <c r="K47" s="1032" t="s">
        <v>1562</v>
      </c>
      <c r="L47" s="1033" t="s">
        <v>1563</v>
      </c>
    </row>
    <row r="48" spans="1:12">
      <c r="A48" s="379"/>
      <c r="C48" s="630"/>
      <c r="D48" s="631"/>
      <c r="E48" s="631"/>
      <c r="F48" s="632"/>
      <c r="G48" s="633"/>
      <c r="H48" s="631"/>
      <c r="I48" s="631"/>
      <c r="J48" s="401"/>
      <c r="K48" s="401"/>
      <c r="L48" s="401"/>
    </row>
    <row r="49" spans="1:12">
      <c r="A49" s="379"/>
      <c r="B49" s="1139" t="s">
        <v>1564</v>
      </c>
      <c r="C49" s="1141" t="s">
        <v>1565</v>
      </c>
      <c r="D49" s="1141"/>
      <c r="E49" s="1141"/>
      <c r="F49" s="258"/>
      <c r="G49" s="1142" t="s">
        <v>1566</v>
      </c>
      <c r="H49" s="1142"/>
      <c r="I49" s="1143"/>
      <c r="J49" s="1145" t="s">
        <v>1567</v>
      </c>
      <c r="K49" s="1142"/>
      <c r="L49" s="1143"/>
    </row>
    <row r="50" spans="1:12">
      <c r="A50" s="379"/>
      <c r="B50" s="1140"/>
      <c r="C50" s="1117" t="s">
        <v>388</v>
      </c>
      <c r="D50" s="1117" t="s">
        <v>917</v>
      </c>
      <c r="E50" s="259" t="s">
        <v>1568</v>
      </c>
      <c r="F50" s="260" t="s">
        <v>1569</v>
      </c>
      <c r="G50" s="259" t="s">
        <v>388</v>
      </c>
      <c r="H50" s="259" t="s">
        <v>917</v>
      </c>
      <c r="I50" s="259" t="s">
        <v>1568</v>
      </c>
      <c r="J50" s="1117" t="s">
        <v>388</v>
      </c>
      <c r="K50" s="259" t="s">
        <v>917</v>
      </c>
      <c r="L50" s="259" t="s">
        <v>1568</v>
      </c>
    </row>
    <row r="51" spans="1:12">
      <c r="A51" s="379"/>
      <c r="B51" s="266" t="s">
        <v>1610</v>
      </c>
      <c r="C51" s="155"/>
      <c r="D51" s="155"/>
      <c r="E51" s="262"/>
      <c r="F51" s="263"/>
      <c r="G51" s="262"/>
      <c r="H51" s="262"/>
      <c r="I51" s="262"/>
      <c r="J51" s="155"/>
      <c r="K51" s="262"/>
      <c r="L51" s="262"/>
    </row>
    <row r="52" spans="1:12">
      <c r="A52" s="64">
        <f>A44+1</f>
        <v>35</v>
      </c>
      <c r="B52" s="399" t="s">
        <v>1611</v>
      </c>
      <c r="C52" s="636">
        <f t="shared" ref="C52:C56" si="11">SUM(D52:E52)</f>
        <v>34617000.609999999</v>
      </c>
      <c r="D52" s="764">
        <v>26689255.420000002</v>
      </c>
      <c r="E52" s="764">
        <v>7927745.1900000013</v>
      </c>
      <c r="F52" s="856"/>
      <c r="G52" s="633">
        <f t="shared" ref="G52:G56" si="12">SUM(H52:I52)</f>
        <v>0</v>
      </c>
      <c r="H52" s="764">
        <v>0</v>
      </c>
      <c r="I52" s="764">
        <v>0</v>
      </c>
      <c r="J52" s="401">
        <f t="shared" ref="J52:J56" si="13">SUM(K52:L52)</f>
        <v>34617000.609999999</v>
      </c>
      <c r="K52" s="401">
        <f t="shared" ref="K52:L57" si="14">D52+H52</f>
        <v>26689255.420000002</v>
      </c>
      <c r="L52" s="401">
        <f t="shared" si="14"/>
        <v>7927745.1900000013</v>
      </c>
    </row>
    <row r="53" spans="1:12">
      <c r="A53" s="64">
        <f t="shared" ref="A53:A62" si="15">A52+1</f>
        <v>36</v>
      </c>
      <c r="B53" s="399" t="s">
        <v>1612</v>
      </c>
      <c r="C53" s="636">
        <f t="shared" si="11"/>
        <v>2559657.2600000002</v>
      </c>
      <c r="D53" s="764">
        <v>2231689.62</v>
      </c>
      <c r="E53" s="764">
        <v>327967.64</v>
      </c>
      <c r="F53" s="856"/>
      <c r="G53" s="633">
        <f t="shared" si="12"/>
        <v>0</v>
      </c>
      <c r="H53" s="764">
        <v>0</v>
      </c>
      <c r="I53" s="764">
        <v>0</v>
      </c>
      <c r="J53" s="401">
        <f t="shared" si="13"/>
        <v>2559657.2600000002</v>
      </c>
      <c r="K53" s="401">
        <f t="shared" si="14"/>
        <v>2231689.62</v>
      </c>
      <c r="L53" s="401">
        <f t="shared" si="14"/>
        <v>327967.64</v>
      </c>
    </row>
    <row r="54" spans="1:12">
      <c r="A54" s="64">
        <f t="shared" si="15"/>
        <v>37</v>
      </c>
      <c r="B54" s="399" t="s">
        <v>1613</v>
      </c>
      <c r="C54" s="636">
        <f t="shared" si="11"/>
        <v>59400.530000000006</v>
      </c>
      <c r="D54" s="764">
        <v>9755.1299999999992</v>
      </c>
      <c r="E54" s="764">
        <v>49645.400000000009</v>
      </c>
      <c r="F54" s="856"/>
      <c r="G54" s="633">
        <f t="shared" si="12"/>
        <v>0</v>
      </c>
      <c r="H54" s="764">
        <v>0</v>
      </c>
      <c r="I54" s="764">
        <v>0</v>
      </c>
      <c r="J54" s="401">
        <f t="shared" si="13"/>
        <v>59400.530000000006</v>
      </c>
      <c r="K54" s="401">
        <f t="shared" si="14"/>
        <v>9755.1299999999992</v>
      </c>
      <c r="L54" s="401">
        <f t="shared" si="14"/>
        <v>49645.400000000009</v>
      </c>
    </row>
    <row r="55" spans="1:12">
      <c r="A55" s="64">
        <f t="shared" si="15"/>
        <v>38</v>
      </c>
      <c r="B55" s="399" t="s">
        <v>1614</v>
      </c>
      <c r="C55" s="636">
        <f t="shared" si="11"/>
        <v>9035334.2800000031</v>
      </c>
      <c r="D55" s="764">
        <v>4468502.1900000032</v>
      </c>
      <c r="E55" s="764">
        <v>4566832.09</v>
      </c>
      <c r="F55" s="856"/>
      <c r="G55" s="633">
        <f t="shared" si="12"/>
        <v>0</v>
      </c>
      <c r="H55" s="764">
        <v>0</v>
      </c>
      <c r="I55" s="764">
        <v>0</v>
      </c>
      <c r="J55" s="401">
        <f t="shared" si="13"/>
        <v>9035334.2800000031</v>
      </c>
      <c r="K55" s="401">
        <f t="shared" si="14"/>
        <v>4468502.1900000032</v>
      </c>
      <c r="L55" s="401">
        <f t="shared" si="14"/>
        <v>4566832.09</v>
      </c>
    </row>
    <row r="56" spans="1:12">
      <c r="A56" s="64">
        <f t="shared" si="15"/>
        <v>39</v>
      </c>
      <c r="B56" s="399" t="s">
        <v>1615</v>
      </c>
      <c r="C56" s="636">
        <f t="shared" si="11"/>
        <v>486655346.00999999</v>
      </c>
      <c r="D56" s="764">
        <v>202370098.99000001</v>
      </c>
      <c r="E56" s="764">
        <v>284285247.01999998</v>
      </c>
      <c r="F56" s="856" t="s">
        <v>1589</v>
      </c>
      <c r="G56" s="702">
        <f t="shared" si="12"/>
        <v>-5413267.2299999995</v>
      </c>
      <c r="H56" s="764">
        <v>-320628.80999999994</v>
      </c>
      <c r="I56" s="764">
        <v>-5092638.42</v>
      </c>
      <c r="J56" s="401">
        <f t="shared" si="13"/>
        <v>481242078.77999997</v>
      </c>
      <c r="K56" s="401">
        <f t="shared" si="14"/>
        <v>202049470.18000001</v>
      </c>
      <c r="L56" s="401">
        <f t="shared" si="14"/>
        <v>279192608.59999996</v>
      </c>
    </row>
    <row r="57" spans="1:12">
      <c r="A57" s="64">
        <f>A56+1</f>
        <v>40</v>
      </c>
      <c r="B57" s="399" t="s">
        <v>1616</v>
      </c>
      <c r="C57" s="623">
        <v>0</v>
      </c>
      <c r="D57" s="623">
        <v>0</v>
      </c>
      <c r="E57" s="623">
        <v>0</v>
      </c>
      <c r="F57" s="638"/>
      <c r="G57" s="637">
        <f>SUM(H57:I57)</f>
        <v>31695155.582421474</v>
      </c>
      <c r="H57" s="638">
        <f>+C64*C146</f>
        <v>31695155.582421474</v>
      </c>
      <c r="I57" s="638">
        <v>0</v>
      </c>
      <c r="J57" s="639">
        <f>SUM(K57:L57)</f>
        <v>31695155.582421474</v>
      </c>
      <c r="K57" s="639">
        <f t="shared" si="14"/>
        <v>31695155.582421474</v>
      </c>
      <c r="L57" s="639">
        <f t="shared" si="14"/>
        <v>0</v>
      </c>
    </row>
    <row r="58" spans="1:12">
      <c r="A58" s="64">
        <f t="shared" si="15"/>
        <v>41</v>
      </c>
      <c r="B58" s="265" t="s">
        <v>1617</v>
      </c>
      <c r="C58" s="631">
        <f>SUM(C52:C57)</f>
        <v>532926738.69</v>
      </c>
      <c r="D58" s="631">
        <f>SUM(D52:D57)</f>
        <v>235769301.35000002</v>
      </c>
      <c r="E58" s="631">
        <f>SUM(E52:E57)</f>
        <v>297157437.33999997</v>
      </c>
      <c r="F58" s="632"/>
      <c r="G58" s="635">
        <f t="shared" ref="G58:L58" si="16">SUM(G52:G57)</f>
        <v>26281888.352421474</v>
      </c>
      <c r="H58" s="631">
        <f t="shared" si="16"/>
        <v>31374526.772421475</v>
      </c>
      <c r="I58" s="631">
        <f t="shared" si="16"/>
        <v>-5092638.42</v>
      </c>
      <c r="J58" s="631">
        <f>SUM(J52:J57)</f>
        <v>559208627.04242146</v>
      </c>
      <c r="K58" s="631">
        <f t="shared" si="16"/>
        <v>267143828.1224215</v>
      </c>
      <c r="L58" s="631">
        <f t="shared" si="16"/>
        <v>292064798.91999996</v>
      </c>
    </row>
    <row r="59" spans="1:12">
      <c r="A59" s="64">
        <f t="shared" si="15"/>
        <v>42</v>
      </c>
      <c r="B59" s="630"/>
      <c r="C59" s="636"/>
      <c r="D59" s="631"/>
      <c r="E59" s="631"/>
      <c r="F59" s="640"/>
      <c r="G59" s="633"/>
      <c r="H59" s="634"/>
      <c r="I59" s="634"/>
      <c r="J59" s="401"/>
      <c r="K59" s="401"/>
      <c r="L59" s="401"/>
    </row>
    <row r="60" spans="1:12">
      <c r="A60" s="64">
        <f t="shared" si="15"/>
        <v>43</v>
      </c>
      <c r="B60" s="265" t="s">
        <v>1618</v>
      </c>
      <c r="C60" s="636">
        <f>+C43+C58</f>
        <v>792904579.26999998</v>
      </c>
      <c r="D60" s="636">
        <f>D58+D43</f>
        <v>310417465.38</v>
      </c>
      <c r="E60" s="636">
        <f>E58+E43</f>
        <v>482487113.88999999</v>
      </c>
      <c r="F60" s="641"/>
      <c r="G60" s="633">
        <f>+G43+G58</f>
        <v>-69535479.248450384</v>
      </c>
      <c r="H60" s="401">
        <f>H58+H43</f>
        <v>41303720.151549615</v>
      </c>
      <c r="I60" s="401">
        <f>I58+I43</f>
        <v>-110839199.40000001</v>
      </c>
      <c r="J60" s="401">
        <f>J58+J43</f>
        <v>723369100.02154958</v>
      </c>
      <c r="K60" s="401">
        <f>K58+K43</f>
        <v>351721185.53154957</v>
      </c>
      <c r="L60" s="401">
        <f>L58+L43</f>
        <v>371647914.48999995</v>
      </c>
    </row>
    <row r="61" spans="1:12">
      <c r="A61" s="64">
        <f t="shared" si="15"/>
        <v>44</v>
      </c>
      <c r="B61" s="630"/>
      <c r="C61" s="630"/>
      <c r="D61" s="630"/>
      <c r="E61" s="630"/>
      <c r="F61" s="641"/>
      <c r="G61" s="642"/>
      <c r="H61" s="634"/>
      <c r="I61" s="634"/>
      <c r="J61" s="328"/>
      <c r="K61" s="328"/>
      <c r="L61" s="328"/>
    </row>
    <row r="62" spans="1:12">
      <c r="A62" s="64">
        <f t="shared" si="15"/>
        <v>45</v>
      </c>
      <c r="B62" s="399" t="s">
        <v>1619</v>
      </c>
      <c r="C62" s="855">
        <v>259977841</v>
      </c>
      <c r="D62" s="643" t="s">
        <v>1620</v>
      </c>
      <c r="E62" s="636" t="str">
        <f>"Must equal Line "&amp;A43&amp;", Column 2."</f>
        <v>Must equal Line 33, Column 2.</v>
      </c>
      <c r="F62" s="641"/>
      <c r="G62" s="267"/>
      <c r="H62" s="268"/>
      <c r="I62" s="268"/>
      <c r="J62" s="268"/>
      <c r="K62" s="268"/>
      <c r="L62" s="268"/>
    </row>
    <row r="63" spans="1:12">
      <c r="A63" s="64">
        <f>A62+1</f>
        <v>46</v>
      </c>
      <c r="B63" s="399" t="s">
        <v>1621</v>
      </c>
      <c r="C63" s="855">
        <v>532926739</v>
      </c>
      <c r="D63" s="643" t="s">
        <v>1622</v>
      </c>
      <c r="E63" s="636" t="str">
        <f>"Must equal Line "&amp;A58&amp;", Column 2."</f>
        <v>Must equal Line 41, Column 2.</v>
      </c>
      <c r="F63" s="641"/>
      <c r="G63" s="633"/>
      <c r="H63" s="401"/>
      <c r="I63" s="401"/>
      <c r="J63" s="401"/>
      <c r="K63" s="401"/>
      <c r="L63" s="401"/>
    </row>
    <row r="64" spans="1:12">
      <c r="A64" s="64">
        <f>A63+1</f>
        <v>47</v>
      </c>
      <c r="B64" s="399" t="s">
        <v>1623</v>
      </c>
      <c r="C64" s="644">
        <f>'20-AandG'!E62</f>
        <v>41730326.231549613</v>
      </c>
      <c r="D64" s="643" t="str">
        <f>"20-AandG, Note 2, "&amp;'20-AandG'!B62&amp;""</f>
        <v>20-AandG, Note 2, f</v>
      </c>
      <c r="E64" s="636"/>
      <c r="F64" s="64"/>
      <c r="G64" s="633"/>
      <c r="H64" s="401"/>
      <c r="I64" s="401"/>
      <c r="J64" s="401"/>
      <c r="K64" s="401"/>
      <c r="L64" s="401"/>
    </row>
    <row r="65" spans="1:12">
      <c r="A65" s="269"/>
      <c r="C65" s="270"/>
      <c r="D65" s="636"/>
      <c r="E65" s="636"/>
      <c r="F65" s="641"/>
      <c r="G65" s="633"/>
      <c r="H65" s="401"/>
      <c r="I65" s="401"/>
      <c r="J65" s="401"/>
      <c r="K65" s="401"/>
      <c r="L65" s="401"/>
    </row>
    <row r="66" spans="1:12">
      <c r="A66" s="328"/>
      <c r="B66" s="243" t="s">
        <v>1624</v>
      </c>
      <c r="C66" s="630"/>
      <c r="D66" s="630"/>
      <c r="E66" s="630"/>
      <c r="F66" s="641"/>
      <c r="G66" s="642"/>
      <c r="H66" s="328"/>
      <c r="I66" s="328"/>
      <c r="J66" s="328"/>
      <c r="K66" s="328"/>
      <c r="L66" s="328"/>
    </row>
    <row r="67" spans="1:12">
      <c r="A67" s="328"/>
      <c r="C67" s="630"/>
      <c r="D67" s="630"/>
      <c r="E67" s="630"/>
      <c r="F67" s="641"/>
      <c r="G67" s="642"/>
      <c r="H67" s="328"/>
      <c r="I67" s="328"/>
      <c r="J67" s="328"/>
      <c r="K67" s="328"/>
      <c r="L67" s="328"/>
    </row>
    <row r="68" spans="1:12">
      <c r="A68" s="328"/>
      <c r="B68" s="52" t="s">
        <v>307</v>
      </c>
      <c r="C68" s="254" t="s">
        <v>308</v>
      </c>
      <c r="D68" s="254" t="s">
        <v>309</v>
      </c>
      <c r="E68" s="254" t="s">
        <v>310</v>
      </c>
      <c r="F68" s="255" t="s">
        <v>311</v>
      </c>
      <c r="G68" s="254" t="s">
        <v>312</v>
      </c>
      <c r="H68" s="254" t="s">
        <v>313</v>
      </c>
      <c r="I68" s="254" t="s">
        <v>314</v>
      </c>
      <c r="J68" s="703" t="s">
        <v>315</v>
      </c>
      <c r="K68" s="200"/>
      <c r="L68" s="52"/>
    </row>
    <row r="69" spans="1:12">
      <c r="A69" s="328"/>
      <c r="C69" s="630" t="s">
        <v>1625</v>
      </c>
      <c r="D69" s="630" t="s">
        <v>1626</v>
      </c>
      <c r="E69" s="630" t="s">
        <v>1627</v>
      </c>
      <c r="F69" s="1034" t="s">
        <v>1628</v>
      </c>
      <c r="G69" s="1033" t="s">
        <v>1560</v>
      </c>
      <c r="H69" s="1035" t="s">
        <v>1629</v>
      </c>
      <c r="I69" s="1035" t="s">
        <v>1630</v>
      </c>
      <c r="J69" s="308"/>
      <c r="K69" s="630"/>
      <c r="L69" s="328"/>
    </row>
    <row r="70" spans="1:12">
      <c r="C70" s="630"/>
      <c r="D70" s="630"/>
      <c r="E70" s="630"/>
      <c r="F70" s="641"/>
      <c r="G70" s="642"/>
      <c r="H70" s="328"/>
      <c r="I70" s="328"/>
      <c r="J70" s="630"/>
      <c r="K70" s="630"/>
      <c r="L70" s="328"/>
    </row>
    <row r="71" spans="1:12">
      <c r="A71" s="257"/>
      <c r="B71" s="1144" t="s">
        <v>1564</v>
      </c>
      <c r="C71" s="1145" t="s">
        <v>1567</v>
      </c>
      <c r="D71" s="1142"/>
      <c r="E71" s="1143"/>
      <c r="F71" s="271" t="s">
        <v>1631</v>
      </c>
      <c r="G71" s="1136" t="s">
        <v>1632</v>
      </c>
      <c r="H71" s="1137"/>
      <c r="I71" s="1138"/>
      <c r="J71" s="704" t="s">
        <v>1633</v>
      </c>
      <c r="K71" s="630"/>
    </row>
    <row r="72" spans="1:12">
      <c r="B72" s="1144"/>
      <c r="C72" s="1117" t="s">
        <v>388</v>
      </c>
      <c r="D72" s="259" t="s">
        <v>917</v>
      </c>
      <c r="E72" s="259" t="s">
        <v>1568</v>
      </c>
      <c r="F72" s="271" t="s">
        <v>1634</v>
      </c>
      <c r="G72" s="1117" t="s">
        <v>388</v>
      </c>
      <c r="H72" s="259" t="s">
        <v>917</v>
      </c>
      <c r="I72" s="259" t="s">
        <v>1568</v>
      </c>
      <c r="J72" s="1117" t="s">
        <v>251</v>
      </c>
      <c r="K72" s="630"/>
      <c r="L72" s="328"/>
    </row>
    <row r="73" spans="1:12">
      <c r="A73" s="28" t="s">
        <v>243</v>
      </c>
      <c r="B73" s="261" t="s">
        <v>1570</v>
      </c>
      <c r="C73" s="155"/>
      <c r="D73" s="262"/>
      <c r="E73" s="262"/>
      <c r="F73" s="272"/>
      <c r="G73" s="155"/>
      <c r="H73" s="262"/>
      <c r="I73" s="262"/>
      <c r="J73" s="308"/>
      <c r="K73" s="630"/>
      <c r="L73" s="328"/>
    </row>
    <row r="74" spans="1:12">
      <c r="A74" s="64">
        <f>A64+1</f>
        <v>48</v>
      </c>
      <c r="B74" s="315" t="s">
        <v>1571</v>
      </c>
      <c r="C74" s="636">
        <f t="shared" ref="C74:C103" si="17">J11</f>
        <v>7790825.8600000003</v>
      </c>
      <c r="D74" s="636">
        <f t="shared" ref="D74:D103" si="18">K11</f>
        <v>4060417.9300000006</v>
      </c>
      <c r="E74" s="636">
        <f t="shared" ref="E74:E103" si="19">L11</f>
        <v>3730407.9299999997</v>
      </c>
      <c r="F74" s="652">
        <f>'27-Allocators'!$D$47</f>
        <v>0.37071557426337942</v>
      </c>
      <c r="G74" s="645">
        <f>SUM(H74:I74)</f>
        <v>2888180.4826758867</v>
      </c>
      <c r="H74" s="645">
        <f>D74*F74</f>
        <v>1505260.1646692725</v>
      </c>
      <c r="I74" s="645">
        <f>E74*F74</f>
        <v>1382920.3180066145</v>
      </c>
      <c r="J74" s="419" t="s">
        <v>1635</v>
      </c>
      <c r="K74" s="630"/>
    </row>
    <row r="75" spans="1:12">
      <c r="A75" s="64">
        <f t="shared" ref="A75:A107" si="20">A74+1</f>
        <v>49</v>
      </c>
      <c r="B75" s="315" t="s">
        <v>1573</v>
      </c>
      <c r="C75" s="636">
        <f t="shared" si="17"/>
        <v>236782.3</v>
      </c>
      <c r="D75" s="636">
        <f t="shared" si="18"/>
        <v>0</v>
      </c>
      <c r="E75" s="636">
        <f t="shared" si="19"/>
        <v>236782.3</v>
      </c>
      <c r="F75" s="652">
        <v>1</v>
      </c>
      <c r="G75" s="645">
        <f t="shared" ref="G75:G103" si="21">SUM(H75:I75)</f>
        <v>236782.3</v>
      </c>
      <c r="H75" s="645">
        <f t="shared" ref="H75:H103" si="22">D75*F75</f>
        <v>0</v>
      </c>
      <c r="I75" s="645">
        <f t="shared" ref="I75:I103" si="23">E75*F75</f>
        <v>236782.3</v>
      </c>
      <c r="J75" s="1036" t="s">
        <v>1636</v>
      </c>
      <c r="K75" s="630"/>
    </row>
    <row r="76" spans="1:12">
      <c r="A76" s="64">
        <f t="shared" si="20"/>
        <v>50</v>
      </c>
      <c r="B76" s="399" t="s">
        <v>1574</v>
      </c>
      <c r="C76" s="636">
        <f t="shared" si="17"/>
        <v>10677344.129999997</v>
      </c>
      <c r="D76" s="636">
        <f t="shared" si="18"/>
        <v>8445222.2899999972</v>
      </c>
      <c r="E76" s="636">
        <f t="shared" si="19"/>
        <v>2232121.84</v>
      </c>
      <c r="F76" s="652">
        <f>'27-Allocators'!$D$47</f>
        <v>0.37071557426337942</v>
      </c>
      <c r="G76" s="645">
        <f t="shared" si="21"/>
        <v>3958257.7607606719</v>
      </c>
      <c r="H76" s="645">
        <f t="shared" si="22"/>
        <v>3130775.431019241</v>
      </c>
      <c r="I76" s="645">
        <f t="shared" si="23"/>
        <v>827482.32974143105</v>
      </c>
      <c r="J76" s="419" t="s">
        <v>1635</v>
      </c>
      <c r="K76" s="630"/>
    </row>
    <row r="77" spans="1:12">
      <c r="A77" s="64">
        <f t="shared" si="20"/>
        <v>51</v>
      </c>
      <c r="B77" s="399" t="s">
        <v>1575</v>
      </c>
      <c r="C77" s="636">
        <f t="shared" si="17"/>
        <v>0</v>
      </c>
      <c r="D77" s="636">
        <f t="shared" si="18"/>
        <v>0</v>
      </c>
      <c r="E77" s="636">
        <f t="shared" si="19"/>
        <v>0</v>
      </c>
      <c r="F77" s="652">
        <v>0</v>
      </c>
      <c r="G77" s="645">
        <f t="shared" si="21"/>
        <v>0</v>
      </c>
      <c r="H77" s="645">
        <f t="shared" si="22"/>
        <v>0</v>
      </c>
      <c r="I77" s="645">
        <f t="shared" si="23"/>
        <v>0</v>
      </c>
      <c r="J77" s="1036" t="s">
        <v>1637</v>
      </c>
      <c r="K77" s="630"/>
    </row>
    <row r="78" spans="1:12">
      <c r="A78" s="64">
        <f t="shared" si="20"/>
        <v>52</v>
      </c>
      <c r="B78" s="399" t="s">
        <v>1577</v>
      </c>
      <c r="C78" s="636">
        <f t="shared" si="17"/>
        <v>4373749.83</v>
      </c>
      <c r="D78" s="636">
        <f t="shared" si="18"/>
        <v>3933924.68</v>
      </c>
      <c r="E78" s="636">
        <f t="shared" si="19"/>
        <v>439825.15</v>
      </c>
      <c r="F78" s="652">
        <v>1</v>
      </c>
      <c r="G78" s="645">
        <f t="shared" si="21"/>
        <v>4373749.83</v>
      </c>
      <c r="H78" s="645">
        <f t="shared" si="22"/>
        <v>3933924.68</v>
      </c>
      <c r="I78" s="645">
        <f t="shared" si="23"/>
        <v>439825.15</v>
      </c>
      <c r="J78" s="1036" t="s">
        <v>1636</v>
      </c>
      <c r="K78" s="630"/>
    </row>
    <row r="79" spans="1:12">
      <c r="A79" s="64">
        <f t="shared" si="20"/>
        <v>53</v>
      </c>
      <c r="B79" s="399" t="s">
        <v>1578</v>
      </c>
      <c r="C79" s="636">
        <f t="shared" si="17"/>
        <v>21299110.940000001</v>
      </c>
      <c r="D79" s="636">
        <f t="shared" si="18"/>
        <v>17032798.830000002</v>
      </c>
      <c r="E79" s="636">
        <f t="shared" si="19"/>
        <v>4266312.1100000003</v>
      </c>
      <c r="F79" s="652">
        <f>'27-Allocators'!$D$47</f>
        <v>0.37071557426337942</v>
      </c>
      <c r="G79" s="645">
        <f t="shared" si="21"/>
        <v>7895912.1434215289</v>
      </c>
      <c r="H79" s="645">
        <f t="shared" si="22"/>
        <v>6314323.7995760683</v>
      </c>
      <c r="I79" s="645">
        <f t="shared" si="23"/>
        <v>1581588.3438454601</v>
      </c>
      <c r="J79" s="419" t="s">
        <v>1635</v>
      </c>
      <c r="K79" s="630"/>
    </row>
    <row r="80" spans="1:12">
      <c r="A80" s="64">
        <f t="shared" si="20"/>
        <v>54</v>
      </c>
      <c r="B80" s="399" t="s">
        <v>1579</v>
      </c>
      <c r="C80" s="636">
        <f t="shared" si="17"/>
        <v>0</v>
      </c>
      <c r="D80" s="636">
        <f t="shared" si="18"/>
        <v>0</v>
      </c>
      <c r="E80" s="636">
        <f t="shared" si="19"/>
        <v>0</v>
      </c>
      <c r="F80" s="652">
        <v>0</v>
      </c>
      <c r="G80" s="645">
        <f t="shared" si="21"/>
        <v>0</v>
      </c>
      <c r="H80" s="645">
        <f t="shared" si="22"/>
        <v>0</v>
      </c>
      <c r="I80" s="645">
        <f t="shared" si="23"/>
        <v>0</v>
      </c>
      <c r="J80" s="1036" t="s">
        <v>1637</v>
      </c>
      <c r="K80" s="630"/>
    </row>
    <row r="81" spans="1:11">
      <c r="A81" s="64">
        <f t="shared" si="20"/>
        <v>55</v>
      </c>
      <c r="B81" s="399" t="s">
        <v>1581</v>
      </c>
      <c r="C81" s="636">
        <f t="shared" si="17"/>
        <v>901303.9</v>
      </c>
      <c r="D81" s="636">
        <f t="shared" si="18"/>
        <v>0</v>
      </c>
      <c r="E81" s="636">
        <f t="shared" si="19"/>
        <v>901303.9</v>
      </c>
      <c r="F81" s="652">
        <v>1</v>
      </c>
      <c r="G81" s="645">
        <f t="shared" si="21"/>
        <v>901303.9</v>
      </c>
      <c r="H81" s="645">
        <f t="shared" si="22"/>
        <v>0</v>
      </c>
      <c r="I81" s="645">
        <f t="shared" si="23"/>
        <v>901303.9</v>
      </c>
      <c r="J81" s="1036" t="s">
        <v>1636</v>
      </c>
      <c r="K81" s="636"/>
    </row>
    <row r="82" spans="1:11">
      <c r="A82" s="64">
        <f t="shared" si="20"/>
        <v>56</v>
      </c>
      <c r="B82" s="399" t="s">
        <v>1582</v>
      </c>
      <c r="C82" s="636">
        <f t="shared" si="17"/>
        <v>5388237.7000000002</v>
      </c>
      <c r="D82" s="636">
        <f t="shared" si="18"/>
        <v>3483356.4600000009</v>
      </c>
      <c r="E82" s="636">
        <f t="shared" si="19"/>
        <v>1904881.2399999995</v>
      </c>
      <c r="F82" s="652">
        <f>'27-Allocators'!$D$35</f>
        <v>0.46895303890122542</v>
      </c>
      <c r="G82" s="645">
        <f t="shared" si="21"/>
        <v>2526830.4437371492</v>
      </c>
      <c r="H82" s="645">
        <f t="shared" si="22"/>
        <v>1633530.5974932152</v>
      </c>
      <c r="I82" s="645">
        <f t="shared" si="23"/>
        <v>893299.84624393424</v>
      </c>
      <c r="J82" s="419" t="s">
        <v>1638</v>
      </c>
      <c r="K82" s="630"/>
    </row>
    <row r="83" spans="1:11" ht="12.75" customHeight="1">
      <c r="A83" s="64">
        <f t="shared" si="20"/>
        <v>57</v>
      </c>
      <c r="B83" s="399" t="s">
        <v>1583</v>
      </c>
      <c r="C83" s="643">
        <f t="shared" si="17"/>
        <v>1929613.5799999998</v>
      </c>
      <c r="D83" s="643">
        <f t="shared" si="18"/>
        <v>1629005.6199999999</v>
      </c>
      <c r="E83" s="643">
        <f t="shared" si="19"/>
        <v>300607.96000000002</v>
      </c>
      <c r="F83" s="652">
        <f>'27-Allocators'!$D$41</f>
        <v>1.3774104683195593E-2</v>
      </c>
      <c r="G83" s="647">
        <f t="shared" si="21"/>
        <v>26578.699449035812</v>
      </c>
      <c r="H83" s="647">
        <f t="shared" si="22"/>
        <v>22438.093939393937</v>
      </c>
      <c r="I83" s="647">
        <f t="shared" si="23"/>
        <v>4140.6055096418741</v>
      </c>
      <c r="J83" s="419" t="s">
        <v>1639</v>
      </c>
      <c r="K83" s="636"/>
    </row>
    <row r="84" spans="1:11">
      <c r="A84" s="64">
        <f t="shared" si="20"/>
        <v>58</v>
      </c>
      <c r="B84" s="399" t="s">
        <v>1584</v>
      </c>
      <c r="C84" s="636">
        <f t="shared" si="17"/>
        <v>-9783.35</v>
      </c>
      <c r="D84" s="636">
        <f t="shared" si="18"/>
        <v>0</v>
      </c>
      <c r="E84" s="636">
        <f t="shared" si="19"/>
        <v>-9783.35</v>
      </c>
      <c r="F84" s="652">
        <v>1</v>
      </c>
      <c r="G84" s="645">
        <f t="shared" si="21"/>
        <v>-9783.35</v>
      </c>
      <c r="H84" s="645">
        <f t="shared" si="22"/>
        <v>0</v>
      </c>
      <c r="I84" s="645">
        <f t="shared" si="23"/>
        <v>-9783.35</v>
      </c>
      <c r="J84" s="1036" t="s">
        <v>1636</v>
      </c>
      <c r="K84" s="630"/>
    </row>
    <row r="85" spans="1:11">
      <c r="A85" s="64">
        <f t="shared" si="20"/>
        <v>59</v>
      </c>
      <c r="B85" s="399" t="s">
        <v>1585</v>
      </c>
      <c r="C85" s="636">
        <f t="shared" si="17"/>
        <v>0</v>
      </c>
      <c r="D85" s="636">
        <f t="shared" si="18"/>
        <v>0</v>
      </c>
      <c r="E85" s="636">
        <f t="shared" si="19"/>
        <v>0</v>
      </c>
      <c r="F85" s="652">
        <v>0</v>
      </c>
      <c r="G85" s="645">
        <f t="shared" si="21"/>
        <v>0</v>
      </c>
      <c r="H85" s="645">
        <f t="shared" si="22"/>
        <v>0</v>
      </c>
      <c r="I85" s="645">
        <f t="shared" si="23"/>
        <v>0</v>
      </c>
      <c r="J85" s="1036" t="s">
        <v>1637</v>
      </c>
      <c r="K85" s="630"/>
    </row>
    <row r="86" spans="1:11">
      <c r="A86" s="64">
        <f t="shared" si="20"/>
        <v>60</v>
      </c>
      <c r="B86" s="399" t="s">
        <v>1587</v>
      </c>
      <c r="C86" s="636">
        <f t="shared" si="17"/>
        <v>282330.11</v>
      </c>
      <c r="D86" s="636">
        <f t="shared" si="18"/>
        <v>0</v>
      </c>
      <c r="E86" s="636">
        <f t="shared" si="19"/>
        <v>282330.11</v>
      </c>
      <c r="F86" s="652">
        <v>0</v>
      </c>
      <c r="G86" s="645">
        <f t="shared" si="21"/>
        <v>0</v>
      </c>
      <c r="H86" s="645">
        <f t="shared" si="22"/>
        <v>0</v>
      </c>
      <c r="I86" s="645">
        <f t="shared" si="23"/>
        <v>0</v>
      </c>
      <c r="J86" s="1036" t="s">
        <v>1637</v>
      </c>
      <c r="K86" s="630"/>
    </row>
    <row r="87" spans="1:11">
      <c r="A87" s="64">
        <f t="shared" si="20"/>
        <v>61</v>
      </c>
      <c r="B87" s="399" t="s">
        <v>1588</v>
      </c>
      <c r="C87" s="636">
        <f t="shared" si="17"/>
        <v>43129507.029999986</v>
      </c>
      <c r="D87" s="636">
        <f t="shared" si="18"/>
        <v>21158500.029999983</v>
      </c>
      <c r="E87" s="636">
        <f t="shared" si="19"/>
        <v>21971007</v>
      </c>
      <c r="F87" s="652">
        <f>'27-Allocators'!$D$47</f>
        <v>0.37071557426337942</v>
      </c>
      <c r="G87" s="645">
        <f t="shared" si="21"/>
        <v>15988779.966322903</v>
      </c>
      <c r="H87" s="645">
        <f t="shared" si="22"/>
        <v>7843785.4891731739</v>
      </c>
      <c r="I87" s="645">
        <f t="shared" si="23"/>
        <v>8144994.4771497287</v>
      </c>
      <c r="J87" s="419" t="s">
        <v>1635</v>
      </c>
      <c r="K87" s="636"/>
    </row>
    <row r="88" spans="1:11">
      <c r="A88" s="64">
        <f t="shared" si="20"/>
        <v>62</v>
      </c>
      <c r="B88" s="399" t="s">
        <v>1590</v>
      </c>
      <c r="C88" s="636">
        <f t="shared" si="17"/>
        <v>1975933.0800000003</v>
      </c>
      <c r="D88" s="636">
        <f t="shared" si="18"/>
        <v>277283.76</v>
      </c>
      <c r="E88" s="636">
        <f t="shared" si="19"/>
        <v>1698649.3200000003</v>
      </c>
      <c r="F88" s="652">
        <v>0</v>
      </c>
      <c r="G88" s="645">
        <f t="shared" si="21"/>
        <v>0</v>
      </c>
      <c r="H88" s="645">
        <f t="shared" si="22"/>
        <v>0</v>
      </c>
      <c r="I88" s="645">
        <f t="shared" si="23"/>
        <v>0</v>
      </c>
      <c r="J88" s="1036" t="s">
        <v>1637</v>
      </c>
      <c r="K88" s="630"/>
    </row>
    <row r="89" spans="1:11">
      <c r="A89" s="64">
        <f t="shared" si="20"/>
        <v>63</v>
      </c>
      <c r="B89" s="399" t="s">
        <v>1592</v>
      </c>
      <c r="C89" s="636">
        <f t="shared" si="17"/>
        <v>1110387.45</v>
      </c>
      <c r="D89" s="636">
        <f t="shared" si="18"/>
        <v>0</v>
      </c>
      <c r="E89" s="636">
        <f t="shared" si="19"/>
        <v>1110387.45</v>
      </c>
      <c r="F89" s="652">
        <v>1</v>
      </c>
      <c r="G89" s="645">
        <f t="shared" si="21"/>
        <v>1110387.45</v>
      </c>
      <c r="H89" s="645">
        <f t="shared" si="22"/>
        <v>0</v>
      </c>
      <c r="I89" s="645">
        <f t="shared" si="23"/>
        <v>1110387.45</v>
      </c>
      <c r="J89" s="1036" t="s">
        <v>1636</v>
      </c>
      <c r="K89" s="630"/>
    </row>
    <row r="90" spans="1:11">
      <c r="A90" s="64">
        <f t="shared" si="20"/>
        <v>64</v>
      </c>
      <c r="B90" s="399" t="s">
        <v>1593</v>
      </c>
      <c r="C90" s="636">
        <f t="shared" si="17"/>
        <v>15939487.119999999</v>
      </c>
      <c r="D90" s="636">
        <f t="shared" si="18"/>
        <v>5614.2400000000007</v>
      </c>
      <c r="E90" s="636">
        <f t="shared" si="19"/>
        <v>15933872.879999999</v>
      </c>
      <c r="F90" s="652">
        <f>'27-Allocators'!$D$35</f>
        <v>0.46895303890122542</v>
      </c>
      <c r="G90" s="645">
        <f t="shared" si="21"/>
        <v>7474870.9234509412</v>
      </c>
      <c r="H90" s="645">
        <f t="shared" si="22"/>
        <v>2632.8149091208161</v>
      </c>
      <c r="I90" s="645">
        <f t="shared" si="23"/>
        <v>7472238.1085418202</v>
      </c>
      <c r="J90" s="419" t="s">
        <v>1638</v>
      </c>
      <c r="K90" s="636"/>
    </row>
    <row r="91" spans="1:11">
      <c r="A91" s="64">
        <f t="shared" si="20"/>
        <v>65</v>
      </c>
      <c r="B91" s="399" t="s">
        <v>1594</v>
      </c>
      <c r="C91" s="636">
        <f t="shared" si="17"/>
        <v>82878.5</v>
      </c>
      <c r="D91" s="636">
        <f t="shared" si="18"/>
        <v>0</v>
      </c>
      <c r="E91" s="636">
        <f t="shared" si="19"/>
        <v>82878.5</v>
      </c>
      <c r="F91" s="652">
        <v>1</v>
      </c>
      <c r="G91" s="645">
        <f t="shared" si="21"/>
        <v>82878.5</v>
      </c>
      <c r="H91" s="645">
        <f t="shared" si="22"/>
        <v>0</v>
      </c>
      <c r="I91" s="645">
        <f t="shared" si="23"/>
        <v>82878.5</v>
      </c>
      <c r="J91" s="1036" t="s">
        <v>1636</v>
      </c>
      <c r="K91" s="308"/>
    </row>
    <row r="92" spans="1:11">
      <c r="A92" s="64">
        <f t="shared" si="20"/>
        <v>66</v>
      </c>
      <c r="B92" s="399" t="s">
        <v>1595</v>
      </c>
      <c r="C92" s="636">
        <f t="shared" si="17"/>
        <v>438002.55</v>
      </c>
      <c r="D92" s="636">
        <f t="shared" si="18"/>
        <v>0</v>
      </c>
      <c r="E92" s="636">
        <f t="shared" si="19"/>
        <v>438002.55</v>
      </c>
      <c r="F92" s="652">
        <v>1</v>
      </c>
      <c r="G92" s="645">
        <f t="shared" ref="G92" si="24">SUM(H92:I92)</f>
        <v>438002.55</v>
      </c>
      <c r="H92" s="645">
        <f t="shared" ref="H92" si="25">D92*F92</f>
        <v>0</v>
      </c>
      <c r="I92" s="645">
        <f t="shared" ref="I92" si="26">E92*F92</f>
        <v>438002.55</v>
      </c>
      <c r="J92" s="1036" t="s">
        <v>1636</v>
      </c>
      <c r="K92" s="308"/>
    </row>
    <row r="93" spans="1:11">
      <c r="A93" s="64">
        <f t="shared" si="20"/>
        <v>67</v>
      </c>
      <c r="B93" s="399" t="s">
        <v>1596</v>
      </c>
      <c r="C93" s="636">
        <f t="shared" si="17"/>
        <v>2571657.44</v>
      </c>
      <c r="D93" s="636">
        <f t="shared" si="18"/>
        <v>2231814.2599999998</v>
      </c>
      <c r="E93" s="636">
        <f t="shared" si="19"/>
        <v>339843.18</v>
      </c>
      <c r="F93" s="652">
        <f>'27-Allocators'!$D$47</f>
        <v>0.37071557426337942</v>
      </c>
      <c r="G93" s="645">
        <f t="shared" si="21"/>
        <v>953353.46467829216</v>
      </c>
      <c r="H93" s="645">
        <f t="shared" si="22"/>
        <v>827368.30504509911</v>
      </c>
      <c r="I93" s="645">
        <f t="shared" si="23"/>
        <v>125985.15963319302</v>
      </c>
      <c r="J93" s="419" t="s">
        <v>1635</v>
      </c>
      <c r="K93" s="630"/>
    </row>
    <row r="94" spans="1:11">
      <c r="A94" s="64">
        <f t="shared" si="20"/>
        <v>68</v>
      </c>
      <c r="B94" s="399" t="s">
        <v>1597</v>
      </c>
      <c r="C94" s="636">
        <f t="shared" si="17"/>
        <v>248127.19</v>
      </c>
      <c r="D94" s="636">
        <f t="shared" si="18"/>
        <v>0</v>
      </c>
      <c r="E94" s="636">
        <f t="shared" si="19"/>
        <v>248127.19</v>
      </c>
      <c r="F94" s="652">
        <v>1</v>
      </c>
      <c r="G94" s="645">
        <f t="shared" si="21"/>
        <v>248127.19</v>
      </c>
      <c r="H94" s="645">
        <f t="shared" si="22"/>
        <v>0</v>
      </c>
      <c r="I94" s="645">
        <f t="shared" si="23"/>
        <v>248127.19</v>
      </c>
      <c r="J94" s="1036" t="s">
        <v>1636</v>
      </c>
      <c r="K94" s="636"/>
    </row>
    <row r="95" spans="1:11">
      <c r="A95" s="64">
        <f t="shared" si="20"/>
        <v>69</v>
      </c>
      <c r="B95" s="399" t="s">
        <v>1598</v>
      </c>
      <c r="C95" s="636">
        <f t="shared" si="17"/>
        <v>3066512.45</v>
      </c>
      <c r="D95" s="636">
        <f t="shared" si="18"/>
        <v>-15573.549999999997</v>
      </c>
      <c r="E95" s="636">
        <f t="shared" si="19"/>
        <v>3082086</v>
      </c>
      <c r="F95" s="652">
        <f>'27-Allocators'!$D$47</f>
        <v>0.37071557426337942</v>
      </c>
      <c r="G95" s="645">
        <f t="shared" si="21"/>
        <v>1136803.9238875527</v>
      </c>
      <c r="H95" s="645">
        <f t="shared" si="22"/>
        <v>-5773.3575315694516</v>
      </c>
      <c r="I95" s="645">
        <f t="shared" si="23"/>
        <v>1142577.2814191221</v>
      </c>
      <c r="J95" s="419" t="s">
        <v>1635</v>
      </c>
      <c r="K95" s="308"/>
    </row>
    <row r="96" spans="1:11">
      <c r="A96" s="64">
        <f t="shared" si="20"/>
        <v>70</v>
      </c>
      <c r="B96" s="399" t="s">
        <v>1600</v>
      </c>
      <c r="C96" s="636">
        <f t="shared" si="17"/>
        <v>147366.79999999999</v>
      </c>
      <c r="D96" s="636">
        <f t="shared" si="18"/>
        <v>0</v>
      </c>
      <c r="E96" s="636">
        <f t="shared" si="19"/>
        <v>147366.79999999999</v>
      </c>
      <c r="F96" s="652">
        <v>1</v>
      </c>
      <c r="G96" s="645">
        <f t="shared" si="21"/>
        <v>147366.79999999999</v>
      </c>
      <c r="H96" s="645">
        <f t="shared" si="22"/>
        <v>0</v>
      </c>
      <c r="I96" s="645">
        <f t="shared" si="23"/>
        <v>147366.79999999999</v>
      </c>
      <c r="J96" s="1036" t="s">
        <v>1636</v>
      </c>
      <c r="K96" s="308"/>
    </row>
    <row r="97" spans="1:12">
      <c r="A97" s="64">
        <f t="shared" si="20"/>
        <v>71</v>
      </c>
      <c r="B97" s="399" t="s">
        <v>1601</v>
      </c>
      <c r="C97" s="636">
        <f t="shared" si="17"/>
        <v>8094280.9200000018</v>
      </c>
      <c r="D97" s="636">
        <f t="shared" si="18"/>
        <v>4388694.8900000006</v>
      </c>
      <c r="E97" s="636">
        <f t="shared" si="19"/>
        <v>3705586.0300000007</v>
      </c>
      <c r="F97" s="652">
        <f>'27-Allocators'!$D$47</f>
        <v>0.37071557426337942</v>
      </c>
      <c r="G97" s="645">
        <f t="shared" si="21"/>
        <v>3000675.9995069155</v>
      </c>
      <c r="H97" s="645">
        <f t="shared" si="22"/>
        <v>1626957.5464131089</v>
      </c>
      <c r="I97" s="645">
        <f t="shared" si="23"/>
        <v>1373718.4530938065</v>
      </c>
      <c r="J97" s="419" t="s">
        <v>1635</v>
      </c>
      <c r="K97" s="308"/>
    </row>
    <row r="98" spans="1:12">
      <c r="A98" s="64">
        <f t="shared" si="20"/>
        <v>72</v>
      </c>
      <c r="B98" s="399" t="s">
        <v>1602</v>
      </c>
      <c r="C98" s="636">
        <f t="shared" si="17"/>
        <v>1007420.83</v>
      </c>
      <c r="D98" s="636">
        <f t="shared" si="18"/>
        <v>14053.08</v>
      </c>
      <c r="E98" s="636">
        <f t="shared" si="19"/>
        <v>993367.75</v>
      </c>
      <c r="F98" s="652">
        <v>1</v>
      </c>
      <c r="G98" s="645">
        <f t="shared" si="21"/>
        <v>1007420.83</v>
      </c>
      <c r="H98" s="645">
        <f t="shared" si="22"/>
        <v>14053.08</v>
      </c>
      <c r="I98" s="645">
        <f t="shared" si="23"/>
        <v>993367.75</v>
      </c>
      <c r="J98" s="1036" t="s">
        <v>1636</v>
      </c>
      <c r="K98" s="308"/>
    </row>
    <row r="99" spans="1:12">
      <c r="A99" s="64">
        <f t="shared" si="20"/>
        <v>73</v>
      </c>
      <c r="B99" s="399" t="s">
        <v>1603</v>
      </c>
      <c r="C99" s="636">
        <f t="shared" si="17"/>
        <v>22965554.780000001</v>
      </c>
      <c r="D99" s="636">
        <f t="shared" si="18"/>
        <v>7256766.3899999997</v>
      </c>
      <c r="E99" s="636">
        <f t="shared" si="19"/>
        <v>15708788.390000001</v>
      </c>
      <c r="F99" s="652">
        <f>'27-Allocators'!$D$35</f>
        <v>0.46895303890122542</v>
      </c>
      <c r="G99" s="645">
        <f t="shared" si="21"/>
        <v>10769766.704133563</v>
      </c>
      <c r="H99" s="645">
        <f t="shared" si="22"/>
        <v>3403082.651186775</v>
      </c>
      <c r="I99" s="645">
        <f t="shared" si="23"/>
        <v>7366684.0529467883</v>
      </c>
      <c r="J99" s="419" t="s">
        <v>1638</v>
      </c>
      <c r="K99" s="308"/>
    </row>
    <row r="100" spans="1:12">
      <c r="A100" s="64">
        <f t="shared" si="20"/>
        <v>74</v>
      </c>
      <c r="B100" s="399" t="s">
        <v>1604</v>
      </c>
      <c r="C100" s="636">
        <f t="shared" si="17"/>
        <v>518174.82</v>
      </c>
      <c r="D100" s="636">
        <f t="shared" si="18"/>
        <v>0</v>
      </c>
      <c r="E100" s="636">
        <f t="shared" si="19"/>
        <v>518174.82</v>
      </c>
      <c r="F100" s="652">
        <v>1</v>
      </c>
      <c r="G100" s="645">
        <f t="shared" si="21"/>
        <v>518174.82</v>
      </c>
      <c r="H100" s="645">
        <f t="shared" si="22"/>
        <v>0</v>
      </c>
      <c r="I100" s="645">
        <f t="shared" si="23"/>
        <v>518174.82</v>
      </c>
      <c r="J100" s="1036" t="s">
        <v>1636</v>
      </c>
      <c r="K100" s="308"/>
    </row>
    <row r="101" spans="1:12">
      <c r="A101" s="64">
        <f t="shared" si="20"/>
        <v>75</v>
      </c>
      <c r="B101" s="399" t="s">
        <v>1605</v>
      </c>
      <c r="C101" s="636">
        <f t="shared" si="17"/>
        <v>322776.31</v>
      </c>
      <c r="D101" s="636">
        <f t="shared" si="18"/>
        <v>63259.859999999993</v>
      </c>
      <c r="E101" s="636">
        <f t="shared" si="19"/>
        <v>259516.44999999998</v>
      </c>
      <c r="F101" s="652">
        <f>'27-Allocators'!$D$41</f>
        <v>1.3774104683195593E-2</v>
      </c>
      <c r="G101" s="645">
        <f t="shared" si="21"/>
        <v>4445.9546831955922</v>
      </c>
      <c r="H101" s="645">
        <f t="shared" si="22"/>
        <v>871.3479338842975</v>
      </c>
      <c r="I101" s="645">
        <f t="shared" si="23"/>
        <v>3574.6067493112946</v>
      </c>
      <c r="J101" s="419" t="s">
        <v>1639</v>
      </c>
      <c r="K101" s="308"/>
    </row>
    <row r="102" spans="1:12">
      <c r="A102" s="64">
        <f t="shared" si="20"/>
        <v>76</v>
      </c>
      <c r="B102" s="399" t="s">
        <v>1606</v>
      </c>
      <c r="C102" s="636">
        <f t="shared" si="17"/>
        <v>392.55</v>
      </c>
      <c r="D102" s="636">
        <f t="shared" si="18"/>
        <v>0</v>
      </c>
      <c r="E102" s="636">
        <f t="shared" si="19"/>
        <v>392.55</v>
      </c>
      <c r="F102" s="652">
        <v>1</v>
      </c>
      <c r="G102" s="645">
        <f t="shared" si="21"/>
        <v>392.55</v>
      </c>
      <c r="H102" s="645">
        <f t="shared" si="22"/>
        <v>0</v>
      </c>
      <c r="I102" s="645">
        <f t="shared" si="23"/>
        <v>392.55</v>
      </c>
      <c r="J102" s="1036" t="s">
        <v>1636</v>
      </c>
      <c r="K102" s="308"/>
    </row>
    <row r="103" spans="1:12">
      <c r="A103" s="64">
        <f t="shared" si="20"/>
        <v>77</v>
      </c>
      <c r="B103" s="399" t="s">
        <v>1607</v>
      </c>
      <c r="C103" s="636">
        <f t="shared" si="17"/>
        <v>-362672.48999999987</v>
      </c>
      <c r="D103" s="636">
        <f t="shared" si="18"/>
        <v>577047.99000000011</v>
      </c>
      <c r="E103" s="636">
        <f t="shared" si="19"/>
        <v>-939720.48</v>
      </c>
      <c r="F103" s="652">
        <f>'27-Allocators'!$D$47</f>
        <v>0.37071557426337942</v>
      </c>
      <c r="G103" s="645">
        <f t="shared" si="21"/>
        <v>-134448.3403998797</v>
      </c>
      <c r="H103" s="645">
        <f t="shared" si="22"/>
        <v>213920.67699037885</v>
      </c>
      <c r="I103" s="645">
        <f t="shared" si="23"/>
        <v>-348369.01739025855</v>
      </c>
      <c r="J103" s="419" t="s">
        <v>1635</v>
      </c>
      <c r="K103" s="308"/>
    </row>
    <row r="104" spans="1:12">
      <c r="A104" s="64">
        <f t="shared" si="20"/>
        <v>78</v>
      </c>
      <c r="B104" s="399" t="s">
        <v>661</v>
      </c>
      <c r="C104" s="1037" t="s">
        <v>351</v>
      </c>
      <c r="D104" s="1037" t="s">
        <v>351</v>
      </c>
      <c r="E104" s="1037" t="s">
        <v>351</v>
      </c>
      <c r="F104" s="1037" t="s">
        <v>351</v>
      </c>
      <c r="G104" s="1037" t="s">
        <v>351</v>
      </c>
      <c r="H104" s="1037" t="s">
        <v>351</v>
      </c>
      <c r="I104" s="1037" t="s">
        <v>351</v>
      </c>
      <c r="J104" s="308"/>
      <c r="K104" s="308"/>
    </row>
    <row r="105" spans="1:12">
      <c r="A105" s="64">
        <f t="shared" si="20"/>
        <v>79</v>
      </c>
      <c r="B105" s="399" t="s">
        <v>1640</v>
      </c>
      <c r="C105" s="648">
        <f>J42</f>
        <v>10035170.649128139</v>
      </c>
      <c r="D105" s="648">
        <f>K42</f>
        <v>10035170.649128139</v>
      </c>
      <c r="E105" s="648">
        <f>L42</f>
        <v>0</v>
      </c>
      <c r="F105" s="649"/>
      <c r="G105" s="650">
        <f>SUM(H105:I105)</f>
        <v>4101611.1276906431</v>
      </c>
      <c r="H105" s="650">
        <f>D105*C150</f>
        <v>4101611.1276906431</v>
      </c>
      <c r="I105" s="650">
        <v>0</v>
      </c>
      <c r="J105" s="308"/>
      <c r="K105" s="308"/>
    </row>
    <row r="106" spans="1:12">
      <c r="A106" s="64">
        <f t="shared" si="20"/>
        <v>80</v>
      </c>
      <c r="B106" s="265" t="s">
        <v>1641</v>
      </c>
      <c r="C106" s="634">
        <f>SUM(C74:C105)</f>
        <v>164160472.97912812</v>
      </c>
      <c r="D106" s="634">
        <f>SUM(D74:D105)</f>
        <v>84577357.4091281</v>
      </c>
      <c r="E106" s="634">
        <f>SUM(E74:E105)</f>
        <v>79583115.569999978</v>
      </c>
      <c r="F106" s="651"/>
      <c r="G106" s="634">
        <f>SUM(G74:G105)</f>
        <v>69646422.623998374</v>
      </c>
      <c r="H106" s="634">
        <f>SUM(H74:H105)</f>
        <v>34568762.448507801</v>
      </c>
      <c r="I106" s="634">
        <f>SUM(I74:I105)</f>
        <v>35077660.175490595</v>
      </c>
      <c r="J106" s="308"/>
      <c r="K106" s="612"/>
      <c r="L106" s="308"/>
    </row>
    <row r="107" spans="1:12">
      <c r="A107" s="64">
        <f t="shared" si="20"/>
        <v>81</v>
      </c>
      <c r="B107" s="328"/>
      <c r="C107" s="401"/>
      <c r="D107" s="401"/>
      <c r="E107" s="401"/>
      <c r="F107" s="651"/>
      <c r="G107" s="652"/>
      <c r="H107" s="645"/>
      <c r="I107" s="645"/>
      <c r="J107" s="645"/>
      <c r="K107" s="612"/>
    </row>
    <row r="108" spans="1:12">
      <c r="A108" s="64"/>
      <c r="B108" s="265"/>
      <c r="C108" s="273"/>
      <c r="D108" s="273"/>
      <c r="E108" s="273"/>
      <c r="F108" s="274"/>
      <c r="G108" s="275"/>
      <c r="H108" s="273"/>
      <c r="I108" s="273"/>
      <c r="J108" s="273"/>
      <c r="K108" s="308"/>
    </row>
    <row r="109" spans="1:12">
      <c r="A109" s="64"/>
      <c r="B109" s="52" t="s">
        <v>307</v>
      </c>
      <c r="C109" s="254" t="s">
        <v>308</v>
      </c>
      <c r="D109" s="254" t="s">
        <v>309</v>
      </c>
      <c r="E109" s="254" t="s">
        <v>310</v>
      </c>
      <c r="F109" s="255" t="s">
        <v>311</v>
      </c>
      <c r="G109" s="254" t="s">
        <v>312</v>
      </c>
      <c r="H109" s="254" t="s">
        <v>313</v>
      </c>
      <c r="I109" s="254" t="s">
        <v>314</v>
      </c>
      <c r="J109" s="703" t="s">
        <v>315</v>
      </c>
      <c r="K109" s="308"/>
    </row>
    <row r="110" spans="1:12">
      <c r="A110" s="64"/>
      <c r="C110" s="630" t="s">
        <v>1625</v>
      </c>
      <c r="D110" s="630" t="s">
        <v>1626</v>
      </c>
      <c r="E110" s="630" t="s">
        <v>1627</v>
      </c>
      <c r="F110" s="1034" t="s">
        <v>1628</v>
      </c>
      <c r="G110" s="1033" t="s">
        <v>1560</v>
      </c>
      <c r="H110" s="1035" t="s">
        <v>1629</v>
      </c>
      <c r="I110" s="1035" t="s">
        <v>1630</v>
      </c>
      <c r="J110" s="308"/>
      <c r="K110" s="308"/>
    </row>
    <row r="111" spans="1:12">
      <c r="A111" s="64"/>
      <c r="C111" s="630"/>
      <c r="D111" s="630"/>
      <c r="E111" s="630"/>
      <c r="F111" s="641"/>
      <c r="G111" s="642"/>
      <c r="H111" s="328"/>
      <c r="I111" s="328"/>
      <c r="J111" s="630"/>
      <c r="K111" s="308"/>
    </row>
    <row r="112" spans="1:12">
      <c r="A112" s="64"/>
      <c r="B112" s="1144" t="s">
        <v>1564</v>
      </c>
      <c r="C112" s="1145" t="s">
        <v>1567</v>
      </c>
      <c r="D112" s="1142"/>
      <c r="E112" s="1143"/>
      <c r="F112" s="271" t="s">
        <v>1631</v>
      </c>
      <c r="G112" s="1136" t="s">
        <v>1632</v>
      </c>
      <c r="H112" s="1137"/>
      <c r="I112" s="1138"/>
      <c r="J112" s="704" t="s">
        <v>1633</v>
      </c>
      <c r="K112" s="308"/>
    </row>
    <row r="113" spans="1:11">
      <c r="A113" s="64"/>
      <c r="B113" s="1144"/>
      <c r="C113" s="1117" t="s">
        <v>388</v>
      </c>
      <c r="D113" s="259" t="s">
        <v>917</v>
      </c>
      <c r="E113" s="259" t="s">
        <v>1568</v>
      </c>
      <c r="F113" s="271" t="s">
        <v>1634</v>
      </c>
      <c r="G113" s="1117" t="s">
        <v>388</v>
      </c>
      <c r="H113" s="259" t="s">
        <v>917</v>
      </c>
      <c r="I113" s="259" t="s">
        <v>1568</v>
      </c>
      <c r="J113" s="1117" t="s">
        <v>251</v>
      </c>
      <c r="K113" s="308"/>
    </row>
    <row r="114" spans="1:11" ht="12.75" customHeight="1">
      <c r="A114" s="64"/>
      <c r="B114" s="266" t="s">
        <v>1610</v>
      </c>
      <c r="C114" s="401"/>
      <c r="D114" s="401"/>
      <c r="E114" s="401"/>
      <c r="F114" s="651"/>
      <c r="G114" s="652"/>
      <c r="H114" s="645"/>
      <c r="I114" s="645"/>
      <c r="J114" s="645"/>
      <c r="K114" s="308"/>
    </row>
    <row r="115" spans="1:11" ht="12.75" customHeight="1">
      <c r="A115" s="64">
        <f>A107+1</f>
        <v>82</v>
      </c>
      <c r="B115" s="399" t="s">
        <v>1611</v>
      </c>
      <c r="C115" s="401">
        <f t="shared" ref="C115:E118" si="27">J52</f>
        <v>34617000.609999999</v>
      </c>
      <c r="D115" s="401">
        <f t="shared" si="27"/>
        <v>26689255.420000002</v>
      </c>
      <c r="E115" s="401">
        <f t="shared" si="27"/>
        <v>7927745.1900000013</v>
      </c>
      <c r="F115" s="652">
        <f>'27-Allocators'!$D$53</f>
        <v>0</v>
      </c>
      <c r="G115" s="645">
        <f>SUM(H115:I115)</f>
        <v>0</v>
      </c>
      <c r="H115" s="645">
        <f>D115*F115</f>
        <v>0</v>
      </c>
      <c r="I115" s="645">
        <f>E115*F115</f>
        <v>0</v>
      </c>
      <c r="J115" s="419" t="s">
        <v>1642</v>
      </c>
      <c r="K115" s="308"/>
    </row>
    <row r="116" spans="1:11" ht="12.75" customHeight="1">
      <c r="A116" s="64">
        <f t="shared" ref="A116:A125" si="28">A115+1</f>
        <v>83</v>
      </c>
      <c r="B116" s="399" t="s">
        <v>1612</v>
      </c>
      <c r="C116" s="401">
        <f t="shared" si="27"/>
        <v>2559657.2600000002</v>
      </c>
      <c r="D116" s="401">
        <f t="shared" si="27"/>
        <v>2231689.62</v>
      </c>
      <c r="E116" s="401">
        <f t="shared" si="27"/>
        <v>327967.64</v>
      </c>
      <c r="F116" s="652">
        <f>'27-Allocators'!$D$53</f>
        <v>0</v>
      </c>
      <c r="G116" s="645">
        <f>SUM(H116:I116)</f>
        <v>0</v>
      </c>
      <c r="H116" s="645">
        <f t="shared" ref="H116:H119" si="29">D116*F116</f>
        <v>0</v>
      </c>
      <c r="I116" s="645">
        <f t="shared" ref="I116:I119" si="30">E116*F116</f>
        <v>0</v>
      </c>
      <c r="J116" s="419" t="s">
        <v>1642</v>
      </c>
      <c r="K116" s="308"/>
    </row>
    <row r="117" spans="1:11" ht="12.75" customHeight="1">
      <c r="A117" s="64">
        <f t="shared" si="28"/>
        <v>84</v>
      </c>
      <c r="B117" s="399" t="s">
        <v>1613</v>
      </c>
      <c r="C117" s="401">
        <f t="shared" si="27"/>
        <v>59400.530000000006</v>
      </c>
      <c r="D117" s="401">
        <f t="shared" si="27"/>
        <v>9755.1299999999992</v>
      </c>
      <c r="E117" s="401">
        <f t="shared" si="27"/>
        <v>49645.400000000009</v>
      </c>
      <c r="F117" s="652">
        <f>'27-Allocators'!$D$53</f>
        <v>0</v>
      </c>
      <c r="G117" s="645">
        <f t="shared" ref="G117:G119" si="31">SUM(H117:I117)</f>
        <v>0</v>
      </c>
      <c r="H117" s="645">
        <f t="shared" si="29"/>
        <v>0</v>
      </c>
      <c r="I117" s="645">
        <f t="shared" si="30"/>
        <v>0</v>
      </c>
      <c r="J117" s="419" t="s">
        <v>1642</v>
      </c>
      <c r="K117" s="308"/>
    </row>
    <row r="118" spans="1:11" ht="12.75" customHeight="1">
      <c r="A118" s="64">
        <f t="shared" si="28"/>
        <v>85</v>
      </c>
      <c r="B118" s="399" t="s">
        <v>1614</v>
      </c>
      <c r="C118" s="401">
        <f t="shared" si="27"/>
        <v>9035334.2800000031</v>
      </c>
      <c r="D118" s="401">
        <f t="shared" si="27"/>
        <v>4468502.1900000032</v>
      </c>
      <c r="E118" s="401">
        <f t="shared" si="27"/>
        <v>4566832.09</v>
      </c>
      <c r="F118" s="652">
        <f>'27-Allocators'!$D$53</f>
        <v>0</v>
      </c>
      <c r="G118" s="645">
        <f t="shared" si="31"/>
        <v>0</v>
      </c>
      <c r="H118" s="645">
        <f t="shared" si="29"/>
        <v>0</v>
      </c>
      <c r="I118" s="645">
        <f t="shared" si="30"/>
        <v>0</v>
      </c>
      <c r="J118" s="419" t="s">
        <v>1642</v>
      </c>
      <c r="K118" s="308"/>
    </row>
    <row r="119" spans="1:11" ht="12.75" customHeight="1">
      <c r="A119" s="1007">
        <f t="shared" si="28"/>
        <v>86</v>
      </c>
      <c r="B119" s="653" t="s">
        <v>1615</v>
      </c>
      <c r="C119" s="654">
        <f t="shared" ref="C119:E120" si="32">J56</f>
        <v>481242078.77999997</v>
      </c>
      <c r="D119" s="1006">
        <f t="shared" si="32"/>
        <v>202049470.18000001</v>
      </c>
      <c r="E119" s="1006">
        <f t="shared" si="32"/>
        <v>279192608.59999996</v>
      </c>
      <c r="F119" s="1008">
        <v>0</v>
      </c>
      <c r="G119" s="645">
        <f t="shared" si="31"/>
        <v>0</v>
      </c>
      <c r="H119" s="645">
        <f t="shared" si="29"/>
        <v>0</v>
      </c>
      <c r="I119" s="645">
        <f t="shared" si="30"/>
        <v>0</v>
      </c>
      <c r="J119" s="1038" t="s">
        <v>1637</v>
      </c>
      <c r="K119" s="308"/>
    </row>
    <row r="120" spans="1:11" ht="12.75" customHeight="1">
      <c r="A120" s="64">
        <f t="shared" si="28"/>
        <v>87</v>
      </c>
      <c r="B120" s="399" t="s">
        <v>1643</v>
      </c>
      <c r="C120" s="639">
        <f t="shared" si="32"/>
        <v>31695155.582421474</v>
      </c>
      <c r="D120" s="639">
        <f t="shared" si="32"/>
        <v>31695155.582421474</v>
      </c>
      <c r="E120" s="639">
        <f t="shared" si="32"/>
        <v>0</v>
      </c>
      <c r="F120" s="1009">
        <v>0</v>
      </c>
      <c r="G120" s="650">
        <f>SUM(H120:I120)</f>
        <v>0</v>
      </c>
      <c r="H120" s="650">
        <f>D120*F120</f>
        <v>0</v>
      </c>
      <c r="I120" s="650">
        <f>E120*F120</f>
        <v>0</v>
      </c>
      <c r="J120" s="705" t="s">
        <v>1637</v>
      </c>
      <c r="K120" s="308"/>
    </row>
    <row r="121" spans="1:11">
      <c r="A121" s="64">
        <f t="shared" si="28"/>
        <v>88</v>
      </c>
      <c r="B121" s="265" t="s">
        <v>1644</v>
      </c>
      <c r="C121" s="401">
        <f>SUM(C115:C120)</f>
        <v>559208627.04242146</v>
      </c>
      <c r="D121" s="401">
        <f>SUM(D115:D120)</f>
        <v>267143828.1224215</v>
      </c>
      <c r="E121" s="401">
        <f>SUM(E115:E120)</f>
        <v>292064798.91999996</v>
      </c>
      <c r="F121" s="274"/>
      <c r="G121" s="634">
        <f>SUM(G115:G120)</f>
        <v>0</v>
      </c>
      <c r="H121" s="634">
        <f>SUM(H115:H120)</f>
        <v>0</v>
      </c>
      <c r="I121" s="634">
        <f>SUM(I115:I120)</f>
        <v>0</v>
      </c>
      <c r="J121" s="308"/>
      <c r="K121" s="308"/>
    </row>
    <row r="122" spans="1:11">
      <c r="A122" s="64">
        <f t="shared" si="28"/>
        <v>89</v>
      </c>
      <c r="B122" s="265"/>
      <c r="C122" s="401"/>
      <c r="D122" s="401"/>
      <c r="E122" s="401"/>
      <c r="F122" s="274"/>
      <c r="G122" s="634"/>
      <c r="H122" s="631"/>
      <c r="I122" s="276"/>
      <c r="J122" s="308"/>
      <c r="K122" s="308"/>
    </row>
    <row r="123" spans="1:11">
      <c r="A123" s="64">
        <f t="shared" si="28"/>
        <v>90</v>
      </c>
      <c r="B123" s="630"/>
      <c r="C123" s="636"/>
      <c r="D123" s="636"/>
      <c r="E123" s="636"/>
      <c r="F123" s="651"/>
      <c r="G123" s="645"/>
      <c r="H123" s="645"/>
      <c r="I123" s="645"/>
    </row>
    <row r="124" spans="1:11">
      <c r="A124" s="64">
        <f t="shared" si="28"/>
        <v>91</v>
      </c>
      <c r="B124" s="265" t="s">
        <v>1645</v>
      </c>
      <c r="C124" s="636">
        <f>+C106+C121</f>
        <v>723369100.02154958</v>
      </c>
      <c r="D124" s="636">
        <f>+D106+D121</f>
        <v>351721185.53154957</v>
      </c>
      <c r="E124" s="636">
        <f>+E106+E121</f>
        <v>371647914.48999995</v>
      </c>
      <c r="F124" s="263"/>
      <c r="G124" s="645">
        <f>+G106+G121</f>
        <v>69646422.623998374</v>
      </c>
      <c r="H124" s="636">
        <f>+H106+H121</f>
        <v>34568762.448507801</v>
      </c>
      <c r="I124" s="636">
        <f>+I106+I121</f>
        <v>35077660.175490595</v>
      </c>
    </row>
    <row r="125" spans="1:11">
      <c r="A125" s="64">
        <f t="shared" si="28"/>
        <v>92</v>
      </c>
      <c r="B125" s="308" t="str">
        <f>"Line "&amp;A106&amp;" +  Line "&amp;A121&amp;""</f>
        <v>Line 80 +  Line 88</v>
      </c>
    </row>
    <row r="126" spans="1:11">
      <c r="A126" s="308"/>
    </row>
    <row r="127" spans="1:11">
      <c r="A127" s="308"/>
      <c r="B127" s="277" t="s">
        <v>226</v>
      </c>
    </row>
    <row r="128" spans="1:11">
      <c r="A128" s="308"/>
      <c r="B128" s="656" t="s">
        <v>1646</v>
      </c>
      <c r="G128" s="657"/>
      <c r="H128" s="658"/>
      <c r="I128" s="658"/>
      <c r="J128" s="308"/>
      <c r="K128" s="308"/>
    </row>
    <row r="129" spans="1:12">
      <c r="A129" s="308"/>
      <c r="B129" s="659" t="s">
        <v>1647</v>
      </c>
      <c r="G129" s="657"/>
      <c r="H129" s="658"/>
      <c r="I129" s="658"/>
      <c r="J129" s="308"/>
      <c r="K129" s="308"/>
    </row>
    <row r="130" spans="1:12">
      <c r="A130" s="308"/>
      <c r="B130" s="660" t="s">
        <v>1648</v>
      </c>
      <c r="G130" s="657"/>
      <c r="H130" s="658"/>
      <c r="I130" s="658"/>
      <c r="J130" s="308"/>
      <c r="K130" s="308"/>
    </row>
    <row r="131" spans="1:12">
      <c r="A131" s="308"/>
      <c r="B131" s="404" t="s">
        <v>1649</v>
      </c>
      <c r="G131" s="657"/>
      <c r="H131" s="658"/>
      <c r="I131" s="658"/>
      <c r="J131" s="308"/>
      <c r="K131" s="308"/>
    </row>
    <row r="132" spans="1:12">
      <c r="A132" s="308"/>
      <c r="B132" s="404" t="s">
        <v>1650</v>
      </c>
      <c r="G132" s="657"/>
      <c r="H132" s="658"/>
      <c r="I132" s="658"/>
      <c r="J132" s="308"/>
      <c r="K132" s="308"/>
    </row>
    <row r="133" spans="1:12">
      <c r="A133" s="308"/>
      <c r="B133" s="404" t="s">
        <v>1651</v>
      </c>
      <c r="G133" s="657"/>
      <c r="H133" s="658"/>
      <c r="I133" s="658"/>
      <c r="J133" s="308"/>
      <c r="K133" s="308"/>
    </row>
    <row r="134" spans="1:12">
      <c r="A134" s="308"/>
      <c r="B134" s="706" t="s">
        <v>1652</v>
      </c>
      <c r="G134" s="657"/>
      <c r="H134" s="658"/>
      <c r="I134" s="658"/>
      <c r="J134" s="308"/>
      <c r="K134" s="308"/>
    </row>
    <row r="135" spans="1:12">
      <c r="A135" s="308"/>
      <c r="B135" s="404" t="s">
        <v>1653</v>
      </c>
      <c r="G135" s="657"/>
      <c r="H135" s="658"/>
      <c r="I135" s="658"/>
      <c r="J135" s="308"/>
      <c r="K135" s="308"/>
    </row>
    <row r="136" spans="1:12">
      <c r="A136" s="308"/>
      <c r="B136" s="404" t="s">
        <v>1654</v>
      </c>
      <c r="G136" s="657"/>
      <c r="H136" s="658"/>
      <c r="I136" s="658"/>
      <c r="J136" s="308"/>
      <c r="K136" s="308"/>
    </row>
    <row r="137" spans="1:12">
      <c r="A137" s="308"/>
      <c r="B137" s="1095" t="s">
        <v>1655</v>
      </c>
      <c r="C137" s="419"/>
      <c r="D137" s="419"/>
      <c r="G137" s="657"/>
      <c r="H137" s="658"/>
      <c r="I137" s="658"/>
      <c r="J137" s="308"/>
      <c r="K137" s="308"/>
      <c r="L137" s="308"/>
    </row>
    <row r="138" spans="1:12">
      <c r="A138" s="308"/>
      <c r="B138" s="1096"/>
      <c r="C138" s="1097"/>
      <c r="D138" s="1097"/>
      <c r="E138" s="1097"/>
      <c r="F138" s="1098"/>
      <c r="G138" s="1099"/>
      <c r="H138" s="1100"/>
      <c r="I138" s="1100"/>
      <c r="J138" s="621"/>
      <c r="K138" s="308"/>
      <c r="L138" s="308"/>
    </row>
    <row r="139" spans="1:12">
      <c r="A139" s="308"/>
      <c r="B139" s="308" t="s">
        <v>1656</v>
      </c>
      <c r="G139" s="657"/>
      <c r="H139" s="658"/>
      <c r="I139" s="658"/>
      <c r="J139" s="308"/>
      <c r="K139" s="308"/>
    </row>
    <row r="140" spans="1:12">
      <c r="A140" s="308"/>
      <c r="B140" s="308" t="s">
        <v>1657</v>
      </c>
      <c r="G140" s="657"/>
      <c r="H140" s="658"/>
      <c r="I140" s="658"/>
      <c r="J140" s="308"/>
      <c r="K140" s="308"/>
    </row>
    <row r="141" spans="1:12">
      <c r="A141" s="308"/>
      <c r="G141" s="657"/>
      <c r="H141" s="658"/>
      <c r="I141" s="658"/>
      <c r="J141" s="308"/>
      <c r="K141" s="308"/>
    </row>
    <row r="142" spans="1:12">
      <c r="A142" s="308"/>
      <c r="B142" s="707" t="s">
        <v>1658</v>
      </c>
      <c r="C142" s="621">
        <v>47</v>
      </c>
      <c r="G142" s="657"/>
      <c r="H142" s="658"/>
      <c r="I142" s="658"/>
      <c r="J142" s="308"/>
      <c r="K142" s="308"/>
    </row>
    <row r="143" spans="1:12">
      <c r="A143" s="308"/>
      <c r="G143" s="657"/>
      <c r="H143" s="658"/>
      <c r="I143" s="658"/>
      <c r="J143" s="308"/>
      <c r="K143" s="308"/>
    </row>
    <row r="144" spans="1:12">
      <c r="A144" s="308"/>
      <c r="B144" s="661"/>
      <c r="C144" s="294" t="s">
        <v>477</v>
      </c>
      <c r="D144" s="294" t="s">
        <v>441</v>
      </c>
      <c r="G144" s="657"/>
      <c r="H144" s="658"/>
      <c r="I144" s="658"/>
      <c r="J144" s="308"/>
      <c r="K144" s="308"/>
    </row>
    <row r="145" spans="1:11">
      <c r="A145" s="308"/>
      <c r="B145" s="661" t="s">
        <v>1659</v>
      </c>
      <c r="C145" s="662">
        <f>D43/D60</f>
        <v>0.24047668818704782</v>
      </c>
      <c r="D145" s="661" t="str">
        <f>"Line "&amp;A43&amp;", Col 3 / Line "&amp;A60&amp;", Col 3"</f>
        <v>Line 33, Col 3 / Line 43, Col 3</v>
      </c>
      <c r="G145" s="657"/>
      <c r="H145" s="658"/>
      <c r="I145" s="658"/>
      <c r="J145" s="308"/>
      <c r="K145" s="308"/>
    </row>
    <row r="146" spans="1:11">
      <c r="A146" s="308"/>
      <c r="B146" s="661" t="s">
        <v>1660</v>
      </c>
      <c r="C146" s="662">
        <f>D58/D60</f>
        <v>0.75952331181295218</v>
      </c>
      <c r="D146" s="661" t="str">
        <f>"Line "&amp;A58&amp;", Col 3 / Line "&amp;A60&amp;", Col 3"</f>
        <v>Line 41, Col 3 / Line 43, Col 3</v>
      </c>
      <c r="G146" s="657"/>
      <c r="H146" s="658"/>
      <c r="I146" s="658"/>
      <c r="J146" s="308"/>
      <c r="K146" s="308"/>
    </row>
    <row r="147" spans="1:11">
      <c r="A147" s="308"/>
      <c r="G147" s="657"/>
      <c r="H147" s="658"/>
      <c r="I147" s="658"/>
      <c r="J147" s="308"/>
      <c r="K147" s="308"/>
    </row>
    <row r="148" spans="1:11">
      <c r="A148" s="308"/>
      <c r="B148" s="308" t="s">
        <v>1661</v>
      </c>
      <c r="G148" s="657"/>
      <c r="H148" s="658"/>
      <c r="I148" s="658"/>
      <c r="J148" s="308"/>
      <c r="K148" s="308"/>
    </row>
    <row r="149" spans="1:11">
      <c r="A149" s="308"/>
      <c r="B149" s="308" t="s">
        <v>1662</v>
      </c>
      <c r="G149" s="657"/>
      <c r="H149" s="658"/>
      <c r="I149" s="658"/>
      <c r="J149" s="308"/>
      <c r="K149" s="308"/>
    </row>
    <row r="150" spans="1:11">
      <c r="A150" s="308"/>
      <c r="B150" s="308" t="s">
        <v>1663</v>
      </c>
      <c r="C150" s="708">
        <f>(SUM(H74:H103)/SUM(D74:D103))</f>
        <v>0.40872360531776242</v>
      </c>
      <c r="G150" s="657"/>
      <c r="H150" s="658"/>
      <c r="I150" s="658"/>
      <c r="J150" s="308"/>
      <c r="K150" s="308"/>
    </row>
    <row r="151" spans="1:11">
      <c r="A151" s="308"/>
      <c r="B151" s="308" t="s">
        <v>1664</v>
      </c>
      <c r="G151" s="657"/>
      <c r="H151" s="658"/>
      <c r="I151" s="658"/>
      <c r="J151" s="308"/>
      <c r="K151" s="308"/>
    </row>
    <row r="152" spans="1:11">
      <c r="A152" s="308"/>
      <c r="B152" s="308" t="s">
        <v>1665</v>
      </c>
      <c r="G152" s="657"/>
      <c r="H152" s="658"/>
      <c r="I152" s="658"/>
      <c r="J152" s="308"/>
      <c r="K152" s="308"/>
    </row>
    <row r="153" spans="1:11">
      <c r="A153" s="308"/>
      <c r="B153" s="308" t="s">
        <v>1666</v>
      </c>
      <c r="G153" s="657"/>
      <c r="H153" s="658"/>
      <c r="I153" s="658"/>
      <c r="J153" s="308"/>
      <c r="K153" s="308"/>
    </row>
    <row r="154" spans="1:11">
      <c r="A154" s="308"/>
      <c r="B154" s="308"/>
      <c r="G154" s="657"/>
      <c r="H154" s="658"/>
      <c r="I154" s="658"/>
      <c r="J154" s="308"/>
      <c r="K154" s="308"/>
    </row>
    <row r="155" spans="1:11">
      <c r="A155" s="308"/>
    </row>
    <row r="156" spans="1:11">
      <c r="A156" s="308"/>
    </row>
  </sheetData>
  <mergeCells count="14">
    <mergeCell ref="J8:L8"/>
    <mergeCell ref="B49:B50"/>
    <mergeCell ref="C49:E49"/>
    <mergeCell ref="G49:I49"/>
    <mergeCell ref="J49:L49"/>
    <mergeCell ref="G112:I112"/>
    <mergeCell ref="G71:I71"/>
    <mergeCell ref="B8:B9"/>
    <mergeCell ref="C8:E8"/>
    <mergeCell ref="G8:I8"/>
    <mergeCell ref="B71:B72"/>
    <mergeCell ref="C71:E71"/>
    <mergeCell ref="B112:B113"/>
    <mergeCell ref="C112:E112"/>
  </mergeCells>
  <pageMargins left="0.7" right="0.7" top="0.75" bottom="0.75" header="0.3" footer="0.3"/>
  <pageSetup scale="60" orientation="landscape" cellComments="asDisplayed" r:id="rId1"/>
  <headerFooter>
    <oddHeader>&amp;CSchedule 19
Operations and Maintenance
&amp;RTO2020 Draft Annual Update 
Attachment1</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03"/>
  <sheetViews>
    <sheetView zoomScaleNormal="100" workbookViewId="0"/>
  </sheetViews>
  <sheetFormatPr defaultRowHeight="12.75"/>
  <cols>
    <col min="1" max="1" width="4.7109375" customWidth="1"/>
    <col min="2" max="2" width="2.7109375" customWidth="1"/>
    <col min="3" max="3" width="8.7109375" customWidth="1"/>
    <col min="4" max="4" width="32.5703125" customWidth="1"/>
    <col min="5" max="5" width="14.7109375" customWidth="1"/>
    <col min="6" max="6" width="15.7109375" customWidth="1"/>
    <col min="7" max="8" width="14.7109375" customWidth="1"/>
    <col min="9" max="9" width="20" customWidth="1"/>
    <col min="10" max="10" width="15.85546875" customWidth="1"/>
    <col min="11" max="11" width="11" bestFit="1" customWidth="1"/>
  </cols>
  <sheetData>
    <row r="1" spans="1:24">
      <c r="A1" s="1" t="s">
        <v>47</v>
      </c>
      <c r="B1" s="768"/>
      <c r="C1" s="768"/>
      <c r="D1" s="768"/>
      <c r="E1" s="768"/>
      <c r="F1" s="24" t="s">
        <v>738</v>
      </c>
      <c r="G1" s="58"/>
      <c r="H1" s="1109"/>
      <c r="I1" s="1109"/>
      <c r="J1" s="768"/>
      <c r="K1" s="768"/>
      <c r="L1" s="768"/>
      <c r="M1" s="768"/>
      <c r="N1" s="768"/>
      <c r="O1" s="768"/>
      <c r="P1" s="768"/>
      <c r="Q1" s="768"/>
      <c r="R1" s="768"/>
      <c r="S1" s="768"/>
      <c r="T1" s="768"/>
      <c r="U1" s="768"/>
      <c r="V1" s="768"/>
      <c r="W1" s="768"/>
      <c r="X1" s="768"/>
    </row>
    <row r="2" spans="1:24">
      <c r="A2" s="768"/>
      <c r="B2" s="768"/>
      <c r="C2" s="768"/>
      <c r="D2" s="768"/>
      <c r="E2" s="52" t="s">
        <v>307</v>
      </c>
      <c r="F2" s="52" t="s">
        <v>308</v>
      </c>
      <c r="G2" s="52" t="s">
        <v>309</v>
      </c>
      <c r="H2" s="52" t="s">
        <v>310</v>
      </c>
      <c r="I2" s="1109"/>
      <c r="J2" s="768"/>
      <c r="K2" s="768"/>
      <c r="L2" s="768"/>
      <c r="M2" s="768"/>
      <c r="N2" s="768"/>
      <c r="O2" s="768"/>
      <c r="P2" s="768"/>
      <c r="Q2" s="768"/>
      <c r="R2" s="768"/>
      <c r="S2" s="768"/>
      <c r="T2" s="768"/>
      <c r="U2" s="768"/>
      <c r="V2" s="768"/>
      <c r="W2" s="768"/>
      <c r="X2" s="768"/>
    </row>
    <row r="3" spans="1:24">
      <c r="A3" s="768"/>
      <c r="B3" s="768"/>
      <c r="C3" s="768"/>
      <c r="D3" s="768"/>
      <c r="E3" s="768"/>
      <c r="F3" s="768"/>
      <c r="G3" s="1109" t="s">
        <v>1000</v>
      </c>
      <c r="H3" s="768"/>
      <c r="I3" s="768"/>
      <c r="J3" s="768"/>
      <c r="K3" s="768"/>
      <c r="L3" s="768"/>
      <c r="M3" s="768"/>
      <c r="N3" s="768"/>
      <c r="O3" s="768"/>
      <c r="P3" s="768"/>
      <c r="Q3" s="768"/>
      <c r="R3" s="768"/>
      <c r="S3" s="768"/>
      <c r="T3" s="768"/>
      <c r="U3" s="768"/>
      <c r="V3" s="768"/>
      <c r="W3" s="768"/>
      <c r="X3" s="768"/>
    </row>
    <row r="4" spans="1:24">
      <c r="A4" s="768"/>
      <c r="B4" s="768"/>
      <c r="C4" s="768"/>
      <c r="D4" s="768"/>
      <c r="E4" s="379" t="s">
        <v>1667</v>
      </c>
      <c r="F4" s="14" t="s">
        <v>770</v>
      </c>
      <c r="G4" s="379" t="s">
        <v>1668</v>
      </c>
      <c r="H4" s="768"/>
      <c r="I4" s="379"/>
      <c r="J4" s="768"/>
      <c r="K4" s="768"/>
      <c r="L4" s="768"/>
      <c r="M4" s="768"/>
      <c r="N4" s="768"/>
      <c r="O4" s="768"/>
      <c r="P4" s="768"/>
      <c r="Q4" s="768"/>
      <c r="R4" s="768"/>
      <c r="S4" s="768"/>
      <c r="T4" s="768"/>
      <c r="U4" s="768"/>
      <c r="V4" s="768"/>
      <c r="W4" s="768"/>
      <c r="X4" s="768"/>
    </row>
    <row r="5" spans="1:24">
      <c r="A5" s="30" t="s">
        <v>97</v>
      </c>
      <c r="B5" s="2"/>
      <c r="C5" s="2" t="s">
        <v>1669</v>
      </c>
      <c r="D5" s="2" t="s">
        <v>926</v>
      </c>
      <c r="E5" s="2" t="s">
        <v>79</v>
      </c>
      <c r="F5" s="13" t="s">
        <v>763</v>
      </c>
      <c r="G5" s="2" t="s">
        <v>1670</v>
      </c>
      <c r="H5" s="2" t="s">
        <v>203</v>
      </c>
      <c r="I5" s="2" t="s">
        <v>98</v>
      </c>
      <c r="J5" s="768"/>
      <c r="K5" s="2"/>
      <c r="L5" s="2"/>
      <c r="M5" s="2"/>
      <c r="N5" s="2"/>
      <c r="O5" s="2"/>
      <c r="P5" s="2"/>
      <c r="Q5" s="2"/>
      <c r="R5" s="2"/>
      <c r="S5" s="2"/>
      <c r="T5" s="2"/>
      <c r="U5" s="2"/>
      <c r="V5" s="2"/>
      <c r="W5" s="2"/>
      <c r="X5" s="2"/>
    </row>
    <row r="6" spans="1:24">
      <c r="A6" s="379">
        <v>1</v>
      </c>
      <c r="B6" s="768"/>
      <c r="C6" s="1109">
        <v>920</v>
      </c>
      <c r="D6" s="768" t="s">
        <v>1671</v>
      </c>
      <c r="E6" s="49">
        <v>380019593</v>
      </c>
      <c r="F6" s="1109" t="s">
        <v>1672</v>
      </c>
      <c r="G6" s="37">
        <f>D37</f>
        <v>151417274.62119621</v>
      </c>
      <c r="H6" s="5">
        <f t="shared" ref="H6:H19" si="0">E6-G6</f>
        <v>228602318.37880379</v>
      </c>
      <c r="I6" s="768"/>
      <c r="J6" s="298"/>
      <c r="K6" s="768"/>
      <c r="L6" s="768"/>
      <c r="M6" s="768"/>
      <c r="N6" s="768"/>
      <c r="O6" s="768"/>
      <c r="P6" s="768"/>
      <c r="Q6" s="768"/>
      <c r="R6" s="768"/>
      <c r="S6" s="768"/>
      <c r="T6" s="768"/>
      <c r="U6" s="768"/>
      <c r="V6" s="768"/>
      <c r="W6" s="768"/>
      <c r="X6" s="768"/>
    </row>
    <row r="7" spans="1:24">
      <c r="A7" s="379">
        <f>A6+1</f>
        <v>2</v>
      </c>
      <c r="B7" s="768"/>
      <c r="C7" s="1109">
        <v>921</v>
      </c>
      <c r="D7" s="768" t="s">
        <v>1673</v>
      </c>
      <c r="E7" s="49">
        <v>243397352</v>
      </c>
      <c r="F7" s="1109" t="s">
        <v>1674</v>
      </c>
      <c r="G7" s="37">
        <f t="shared" ref="G7:G19" si="1">D38</f>
        <v>8604255.4699999988</v>
      </c>
      <c r="H7" s="5">
        <f t="shared" si="0"/>
        <v>234793096.53</v>
      </c>
      <c r="I7" s="768"/>
      <c r="J7" s="298"/>
      <c r="K7" s="768"/>
      <c r="L7" s="768"/>
      <c r="M7" s="768"/>
      <c r="N7" s="768"/>
      <c r="O7" s="768"/>
      <c r="P7" s="768"/>
      <c r="Q7" s="768"/>
      <c r="R7" s="768"/>
      <c r="S7" s="768"/>
      <c r="T7" s="768"/>
      <c r="U7" s="768"/>
      <c r="V7" s="768"/>
      <c r="W7" s="768"/>
      <c r="X7" s="768"/>
    </row>
    <row r="8" spans="1:24">
      <c r="A8" s="379">
        <f>A7+1</f>
        <v>3</v>
      </c>
      <c r="B8" s="768"/>
      <c r="C8" s="1109">
        <v>922</v>
      </c>
      <c r="D8" s="768" t="s">
        <v>1675</v>
      </c>
      <c r="E8" s="49">
        <v>-153376384</v>
      </c>
      <c r="F8" s="1109" t="s">
        <v>1676</v>
      </c>
      <c r="G8" s="37">
        <f t="shared" si="1"/>
        <v>-62480935.075400002</v>
      </c>
      <c r="H8" s="5">
        <f t="shared" si="0"/>
        <v>-90895448.924600005</v>
      </c>
      <c r="I8" s="67" t="s">
        <v>1677</v>
      </c>
      <c r="J8" s="298"/>
      <c r="K8" s="768"/>
      <c r="L8" s="768"/>
      <c r="M8" s="768"/>
      <c r="N8" s="768"/>
      <c r="O8" s="768"/>
      <c r="P8" s="768"/>
      <c r="Q8" s="768"/>
      <c r="R8" s="768"/>
      <c r="S8" s="768"/>
      <c r="T8" s="768"/>
      <c r="U8" s="768"/>
      <c r="V8" s="768"/>
      <c r="W8" s="768"/>
      <c r="X8" s="768"/>
    </row>
    <row r="9" spans="1:24">
      <c r="A9" s="379">
        <f t="shared" ref="A9:A20" si="2">A8+1</f>
        <v>4</v>
      </c>
      <c r="B9" s="379"/>
      <c r="C9" s="1109">
        <v>923</v>
      </c>
      <c r="D9" s="768" t="s">
        <v>1678</v>
      </c>
      <c r="E9" s="49">
        <v>54239013</v>
      </c>
      <c r="F9" s="1109" t="s">
        <v>1679</v>
      </c>
      <c r="G9" s="37">
        <f t="shared" si="1"/>
        <v>8738283.1379565895</v>
      </c>
      <c r="H9" s="5">
        <f t="shared" si="0"/>
        <v>45500729.862043411</v>
      </c>
      <c r="I9" s="768"/>
      <c r="J9" s="298"/>
      <c r="K9" s="768"/>
      <c r="L9" s="768"/>
      <c r="M9" s="768"/>
      <c r="N9" s="768"/>
      <c r="O9" s="768"/>
      <c r="P9" s="768"/>
      <c r="Q9" s="768"/>
      <c r="R9" s="768"/>
      <c r="S9" s="768"/>
      <c r="T9" s="768"/>
      <c r="U9" s="768"/>
      <c r="V9" s="768"/>
      <c r="W9" s="768"/>
      <c r="X9" s="768"/>
    </row>
    <row r="10" spans="1:24">
      <c r="A10" s="379">
        <f t="shared" si="2"/>
        <v>5</v>
      </c>
      <c r="B10" s="379"/>
      <c r="C10" s="1109">
        <v>924</v>
      </c>
      <c r="D10" s="768" t="s">
        <v>1680</v>
      </c>
      <c r="E10" s="49">
        <v>16155127</v>
      </c>
      <c r="F10" s="1109" t="s">
        <v>1681</v>
      </c>
      <c r="G10" s="37">
        <f t="shared" si="1"/>
        <v>0</v>
      </c>
      <c r="H10" s="5">
        <f t="shared" si="0"/>
        <v>16155127</v>
      </c>
      <c r="I10" s="768"/>
      <c r="J10" s="298"/>
      <c r="K10" s="768"/>
      <c r="L10" s="768"/>
      <c r="M10" s="768"/>
      <c r="N10" s="768"/>
      <c r="O10" s="768"/>
      <c r="P10" s="768"/>
      <c r="Q10" s="768"/>
      <c r="R10" s="768"/>
      <c r="S10" s="768"/>
      <c r="T10" s="768"/>
      <c r="U10" s="768"/>
      <c r="V10" s="768"/>
      <c r="W10" s="768"/>
      <c r="X10" s="768"/>
    </row>
    <row r="11" spans="1:24">
      <c r="A11" s="379">
        <f t="shared" si="2"/>
        <v>6</v>
      </c>
      <c r="B11" s="379"/>
      <c r="C11" s="1109">
        <v>925</v>
      </c>
      <c r="D11" s="768" t="s">
        <v>1682</v>
      </c>
      <c r="E11" s="49">
        <v>2996146771</v>
      </c>
      <c r="F11" s="1109" t="s">
        <v>1683</v>
      </c>
      <c r="G11" s="37">
        <f t="shared" si="1"/>
        <v>3991252.14</v>
      </c>
      <c r="H11" s="5">
        <f t="shared" si="0"/>
        <v>2992155518.8600001</v>
      </c>
      <c r="I11" s="768"/>
      <c r="J11" s="298"/>
      <c r="K11" s="768"/>
      <c r="L11" s="768"/>
      <c r="M11" s="768"/>
      <c r="N11" s="768"/>
      <c r="O11" s="768"/>
      <c r="P11" s="768"/>
      <c r="Q11" s="768"/>
      <c r="R11" s="768"/>
      <c r="S11" s="768"/>
      <c r="T11" s="768"/>
      <c r="U11" s="768"/>
      <c r="V11" s="768"/>
      <c r="W11" s="768"/>
      <c r="X11" s="768"/>
    </row>
    <row r="12" spans="1:24">
      <c r="A12" s="379">
        <f t="shared" si="2"/>
        <v>7</v>
      </c>
      <c r="B12" s="379"/>
      <c r="C12" s="1109">
        <v>926</v>
      </c>
      <c r="D12" s="768" t="s">
        <v>1684</v>
      </c>
      <c r="E12" s="49">
        <v>115626278</v>
      </c>
      <c r="F12" s="1109" t="s">
        <v>1685</v>
      </c>
      <c r="G12" s="37">
        <f t="shared" si="1"/>
        <v>-28030487.794600002</v>
      </c>
      <c r="H12" s="5">
        <f t="shared" si="0"/>
        <v>143656765.79460001</v>
      </c>
      <c r="I12" s="768"/>
      <c r="J12" s="298"/>
      <c r="K12" s="768"/>
      <c r="L12" s="768"/>
      <c r="M12" s="768"/>
      <c r="N12" s="768"/>
      <c r="O12" s="768"/>
      <c r="P12" s="768"/>
      <c r="Q12" s="768"/>
      <c r="R12" s="768"/>
      <c r="S12" s="768"/>
      <c r="T12" s="768"/>
      <c r="U12" s="768"/>
      <c r="V12" s="768"/>
      <c r="W12" s="768"/>
      <c r="X12" s="768"/>
    </row>
    <row r="13" spans="1:24">
      <c r="A13" s="379">
        <f t="shared" si="2"/>
        <v>8</v>
      </c>
      <c r="B13" s="379"/>
      <c r="C13" s="1109">
        <v>927</v>
      </c>
      <c r="D13" s="768" t="s">
        <v>1686</v>
      </c>
      <c r="E13" s="49">
        <v>113911175</v>
      </c>
      <c r="F13" s="1109" t="s">
        <v>1687</v>
      </c>
      <c r="G13" s="37">
        <f t="shared" si="1"/>
        <v>113911175</v>
      </c>
      <c r="H13" s="5">
        <f t="shared" si="0"/>
        <v>0</v>
      </c>
      <c r="I13" s="768"/>
      <c r="J13" s="298"/>
      <c r="K13" s="768"/>
      <c r="L13" s="768"/>
      <c r="M13" s="768"/>
      <c r="N13" s="768"/>
      <c r="O13" s="768"/>
      <c r="P13" s="768"/>
      <c r="Q13" s="768"/>
      <c r="R13" s="768"/>
      <c r="S13" s="768"/>
      <c r="T13" s="768"/>
      <c r="U13" s="768"/>
      <c r="V13" s="768"/>
      <c r="W13" s="768"/>
      <c r="X13" s="768"/>
    </row>
    <row r="14" spans="1:24">
      <c r="A14" s="379">
        <f t="shared" si="2"/>
        <v>9</v>
      </c>
      <c r="B14" s="379"/>
      <c r="C14" s="1109">
        <v>928</v>
      </c>
      <c r="D14" s="298" t="s">
        <v>1688</v>
      </c>
      <c r="E14" s="49">
        <v>11239506</v>
      </c>
      <c r="F14" s="1109" t="s">
        <v>1689</v>
      </c>
      <c r="G14" s="37">
        <f t="shared" si="1"/>
        <v>11197494.479999999</v>
      </c>
      <c r="H14" s="5">
        <f t="shared" si="0"/>
        <v>42011.520000001416</v>
      </c>
      <c r="I14" s="768"/>
      <c r="J14" s="298"/>
      <c r="K14" s="768"/>
      <c r="L14" s="768"/>
      <c r="M14" s="768"/>
      <c r="N14" s="768"/>
      <c r="O14" s="768"/>
      <c r="P14" s="768"/>
      <c r="Q14" s="768"/>
      <c r="R14" s="768"/>
      <c r="S14" s="768"/>
      <c r="T14" s="768"/>
      <c r="U14" s="768"/>
      <c r="V14" s="768"/>
      <c r="W14" s="768"/>
      <c r="X14" s="768"/>
    </row>
    <row r="15" spans="1:24">
      <c r="A15" s="379">
        <f t="shared" si="2"/>
        <v>10</v>
      </c>
      <c r="B15" s="379"/>
      <c r="C15" s="1109">
        <v>929</v>
      </c>
      <c r="D15" s="768" t="s">
        <v>1690</v>
      </c>
      <c r="E15" s="49">
        <v>0</v>
      </c>
      <c r="F15" s="1109" t="s">
        <v>1691</v>
      </c>
      <c r="G15" s="37">
        <f t="shared" si="1"/>
        <v>0</v>
      </c>
      <c r="H15" s="5">
        <f t="shared" si="0"/>
        <v>0</v>
      </c>
      <c r="I15" s="768"/>
      <c r="J15" s="298"/>
      <c r="K15" s="768"/>
      <c r="L15" s="768"/>
      <c r="M15" s="768"/>
      <c r="N15" s="768"/>
      <c r="O15" s="768"/>
      <c r="P15" s="768"/>
      <c r="Q15" s="768"/>
      <c r="R15" s="768"/>
      <c r="S15" s="768"/>
      <c r="T15" s="768"/>
      <c r="U15" s="768"/>
      <c r="V15" s="768"/>
      <c r="W15" s="768"/>
      <c r="X15" s="768"/>
    </row>
    <row r="16" spans="1:24">
      <c r="A16" s="379">
        <f t="shared" si="2"/>
        <v>11</v>
      </c>
      <c r="B16" s="379"/>
      <c r="C16" s="1109">
        <v>930.1</v>
      </c>
      <c r="D16" s="768" t="s">
        <v>1692</v>
      </c>
      <c r="E16" s="49">
        <v>6438097</v>
      </c>
      <c r="F16" s="1109" t="s">
        <v>1693</v>
      </c>
      <c r="G16" s="37">
        <f t="shared" si="1"/>
        <v>0</v>
      </c>
      <c r="H16" s="5">
        <f t="shared" si="0"/>
        <v>6438097</v>
      </c>
      <c r="I16" s="768"/>
      <c r="J16" s="298"/>
      <c r="K16" s="768"/>
      <c r="L16" s="768"/>
      <c r="M16" s="768"/>
      <c r="N16" s="768"/>
      <c r="O16" s="768"/>
      <c r="P16" s="768"/>
      <c r="Q16" s="768"/>
      <c r="R16" s="768"/>
      <c r="S16" s="768"/>
      <c r="T16" s="768"/>
      <c r="U16" s="768"/>
      <c r="V16" s="768"/>
      <c r="W16" s="768"/>
      <c r="X16" s="768"/>
    </row>
    <row r="17" spans="1:11">
      <c r="A17" s="379">
        <f t="shared" si="2"/>
        <v>12</v>
      </c>
      <c r="B17" s="379"/>
      <c r="C17" s="1109">
        <v>930.2</v>
      </c>
      <c r="D17" s="768" t="s">
        <v>1694</v>
      </c>
      <c r="E17" s="49">
        <v>23890761</v>
      </c>
      <c r="F17" s="1109" t="s">
        <v>1695</v>
      </c>
      <c r="G17" s="37">
        <f t="shared" si="1"/>
        <v>14064692.309999999</v>
      </c>
      <c r="H17" s="5">
        <f t="shared" si="0"/>
        <v>9826068.6900000013</v>
      </c>
      <c r="I17" s="768"/>
      <c r="J17" s="298"/>
      <c r="K17" s="768"/>
    </row>
    <row r="18" spans="1:11">
      <c r="A18" s="379">
        <f t="shared" si="2"/>
        <v>13</v>
      </c>
      <c r="B18" s="379"/>
      <c r="C18" s="1109">
        <v>931</v>
      </c>
      <c r="D18" s="768" t="s">
        <v>1696</v>
      </c>
      <c r="E18" s="49">
        <v>8428057</v>
      </c>
      <c r="F18" s="1109" t="s">
        <v>1697</v>
      </c>
      <c r="G18" s="37">
        <f t="shared" si="1"/>
        <v>11993181.66</v>
      </c>
      <c r="H18" s="5">
        <f t="shared" si="0"/>
        <v>-3565124.66</v>
      </c>
      <c r="I18" s="768"/>
      <c r="J18" s="298"/>
      <c r="K18" s="768"/>
    </row>
    <row r="19" spans="1:11">
      <c r="A19" s="379">
        <f t="shared" si="2"/>
        <v>14</v>
      </c>
      <c r="B19" s="379"/>
      <c r="C19" s="1109">
        <v>935</v>
      </c>
      <c r="D19" s="768" t="s">
        <v>1698</v>
      </c>
      <c r="E19" s="860">
        <v>18830965</v>
      </c>
      <c r="F19" s="1109" t="s">
        <v>1699</v>
      </c>
      <c r="G19" s="37">
        <f t="shared" si="1"/>
        <v>699127.86</v>
      </c>
      <c r="H19" s="55">
        <f t="shared" si="0"/>
        <v>18131837.140000001</v>
      </c>
      <c r="I19" s="768"/>
      <c r="J19" s="298"/>
      <c r="K19" s="768"/>
    </row>
    <row r="20" spans="1:11">
      <c r="A20" s="379">
        <f t="shared" si="2"/>
        <v>15</v>
      </c>
      <c r="B20" s="768"/>
      <c r="C20" s="768"/>
      <c r="D20" s="768"/>
      <c r="E20" s="5">
        <f>SUM(E6:E19)</f>
        <v>3834946311</v>
      </c>
      <c r="F20" s="768"/>
      <c r="G20" s="18" t="s">
        <v>1700</v>
      </c>
      <c r="H20" s="305">
        <f>SUM(H6:H19)</f>
        <v>3600840997.1908474</v>
      </c>
      <c r="I20" s="768"/>
      <c r="J20" s="768"/>
      <c r="K20" s="768"/>
    </row>
    <row r="22" spans="1:11">
      <c r="A22" s="768"/>
      <c r="B22" s="768"/>
      <c r="C22" s="768"/>
      <c r="D22" s="768"/>
      <c r="E22" s="768"/>
      <c r="F22" s="2" t="s">
        <v>79</v>
      </c>
      <c r="G22" s="2" t="s">
        <v>763</v>
      </c>
      <c r="H22" s="768"/>
      <c r="I22" s="768"/>
      <c r="J22" s="768"/>
      <c r="K22" s="768"/>
    </row>
    <row r="23" spans="1:11">
      <c r="A23" s="379">
        <f>A20+1</f>
        <v>16</v>
      </c>
      <c r="B23" s="768"/>
      <c r="C23" s="768"/>
      <c r="D23" s="768"/>
      <c r="E23" s="669" t="s">
        <v>1701</v>
      </c>
      <c r="F23" s="37">
        <f>H20</f>
        <v>3600840997.1908474</v>
      </c>
      <c r="G23" s="297" t="str">
        <f>"Line "&amp;A20&amp;""</f>
        <v>Line 15</v>
      </c>
      <c r="H23" s="10"/>
      <c r="I23" s="10"/>
      <c r="J23" s="10"/>
      <c r="K23" s="10"/>
    </row>
    <row r="24" spans="1:11">
      <c r="A24" s="379">
        <f t="shared" ref="A24:A30" si="3">A23+1</f>
        <v>17</v>
      </c>
      <c r="B24" s="768"/>
      <c r="C24" s="768"/>
      <c r="D24" s="768"/>
      <c r="E24" s="669" t="s">
        <v>1702</v>
      </c>
      <c r="F24" s="65">
        <f>E10</f>
        <v>16155127</v>
      </c>
      <c r="G24" s="297" t="str">
        <f>"Line "&amp;A10&amp;""</f>
        <v>Line 5</v>
      </c>
      <c r="H24" s="10"/>
      <c r="I24" s="10"/>
      <c r="J24" s="10"/>
      <c r="K24" s="10"/>
    </row>
    <row r="25" spans="1:11">
      <c r="A25" s="379">
        <f t="shared" si="3"/>
        <v>18</v>
      </c>
      <c r="B25" s="768"/>
      <c r="C25" s="768"/>
      <c r="D25" s="768"/>
      <c r="E25" s="669" t="s">
        <v>1703</v>
      </c>
      <c r="F25" s="37">
        <f>F23-F24</f>
        <v>3584685870.1908474</v>
      </c>
      <c r="G25" s="297" t="str">
        <f>"Line "&amp;A23&amp;" - Line "&amp;A24&amp;""</f>
        <v>Line 16 - Line 17</v>
      </c>
      <c r="H25" s="10"/>
      <c r="I25" s="10"/>
      <c r="J25" s="10"/>
      <c r="K25" s="10"/>
    </row>
    <row r="26" spans="1:11">
      <c r="A26" s="379">
        <f t="shared" si="3"/>
        <v>19</v>
      </c>
      <c r="B26" s="768"/>
      <c r="C26" s="768"/>
      <c r="D26" s="768"/>
      <c r="E26" s="48" t="s">
        <v>1704</v>
      </c>
      <c r="F26" s="27">
        <f>'27-Allocators'!G14</f>
        <v>5.9033379723389116E-2</v>
      </c>
      <c r="G26" s="297" t="str">
        <f>"27-Allocators, Line "&amp;'27-Allocators'!A14&amp;""</f>
        <v>27-Allocators, Line 9</v>
      </c>
      <c r="H26" s="10"/>
      <c r="I26" s="10"/>
      <c r="J26" s="10"/>
      <c r="K26" s="10"/>
    </row>
    <row r="27" spans="1:11">
      <c r="A27" s="379">
        <f t="shared" si="3"/>
        <v>20</v>
      </c>
      <c r="B27" s="768"/>
      <c r="C27" s="768"/>
      <c r="D27" s="768"/>
      <c r="E27" s="669" t="s">
        <v>1705</v>
      </c>
      <c r="F27" s="37">
        <f>F25*F26</f>
        <v>211616122.16404384</v>
      </c>
      <c r="G27" s="297" t="str">
        <f>"Line "&amp;A25&amp;" * Line "&amp;A26&amp;""</f>
        <v>Line 18 * Line 19</v>
      </c>
      <c r="H27" s="10"/>
      <c r="I27" s="10"/>
      <c r="J27" s="10"/>
      <c r="K27" s="10"/>
    </row>
    <row r="28" spans="1:11">
      <c r="A28" s="379">
        <f t="shared" si="3"/>
        <v>21</v>
      </c>
      <c r="B28" s="768"/>
      <c r="C28" s="768"/>
      <c r="D28" s="768"/>
      <c r="E28" s="669" t="s">
        <v>1706</v>
      </c>
      <c r="F28" s="39">
        <f>'27-Allocators'!G27</f>
        <v>0.18756510121837444</v>
      </c>
      <c r="G28" s="67" t="str">
        <f>"27-Allocators, Line "&amp;'27-Allocators'!A27&amp;""</f>
        <v>27-Allocators, Line 22</v>
      </c>
      <c r="H28" s="10"/>
      <c r="I28" s="10"/>
      <c r="J28" s="10"/>
      <c r="K28" s="10"/>
    </row>
    <row r="29" spans="1:11">
      <c r="A29" s="379">
        <f t="shared" si="3"/>
        <v>22</v>
      </c>
      <c r="B29" s="768"/>
      <c r="C29" s="768"/>
      <c r="D29" s="768"/>
      <c r="E29" s="669" t="s">
        <v>1707</v>
      </c>
      <c r="F29" s="65">
        <f>H10*F28</f>
        <v>3030138.0309506939</v>
      </c>
      <c r="G29" s="297" t="str">
        <f>"Line "&amp;A10&amp;" Col 4 * Line "&amp;A28&amp;""</f>
        <v>Line 5 Col 4 * Line 21</v>
      </c>
      <c r="H29" s="10"/>
      <c r="I29" s="10"/>
      <c r="J29" s="10"/>
      <c r="K29" s="10"/>
    </row>
    <row r="30" spans="1:11">
      <c r="A30" s="379">
        <f t="shared" si="3"/>
        <v>23</v>
      </c>
      <c r="B30" s="768"/>
      <c r="C30" s="768"/>
      <c r="D30" s="768"/>
      <c r="E30" s="669" t="s">
        <v>1708</v>
      </c>
      <c r="F30" s="311">
        <f>F27+F29</f>
        <v>214646260.19499454</v>
      </c>
      <c r="G30" s="297" t="str">
        <f>"Line "&amp;A27&amp;" + Line "&amp;A29&amp;""</f>
        <v>Line 20 + Line 22</v>
      </c>
      <c r="H30" s="10"/>
      <c r="I30" s="10"/>
      <c r="J30" s="10"/>
      <c r="K30" s="10"/>
    </row>
    <row r="31" spans="1:11">
      <c r="A31" s="768"/>
      <c r="B31" s="768"/>
      <c r="C31" s="768"/>
      <c r="D31" s="768"/>
      <c r="E31" s="10"/>
      <c r="F31" s="10"/>
      <c r="G31" s="10"/>
      <c r="H31" s="10"/>
      <c r="I31" s="10"/>
      <c r="J31" s="10"/>
      <c r="K31" s="10"/>
    </row>
    <row r="32" spans="1:11">
      <c r="A32" s="768"/>
      <c r="B32" s="1" t="s">
        <v>1709</v>
      </c>
      <c r="C32" s="768"/>
      <c r="D32" s="768"/>
      <c r="E32" s="200" t="s">
        <v>307</v>
      </c>
      <c r="F32" s="200" t="s">
        <v>308</v>
      </c>
      <c r="G32" s="200" t="s">
        <v>309</v>
      </c>
      <c r="H32" s="200" t="s">
        <v>310</v>
      </c>
      <c r="I32" s="10"/>
      <c r="J32" s="10"/>
      <c r="K32" s="10"/>
    </row>
    <row r="33" spans="1:11">
      <c r="A33" s="768"/>
      <c r="B33" s="1"/>
      <c r="C33" s="768"/>
      <c r="D33" s="768"/>
      <c r="E33" s="64" t="s">
        <v>1710</v>
      </c>
      <c r="F33" s="200"/>
      <c r="G33" s="200"/>
      <c r="H33" s="200"/>
      <c r="I33" s="10"/>
      <c r="J33" s="10"/>
      <c r="K33" s="10"/>
    </row>
    <row r="34" spans="1:11">
      <c r="A34" s="768"/>
      <c r="B34" s="768"/>
      <c r="C34" s="768"/>
      <c r="D34" s="768"/>
      <c r="E34" s="64" t="s">
        <v>1711</v>
      </c>
      <c r="F34" s="10"/>
      <c r="G34" s="10"/>
      <c r="H34" s="10"/>
      <c r="I34" s="10"/>
      <c r="J34" s="10"/>
      <c r="K34" s="10"/>
    </row>
    <row r="35" spans="1:11">
      <c r="A35" s="768"/>
      <c r="B35" s="768"/>
      <c r="C35" s="768"/>
      <c r="D35" s="379" t="s">
        <v>1712</v>
      </c>
      <c r="E35" s="64" t="s">
        <v>1713</v>
      </c>
      <c r="F35" s="64" t="s">
        <v>1714</v>
      </c>
      <c r="G35" s="64"/>
      <c r="H35" s="64"/>
      <c r="I35" s="10"/>
      <c r="J35" s="10"/>
      <c r="K35" s="10"/>
    </row>
    <row r="36" spans="1:11">
      <c r="A36" s="768"/>
      <c r="B36" s="768"/>
      <c r="C36" s="2" t="s">
        <v>1669</v>
      </c>
      <c r="D36" s="200" t="s">
        <v>1715</v>
      </c>
      <c r="E36" s="74" t="s">
        <v>1566</v>
      </c>
      <c r="F36" s="74" t="s">
        <v>1716</v>
      </c>
      <c r="G36" s="74" t="s">
        <v>1717</v>
      </c>
      <c r="H36" s="74" t="s">
        <v>1718</v>
      </c>
      <c r="I36" s="74" t="s">
        <v>98</v>
      </c>
      <c r="J36" s="10"/>
      <c r="K36" s="10"/>
    </row>
    <row r="37" spans="1:11">
      <c r="A37" s="379">
        <f>A30+1</f>
        <v>24</v>
      </c>
      <c r="B37" s="768"/>
      <c r="C37" s="1109">
        <v>920</v>
      </c>
      <c r="D37" s="89">
        <f>SUM(E37:H37)</f>
        <v>151417274.62119621</v>
      </c>
      <c r="E37" s="325">
        <v>41829058.224999994</v>
      </c>
      <c r="F37" s="787"/>
      <c r="G37" s="37">
        <f>G57</f>
        <v>109588216.39619623</v>
      </c>
      <c r="H37" s="787"/>
      <c r="I37" s="297" t="s">
        <v>1719</v>
      </c>
      <c r="J37" s="10"/>
      <c r="K37" s="768"/>
    </row>
    <row r="38" spans="1:11">
      <c r="A38" s="379">
        <f>A37+1</f>
        <v>25</v>
      </c>
      <c r="B38" s="768"/>
      <c r="C38" s="1109">
        <v>921</v>
      </c>
      <c r="D38" s="89">
        <f t="shared" ref="D38:D50" si="4">SUM(E38:H38)</f>
        <v>8604255.4699999988</v>
      </c>
      <c r="E38" s="325">
        <v>8604255.4699999988</v>
      </c>
      <c r="F38" s="787"/>
      <c r="G38" s="787">
        <v>0</v>
      </c>
      <c r="H38" s="787"/>
      <c r="I38" s="67"/>
      <c r="J38" s="10"/>
      <c r="K38" s="768"/>
    </row>
    <row r="39" spans="1:11">
      <c r="A39" s="379">
        <f t="shared" ref="A39:A50" si="5">A38+1</f>
        <v>26</v>
      </c>
      <c r="B39" s="768"/>
      <c r="C39" s="1109">
        <v>922</v>
      </c>
      <c r="D39" s="89">
        <f t="shared" si="4"/>
        <v>-62480935.075400002</v>
      </c>
      <c r="E39" s="325">
        <v>-7944352.0754000004</v>
      </c>
      <c r="F39" s="787"/>
      <c r="G39" s="767">
        <v>-54536583</v>
      </c>
      <c r="H39" s="787"/>
      <c r="I39" s="67"/>
      <c r="J39" s="10"/>
      <c r="K39" s="768"/>
    </row>
    <row r="40" spans="1:11">
      <c r="A40" s="379">
        <f t="shared" si="5"/>
        <v>27</v>
      </c>
      <c r="B40" s="768"/>
      <c r="C40" s="1109">
        <v>923</v>
      </c>
      <c r="D40" s="89">
        <f t="shared" si="4"/>
        <v>8738283.1379565895</v>
      </c>
      <c r="E40" s="791">
        <v>8738283.1379565895</v>
      </c>
      <c r="F40" s="787"/>
      <c r="G40" s="787">
        <v>0</v>
      </c>
      <c r="H40" s="787"/>
      <c r="I40" s="67"/>
      <c r="J40" s="74"/>
      <c r="K40" s="2"/>
    </row>
    <row r="41" spans="1:11">
      <c r="A41" s="379">
        <f t="shared" si="5"/>
        <v>28</v>
      </c>
      <c r="B41" s="768"/>
      <c r="C41" s="1109">
        <v>924</v>
      </c>
      <c r="D41" s="89">
        <f t="shared" si="4"/>
        <v>0</v>
      </c>
      <c r="E41" s="325">
        <v>0</v>
      </c>
      <c r="F41" s="787"/>
      <c r="G41" s="787">
        <v>0</v>
      </c>
      <c r="H41" s="787"/>
      <c r="I41" s="67"/>
      <c r="J41" s="10"/>
      <c r="K41" s="5"/>
    </row>
    <row r="42" spans="1:11">
      <c r="A42" s="379">
        <f t="shared" si="5"/>
        <v>29</v>
      </c>
      <c r="B42" s="768"/>
      <c r="C42" s="1109">
        <v>925</v>
      </c>
      <c r="D42" s="89">
        <f t="shared" si="4"/>
        <v>3991252.14</v>
      </c>
      <c r="E42" s="325">
        <v>3991252.14</v>
      </c>
      <c r="F42" s="787"/>
      <c r="G42" s="787">
        <v>0</v>
      </c>
      <c r="H42" s="787"/>
      <c r="I42" s="297"/>
      <c r="J42" s="10"/>
      <c r="K42" s="5"/>
    </row>
    <row r="43" spans="1:11">
      <c r="A43" s="379">
        <f t="shared" si="5"/>
        <v>30</v>
      </c>
      <c r="B43" s="768"/>
      <c r="C43" s="1109">
        <v>926</v>
      </c>
      <c r="D43" s="89">
        <f t="shared" si="4"/>
        <v>-28030487.794600002</v>
      </c>
      <c r="E43" s="325">
        <v>-6078154.7946000015</v>
      </c>
      <c r="F43" s="787"/>
      <c r="G43" s="787">
        <v>0</v>
      </c>
      <c r="H43" s="37">
        <f>E70</f>
        <v>-21952333</v>
      </c>
      <c r="I43" s="297" t="s">
        <v>318</v>
      </c>
      <c r="J43" s="10"/>
      <c r="K43" s="5"/>
    </row>
    <row r="44" spans="1:11">
      <c r="A44" s="379">
        <f t="shared" si="5"/>
        <v>31</v>
      </c>
      <c r="B44" s="768"/>
      <c r="C44" s="1109">
        <v>927</v>
      </c>
      <c r="D44" s="89">
        <f t="shared" si="4"/>
        <v>113911175</v>
      </c>
      <c r="E44" s="37">
        <v>0</v>
      </c>
      <c r="F44" s="295">
        <f>E13</f>
        <v>113911175</v>
      </c>
      <c r="G44" s="37">
        <v>0</v>
      </c>
      <c r="H44" s="37">
        <v>0</v>
      </c>
      <c r="I44" s="67" t="s">
        <v>319</v>
      </c>
      <c r="J44" s="10"/>
      <c r="K44" s="5"/>
    </row>
    <row r="45" spans="1:11">
      <c r="A45" s="379">
        <f t="shared" si="5"/>
        <v>32</v>
      </c>
      <c r="B45" s="768"/>
      <c r="C45" s="1109">
        <v>928</v>
      </c>
      <c r="D45" s="89">
        <f t="shared" si="4"/>
        <v>11197494.479999999</v>
      </c>
      <c r="E45" s="791">
        <v>11197494.479999999</v>
      </c>
      <c r="F45" s="787"/>
      <c r="G45" s="787">
        <v>0</v>
      </c>
      <c r="H45" s="787"/>
      <c r="I45" s="67"/>
      <c r="J45" s="10"/>
      <c r="K45" s="5"/>
    </row>
    <row r="46" spans="1:11">
      <c r="A46" s="379">
        <f t="shared" si="5"/>
        <v>33</v>
      </c>
      <c r="B46" s="768"/>
      <c r="C46" s="1109">
        <v>929</v>
      </c>
      <c r="D46" s="89">
        <f t="shared" si="4"/>
        <v>0</v>
      </c>
      <c r="E46" s="325">
        <v>0</v>
      </c>
      <c r="F46" s="787"/>
      <c r="G46" s="787">
        <v>0</v>
      </c>
      <c r="H46" s="787"/>
      <c r="I46" s="11"/>
      <c r="J46" s="768"/>
      <c r="K46" s="5"/>
    </row>
    <row r="47" spans="1:11">
      <c r="A47" s="379">
        <f t="shared" si="5"/>
        <v>34</v>
      </c>
      <c r="B47" s="768"/>
      <c r="C47" s="1109">
        <v>930.1</v>
      </c>
      <c r="D47" s="89">
        <f t="shared" si="4"/>
        <v>0</v>
      </c>
      <c r="E47" s="325">
        <v>0</v>
      </c>
      <c r="F47" s="787"/>
      <c r="G47" s="787">
        <v>0</v>
      </c>
      <c r="H47" s="787"/>
      <c r="I47" s="11"/>
      <c r="J47" s="768"/>
      <c r="K47" s="5"/>
    </row>
    <row r="48" spans="1:11">
      <c r="A48" s="379">
        <f t="shared" si="5"/>
        <v>35</v>
      </c>
      <c r="B48" s="768"/>
      <c r="C48" s="1109">
        <v>930.2</v>
      </c>
      <c r="D48" s="89">
        <f t="shared" si="4"/>
        <v>14064692.309999999</v>
      </c>
      <c r="E48" s="325">
        <v>14064692.309999999</v>
      </c>
      <c r="F48" s="787"/>
      <c r="G48" s="787">
        <v>0</v>
      </c>
      <c r="H48" s="787"/>
      <c r="I48" s="11"/>
      <c r="J48" s="305"/>
      <c r="K48" s="768"/>
    </row>
    <row r="49" spans="1:10">
      <c r="A49" s="379">
        <f t="shared" si="5"/>
        <v>36</v>
      </c>
      <c r="B49" s="768"/>
      <c r="C49" s="1109">
        <v>931</v>
      </c>
      <c r="D49" s="89">
        <f t="shared" si="4"/>
        <v>11993181.66</v>
      </c>
      <c r="E49" s="325">
        <v>11993181.66</v>
      </c>
      <c r="F49" s="787"/>
      <c r="G49" s="787">
        <v>0</v>
      </c>
      <c r="H49" s="787"/>
      <c r="I49" s="11"/>
      <c r="J49" s="5"/>
    </row>
    <row r="50" spans="1:10">
      <c r="A50" s="379">
        <f t="shared" si="5"/>
        <v>37</v>
      </c>
      <c r="B50" s="768"/>
      <c r="C50" s="1109">
        <v>935</v>
      </c>
      <c r="D50" s="89">
        <f t="shared" si="4"/>
        <v>699127.86</v>
      </c>
      <c r="E50" s="325">
        <v>699127.86</v>
      </c>
      <c r="F50" s="787"/>
      <c r="G50" s="787">
        <v>0</v>
      </c>
      <c r="H50" s="787"/>
      <c r="I50" s="11"/>
      <c r="J50" s="768"/>
    </row>
    <row r="51" spans="1:10">
      <c r="A51" s="768"/>
      <c r="B51" s="25" t="s">
        <v>1720</v>
      </c>
      <c r="C51" s="10"/>
      <c r="D51" s="10"/>
      <c r="E51" s="10"/>
      <c r="F51" s="10"/>
      <c r="G51" s="10"/>
      <c r="H51" s="10"/>
      <c r="I51" s="768"/>
      <c r="J51" s="768"/>
    </row>
    <row r="52" spans="1:10">
      <c r="A52" s="768"/>
      <c r="B52" s="25"/>
      <c r="C52" s="300" t="s">
        <v>1721</v>
      </c>
      <c r="D52" s="10"/>
      <c r="E52" s="10"/>
      <c r="F52" s="10"/>
      <c r="G52" s="64"/>
      <c r="H52" s="64"/>
      <c r="I52" s="768"/>
      <c r="J52" s="768"/>
    </row>
    <row r="53" spans="1:10">
      <c r="A53" s="768"/>
      <c r="B53" s="25"/>
      <c r="C53" s="419" t="s">
        <v>1722</v>
      </c>
      <c r="D53" s="405"/>
      <c r="E53" s="405"/>
      <c r="F53" s="10"/>
      <c r="G53" s="64"/>
      <c r="H53" s="64"/>
      <c r="I53" s="768"/>
      <c r="J53" s="768"/>
    </row>
    <row r="54" spans="1:10">
      <c r="A54" s="768"/>
      <c r="B54" s="25"/>
      <c r="C54" s="10"/>
      <c r="D54" s="10"/>
      <c r="E54" s="10"/>
      <c r="F54" s="10"/>
      <c r="G54" s="74" t="s">
        <v>79</v>
      </c>
      <c r="H54" s="74" t="s">
        <v>763</v>
      </c>
      <c r="I54" s="768"/>
      <c r="J54" s="768"/>
    </row>
    <row r="55" spans="1:10">
      <c r="A55" s="379"/>
      <c r="B55" s="379" t="s">
        <v>481</v>
      </c>
      <c r="C55" s="768"/>
      <c r="D55" s="768"/>
      <c r="E55" s="10"/>
      <c r="F55" s="669" t="s">
        <v>1723</v>
      </c>
      <c r="G55" s="325">
        <v>137026591.07999963</v>
      </c>
      <c r="H55" s="297" t="s">
        <v>199</v>
      </c>
      <c r="I55" s="768"/>
      <c r="J55" s="768"/>
    </row>
    <row r="56" spans="1:10">
      <c r="A56" s="379"/>
      <c r="B56" s="379" t="s">
        <v>484</v>
      </c>
      <c r="C56" s="298"/>
      <c r="D56" s="768"/>
      <c r="E56" s="10"/>
      <c r="F56" s="669" t="s">
        <v>1724</v>
      </c>
      <c r="G56" s="65">
        <f>E60</f>
        <v>27438374.683803394</v>
      </c>
      <c r="H56" s="302" t="str">
        <f>"Note 2, "&amp;B60&amp;""</f>
        <v>Note 2, d</v>
      </c>
      <c r="I56" s="768"/>
      <c r="J56" s="768"/>
    </row>
    <row r="57" spans="1:10">
      <c r="A57" s="379"/>
      <c r="B57" s="379" t="s">
        <v>487</v>
      </c>
      <c r="C57" s="768"/>
      <c r="D57" s="768"/>
      <c r="E57" s="768"/>
      <c r="F57" s="296" t="s">
        <v>1725</v>
      </c>
      <c r="G57" s="5">
        <f>G55-G56</f>
        <v>109588216.39619623</v>
      </c>
      <c r="H57" s="768"/>
      <c r="I57" s="768"/>
      <c r="J57" s="768"/>
    </row>
    <row r="58" spans="1:10">
      <c r="A58" s="379"/>
      <c r="B58" s="768"/>
      <c r="C58" s="419" t="s">
        <v>1726</v>
      </c>
      <c r="D58" s="405"/>
      <c r="E58" s="405"/>
      <c r="F58" s="768"/>
      <c r="G58" s="5"/>
      <c r="H58" s="768"/>
      <c r="I58" s="768"/>
      <c r="J58" s="768"/>
    </row>
    <row r="59" spans="1:10">
      <c r="A59" s="379"/>
      <c r="B59" s="768"/>
      <c r="C59" s="768"/>
      <c r="D59" s="28" t="s">
        <v>1727</v>
      </c>
      <c r="E59" s="2" t="s">
        <v>79</v>
      </c>
      <c r="F59" s="36" t="s">
        <v>763</v>
      </c>
      <c r="G59" s="5"/>
      <c r="H59" s="768"/>
      <c r="I59" s="768"/>
      <c r="J59" s="768"/>
    </row>
    <row r="60" spans="1:10">
      <c r="A60" s="379"/>
      <c r="B60" s="379" t="s">
        <v>489</v>
      </c>
      <c r="C60" s="768"/>
      <c r="D60" s="768" t="s">
        <v>1728</v>
      </c>
      <c r="E60" s="767">
        <v>27438374.683803394</v>
      </c>
      <c r="F60" s="297" t="s">
        <v>1729</v>
      </c>
      <c r="G60" s="37"/>
      <c r="H60" s="768"/>
      <c r="I60" s="10"/>
      <c r="J60" s="768"/>
    </row>
    <row r="61" spans="1:10">
      <c r="A61" s="379"/>
      <c r="B61" s="64" t="s">
        <v>493</v>
      </c>
      <c r="C61" s="10"/>
      <c r="D61" s="300" t="s">
        <v>389</v>
      </c>
      <c r="E61" s="767">
        <v>13321307.164646616</v>
      </c>
      <c r="F61" s="297" t="s">
        <v>1729</v>
      </c>
      <c r="G61" s="37"/>
      <c r="H61" s="768"/>
      <c r="I61" s="409"/>
      <c r="J61" s="768"/>
    </row>
    <row r="62" spans="1:10">
      <c r="A62" s="379"/>
      <c r="B62" s="64" t="s">
        <v>496</v>
      </c>
      <c r="C62" s="10"/>
      <c r="D62" s="300" t="s">
        <v>1730</v>
      </c>
      <c r="E62" s="535">
        <v>41730326.231549613</v>
      </c>
      <c r="F62" s="297" t="s">
        <v>1729</v>
      </c>
      <c r="G62" s="37"/>
      <c r="H62" s="768"/>
      <c r="I62" s="37"/>
      <c r="J62" s="768"/>
    </row>
    <row r="63" spans="1:10">
      <c r="A63" s="379"/>
      <c r="B63" s="64" t="s">
        <v>498</v>
      </c>
      <c r="C63" s="10"/>
      <c r="D63" s="669" t="s">
        <v>382</v>
      </c>
      <c r="E63" s="5">
        <f>SUM(E60:E62)</f>
        <v>82490008.079999626</v>
      </c>
      <c r="F63" s="297" t="str">
        <f>"Sum of "&amp;B60&amp;" to "&amp;B62&amp;""</f>
        <v>Sum of d to f</v>
      </c>
      <c r="G63" s="37"/>
      <c r="H63" s="768"/>
      <c r="I63" s="10"/>
      <c r="J63" s="768"/>
    </row>
    <row r="64" spans="1:10">
      <c r="A64" s="768"/>
      <c r="B64" s="768"/>
      <c r="C64" s="768"/>
      <c r="D64" s="768"/>
      <c r="E64" s="768"/>
      <c r="F64" s="10"/>
      <c r="G64" s="10"/>
      <c r="H64" s="768"/>
      <c r="I64" s="768"/>
      <c r="J64" s="768"/>
    </row>
    <row r="65" spans="1:10">
      <c r="A65" s="768"/>
      <c r="B65" s="794" t="s">
        <v>1731</v>
      </c>
      <c r="C65" s="35"/>
      <c r="D65" s="35"/>
      <c r="E65" s="35"/>
      <c r="F65" s="345"/>
      <c r="G65" s="345"/>
      <c r="H65" s="768"/>
      <c r="I65" s="768"/>
      <c r="J65" s="768"/>
    </row>
    <row r="66" spans="1:10">
      <c r="A66" s="768"/>
      <c r="B66" s="35"/>
      <c r="C66" s="35"/>
      <c r="D66" s="35"/>
      <c r="E66" s="36" t="s">
        <v>79</v>
      </c>
      <c r="F66" s="792" t="s">
        <v>380</v>
      </c>
      <c r="G66" s="345"/>
      <c r="H66" s="768"/>
      <c r="I66" s="768"/>
      <c r="J66" s="768"/>
    </row>
    <row r="67" spans="1:10">
      <c r="A67" s="379"/>
      <c r="B67" s="116" t="s">
        <v>481</v>
      </c>
      <c r="C67" s="35"/>
      <c r="D67" s="798" t="s">
        <v>1732</v>
      </c>
      <c r="E67" s="1214">
        <v>18219000</v>
      </c>
      <c r="F67" s="693" t="s">
        <v>1733</v>
      </c>
      <c r="G67" s="345"/>
      <c r="H67" s="768"/>
      <c r="I67" s="768"/>
      <c r="J67" s="768"/>
    </row>
    <row r="68" spans="1:10" s="768" customFormat="1">
      <c r="A68" s="379"/>
      <c r="B68" s="116" t="s">
        <v>484</v>
      </c>
      <c r="C68" s="35"/>
      <c r="D68" s="798" t="s">
        <v>1734</v>
      </c>
      <c r="E68" s="800">
        <v>40171333</v>
      </c>
      <c r="F68" s="796" t="s">
        <v>1735</v>
      </c>
      <c r="G68" s="345"/>
    </row>
    <row r="69" spans="1:10">
      <c r="A69" s="379"/>
      <c r="B69" s="116" t="s">
        <v>487</v>
      </c>
      <c r="C69" s="35"/>
      <c r="D69" s="798" t="s">
        <v>1736</v>
      </c>
      <c r="E69" s="793">
        <v>18219000</v>
      </c>
      <c r="F69" s="693" t="s">
        <v>199</v>
      </c>
      <c r="G69" s="345"/>
      <c r="H69" s="768"/>
      <c r="I69" s="768"/>
      <c r="J69" s="768"/>
    </row>
    <row r="70" spans="1:10">
      <c r="A70" s="379"/>
      <c r="B70" s="116" t="s">
        <v>489</v>
      </c>
      <c r="C70" s="35"/>
      <c r="D70" s="798" t="s">
        <v>1737</v>
      </c>
      <c r="E70" s="795">
        <f>E69-E68</f>
        <v>-21952333</v>
      </c>
      <c r="F70" s="693" t="str">
        <f>""&amp;B69&amp;" - "&amp;B68&amp;""</f>
        <v>c - b</v>
      </c>
      <c r="G70" s="35"/>
      <c r="H70" s="768"/>
      <c r="I70" s="768"/>
      <c r="J70" s="768"/>
    </row>
    <row r="71" spans="1:10">
      <c r="A71" s="379"/>
      <c r="B71" s="1" t="s">
        <v>1738</v>
      </c>
      <c r="C71" s="768"/>
      <c r="D71" s="296"/>
      <c r="E71" s="90"/>
      <c r="F71" s="302"/>
      <c r="G71" s="768"/>
      <c r="H71" s="768"/>
      <c r="I71" s="768"/>
      <c r="J71" s="768"/>
    </row>
    <row r="72" spans="1:10">
      <c r="A72" s="379"/>
      <c r="B72" s="1"/>
      <c r="C72" s="768" t="str">
        <f>"Amount in Line "&amp;A44&amp;", column 2 equals amount in Line "&amp;A13&amp;", column 1 because all Franchise Requirements Expenses are excluded"</f>
        <v>Amount in Line 31, column 2 equals amount in Line 8, column 1 because all Franchise Requirements Expenses are excluded</v>
      </c>
      <c r="D72" s="296"/>
      <c r="E72" s="90"/>
      <c r="F72" s="302"/>
      <c r="G72" s="768"/>
      <c r="H72" s="768"/>
      <c r="I72" s="768"/>
      <c r="J72" s="768"/>
    </row>
    <row r="73" spans="1:10">
      <c r="A73" s="379"/>
      <c r="B73" s="1"/>
      <c r="C73" s="298" t="s">
        <v>1739</v>
      </c>
      <c r="D73" s="296"/>
      <c r="E73" s="90"/>
      <c r="F73" s="302"/>
      <c r="G73" s="768"/>
      <c r="H73" s="768"/>
      <c r="I73" s="768"/>
      <c r="J73" s="768"/>
    </row>
    <row r="75" spans="1:10">
      <c r="A75" s="768"/>
      <c r="B75" s="1" t="s">
        <v>408</v>
      </c>
      <c r="C75" s="768"/>
      <c r="D75" s="768"/>
      <c r="E75" s="768"/>
      <c r="F75" s="768"/>
      <c r="G75" s="768"/>
      <c r="H75" s="768"/>
      <c r="I75" s="768"/>
      <c r="J75" s="768"/>
    </row>
    <row r="76" spans="1:10">
      <c r="A76" s="768"/>
      <c r="B76" s="768"/>
      <c r="C76" s="300" t="str">
        <f>"1) Enter amounts of A&amp;G expenses from FERC Form 1 in Lines "&amp;A6&amp;" to "&amp;A19&amp;"."</f>
        <v>1) Enter amounts of A&amp;G expenses from FERC Form 1 in Lines 1 to 14.</v>
      </c>
      <c r="D76" s="10"/>
      <c r="E76" s="10"/>
      <c r="F76" s="10"/>
      <c r="G76" s="10"/>
      <c r="H76" s="10"/>
      <c r="I76" s="10"/>
      <c r="J76" s="10"/>
    </row>
    <row r="77" spans="1:10">
      <c r="A77" s="768"/>
      <c r="B77" s="768"/>
      <c r="C77" s="300" t="s">
        <v>1740</v>
      </c>
      <c r="D77" s="10"/>
      <c r="E77" s="10"/>
      <c r="F77" s="10"/>
      <c r="G77" s="10" t="str">
        <f>"Column 3, Line "&amp;A37&amp;""</f>
        <v>Column 3, Line 24</v>
      </c>
      <c r="H77" s="10"/>
      <c r="I77" s="10"/>
      <c r="J77" s="10"/>
    </row>
    <row r="78" spans="1:10">
      <c r="A78" s="768"/>
      <c r="B78" s="768"/>
      <c r="C78" s="297" t="str">
        <f>"is calculated in Note 2.  The PBOPs exclusion in Column 4, Line "&amp;A43&amp;" is calculated in Note 3."</f>
        <v>is calculated in Note 2.  The PBOPs exclusion in Column 4, Line 30 is calculated in Note 3.</v>
      </c>
      <c r="D78" s="10"/>
      <c r="E78" s="10"/>
      <c r="F78" s="10"/>
      <c r="G78" s="300"/>
      <c r="H78" s="10"/>
      <c r="I78" s="10"/>
      <c r="J78" s="10"/>
    </row>
    <row r="79" spans="1:10">
      <c r="A79" s="768"/>
      <c r="B79" s="768"/>
      <c r="C79" s="297" t="s">
        <v>1741</v>
      </c>
      <c r="D79" s="10"/>
      <c r="E79" s="10"/>
      <c r="F79" s="10"/>
      <c r="G79" s="10"/>
      <c r="H79" s="10"/>
      <c r="I79" s="10"/>
      <c r="J79" s="10"/>
    </row>
    <row r="80" spans="1:10">
      <c r="A80" s="768"/>
      <c r="B80" s="768"/>
      <c r="C80" s="297" t="s">
        <v>1742</v>
      </c>
      <c r="D80" s="669"/>
      <c r="E80" s="295"/>
      <c r="F80" s="297"/>
      <c r="G80" s="10"/>
      <c r="H80" s="10"/>
      <c r="I80" s="10"/>
      <c r="J80" s="10"/>
    </row>
    <row r="81" spans="3:10">
      <c r="C81" s="297" t="s">
        <v>1743</v>
      </c>
      <c r="D81" s="669"/>
      <c r="E81" s="295"/>
      <c r="F81" s="297"/>
      <c r="G81" s="10"/>
      <c r="H81" s="10"/>
      <c r="I81" s="10"/>
      <c r="J81" s="10"/>
    </row>
    <row r="82" spans="3:10">
      <c r="C82" s="297" t="s">
        <v>1744</v>
      </c>
      <c r="D82" s="10"/>
      <c r="E82" s="10"/>
      <c r="F82" s="10"/>
      <c r="G82" s="10"/>
      <c r="H82" s="10"/>
      <c r="I82" s="10"/>
      <c r="J82" s="10"/>
    </row>
    <row r="83" spans="3:10">
      <c r="C83" s="297" t="s">
        <v>1745</v>
      </c>
      <c r="D83" s="10"/>
      <c r="E83" s="10"/>
      <c r="F83" s="10"/>
      <c r="G83" s="10"/>
      <c r="H83" s="10"/>
      <c r="I83" s="10"/>
      <c r="J83" s="10"/>
    </row>
    <row r="84" spans="3:10">
      <c r="C84" s="297" t="s">
        <v>1746</v>
      </c>
      <c r="D84" s="10"/>
      <c r="E84" s="10"/>
      <c r="F84" s="10"/>
      <c r="G84" s="10"/>
      <c r="H84" s="10"/>
      <c r="I84" s="10"/>
      <c r="J84" s="10"/>
    </row>
    <row r="85" spans="3:10">
      <c r="C85" s="297" t="s">
        <v>1747</v>
      </c>
      <c r="D85" s="10"/>
      <c r="E85" s="10"/>
      <c r="F85" s="10"/>
      <c r="G85" s="10"/>
      <c r="H85" s="10"/>
      <c r="I85" s="10"/>
      <c r="J85" s="10"/>
    </row>
    <row r="86" spans="3:10">
      <c r="C86" s="297" t="s">
        <v>1748</v>
      </c>
      <c r="D86" s="10"/>
      <c r="E86" s="10"/>
      <c r="F86" s="10"/>
      <c r="G86" s="10"/>
      <c r="H86" s="10"/>
      <c r="I86" s="10"/>
      <c r="J86" s="10"/>
    </row>
    <row r="87" spans="3:10">
      <c r="C87" s="297" t="s">
        <v>1749</v>
      </c>
      <c r="D87" s="300"/>
      <c r="E87" s="709"/>
      <c r="F87" s="709"/>
      <c r="G87" s="709"/>
      <c r="H87" s="10"/>
      <c r="I87" s="10"/>
      <c r="J87" s="10"/>
    </row>
    <row r="88" spans="3:10">
      <c r="C88" s="672" t="s">
        <v>1750</v>
      </c>
      <c r="D88" s="300"/>
      <c r="E88" s="709"/>
      <c r="F88" s="709"/>
      <c r="G88" s="709"/>
      <c r="H88" s="10"/>
      <c r="I88" s="10"/>
      <c r="J88" s="10"/>
    </row>
    <row r="89" spans="3:10">
      <c r="C89" s="672" t="s">
        <v>1751</v>
      </c>
      <c r="D89" s="300"/>
      <c r="E89" s="709"/>
      <c r="F89" s="709"/>
      <c r="G89" s="709"/>
      <c r="H89" s="10"/>
      <c r="I89" s="10"/>
      <c r="J89" s="10"/>
    </row>
    <row r="90" spans="3:10">
      <c r="C90" s="672" t="s">
        <v>1752</v>
      </c>
      <c r="D90" s="300"/>
      <c r="E90" s="709"/>
      <c r="F90" s="709"/>
      <c r="G90" s="709"/>
      <c r="H90" s="10"/>
      <c r="I90" s="10"/>
      <c r="J90" s="10"/>
    </row>
    <row r="91" spans="3:10">
      <c r="C91" s="297" t="s">
        <v>1753</v>
      </c>
      <c r="D91" s="300"/>
      <c r="E91" s="709"/>
      <c r="F91" s="709"/>
      <c r="G91" s="709"/>
      <c r="H91" s="10"/>
      <c r="I91" s="10"/>
      <c r="J91" s="10"/>
    </row>
    <row r="92" spans="3:10">
      <c r="C92" s="672" t="s">
        <v>1754</v>
      </c>
      <c r="D92" s="300"/>
      <c r="E92" s="709"/>
      <c r="F92" s="709"/>
      <c r="G92" s="709"/>
      <c r="H92" s="10"/>
      <c r="I92" s="10"/>
      <c r="J92" s="10"/>
    </row>
    <row r="93" spans="3:10">
      <c r="C93" s="672" t="s">
        <v>1755</v>
      </c>
      <c r="D93" s="300"/>
      <c r="E93" s="709"/>
      <c r="F93" s="709"/>
      <c r="G93" s="709"/>
      <c r="H93" s="10"/>
      <c r="I93" s="10"/>
      <c r="J93" s="10"/>
    </row>
    <row r="94" spans="3:10">
      <c r="C94" s="672" t="s">
        <v>1756</v>
      </c>
      <c r="D94" s="300"/>
      <c r="E94" s="709"/>
      <c r="F94" s="709"/>
      <c r="G94" s="709"/>
      <c r="H94" s="10"/>
      <c r="I94" s="10"/>
      <c r="J94" s="10"/>
    </row>
    <row r="95" spans="3:10">
      <c r="C95" s="672" t="s">
        <v>1757</v>
      </c>
      <c r="D95" s="300"/>
      <c r="E95" s="709"/>
      <c r="F95" s="709"/>
      <c r="G95" s="709"/>
      <c r="H95" s="10"/>
      <c r="I95" s="10"/>
      <c r="J95" s="10"/>
    </row>
    <row r="96" spans="3:10">
      <c r="C96" s="710" t="s">
        <v>1758</v>
      </c>
      <c r="D96" s="405"/>
      <c r="E96" s="405"/>
      <c r="F96" s="405"/>
      <c r="G96" s="405"/>
      <c r="H96" s="405"/>
      <c r="I96" s="405"/>
      <c r="J96" s="405"/>
    </row>
    <row r="97" spans="3:10">
      <c r="C97" s="300" t="s">
        <v>1759</v>
      </c>
      <c r="D97" s="10"/>
      <c r="E97" s="10"/>
      <c r="F97" s="10"/>
      <c r="G97" s="10"/>
      <c r="H97" s="10"/>
      <c r="I97" s="10"/>
      <c r="J97" s="10"/>
    </row>
    <row r="98" spans="3:10">
      <c r="C98" s="710" t="s">
        <v>1760</v>
      </c>
      <c r="D98" s="419"/>
      <c r="E98" s="419"/>
      <c r="F98" s="419"/>
      <c r="G98" s="419"/>
      <c r="H98" s="419"/>
      <c r="I98" s="419"/>
      <c r="J98" s="10"/>
    </row>
    <row r="99" spans="3:10">
      <c r="C99" s="300" t="str">
        <f>"4) Determine the PBOPs exclusion.  The authorized amount of PBOPs expense (line "&amp;B67&amp;") may only be revised"</f>
        <v>4) Determine the PBOPs exclusion.  The authorized amount of PBOPs expense (line a) may only be revised</v>
      </c>
      <c r="D99" s="10"/>
      <c r="E99" s="10"/>
      <c r="F99" s="10"/>
      <c r="G99" s="10"/>
      <c r="H99" s="10"/>
      <c r="I99" s="10"/>
      <c r="J99" s="10"/>
    </row>
    <row r="100" spans="3:10">
      <c r="C100" s="300" t="s">
        <v>1761</v>
      </c>
      <c r="D100" s="10"/>
      <c r="E100" s="10"/>
      <c r="F100" s="10"/>
      <c r="G100" s="10"/>
      <c r="H100" s="10"/>
      <c r="I100" s="10"/>
      <c r="J100" s="10"/>
    </row>
    <row r="101" spans="3:10">
      <c r="C101" s="300" t="s">
        <v>1762</v>
      </c>
      <c r="D101" s="10"/>
      <c r="E101" s="10"/>
      <c r="F101" s="10"/>
      <c r="G101" s="10"/>
      <c r="H101" s="10"/>
      <c r="I101" s="10"/>
      <c r="J101" s="10"/>
    </row>
    <row r="102" spans="3:10">
      <c r="C102" s="300" t="s">
        <v>1763</v>
      </c>
      <c r="D102" s="10"/>
      <c r="E102" s="10"/>
      <c r="F102" s="10"/>
      <c r="G102" s="10"/>
      <c r="H102" s="10"/>
      <c r="I102" s="797" t="s">
        <v>1764</v>
      </c>
      <c r="J102" s="797"/>
    </row>
    <row r="103" spans="3:10">
      <c r="C103" s="300" t="s">
        <v>1765</v>
      </c>
      <c r="D103" s="10"/>
      <c r="E103" s="10"/>
      <c r="F103" s="10"/>
      <c r="G103" s="10"/>
      <c r="H103" s="10"/>
      <c r="I103" s="10"/>
      <c r="J103" s="768"/>
    </row>
  </sheetData>
  <phoneticPr fontId="22" type="noConversion"/>
  <pageMargins left="0.75" right="0.75" top="1" bottom="1" header="0.5" footer="0.5"/>
  <pageSetup scale="73" orientation="landscape" cellComments="asDisplayed" r:id="rId1"/>
  <headerFooter alignWithMargins="0">
    <oddHeader>&amp;CSchedule 20
Administrative and General Expenses
&amp;RTO2020 Draft Annual Update 
Attachment1</oddHeader>
    <oddFooter>&amp;R&amp;A</oddFooter>
  </headerFooter>
  <rowBreaks count="2" manualBreakCount="2">
    <brk id="50" max="9" man="1"/>
    <brk id="7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53"/>
  <sheetViews>
    <sheetView zoomScale="80" zoomScaleNormal="80" zoomScalePageLayoutView="80" workbookViewId="0">
      <selection activeCell="A3" sqref="A3"/>
    </sheetView>
  </sheetViews>
  <sheetFormatPr defaultRowHeight="12.75"/>
  <cols>
    <col min="1" max="1" width="6.28515625" style="130" customWidth="1"/>
    <col min="2" max="2" width="8.5703125" style="22" customWidth="1"/>
    <col min="3" max="3" width="9.85546875" style="130" customWidth="1"/>
    <col min="4" max="4" width="51.5703125" style="22" customWidth="1"/>
    <col min="5" max="5" width="16.28515625" style="199" customWidth="1"/>
    <col min="6" max="6" width="16.140625" style="199" customWidth="1"/>
    <col min="7" max="7" width="18.42578125" style="199" bestFit="1" customWidth="1"/>
    <col min="8" max="8" width="15.85546875" style="129" bestFit="1" customWidth="1"/>
    <col min="9" max="9" width="16.85546875" style="129" bestFit="1" customWidth="1"/>
    <col min="10" max="10" width="15.7109375" style="199" customWidth="1"/>
    <col min="11" max="11" width="6.5703125" style="178" customWidth="1"/>
    <col min="12" max="12" width="16.42578125" style="172" customWidth="1"/>
    <col min="13" max="13" width="17.140625" style="127" bestFit="1" customWidth="1"/>
    <col min="14" max="14" width="18.42578125" style="199" bestFit="1" customWidth="1"/>
    <col min="15" max="15" width="8.5703125" style="127" customWidth="1"/>
  </cols>
  <sheetData>
    <row r="1" spans="1:15">
      <c r="A1" s="189"/>
      <c r="B1" s="117" t="s">
        <v>1576</v>
      </c>
      <c r="C1" s="118" t="s">
        <v>1580</v>
      </c>
      <c r="D1" s="117" t="s">
        <v>1586</v>
      </c>
      <c r="E1" s="118" t="s">
        <v>1591</v>
      </c>
      <c r="F1" s="117" t="s">
        <v>1599</v>
      </c>
      <c r="G1" s="118" t="s">
        <v>1589</v>
      </c>
      <c r="H1" s="117" t="s">
        <v>1572</v>
      </c>
      <c r="I1" s="118" t="s">
        <v>1766</v>
      </c>
      <c r="J1" s="117" t="s">
        <v>1767</v>
      </c>
      <c r="K1" s="118" t="s">
        <v>1768</v>
      </c>
      <c r="L1" s="117" t="s">
        <v>1769</v>
      </c>
      <c r="M1" s="118" t="s">
        <v>1770</v>
      </c>
      <c r="N1" s="117" t="s">
        <v>1771</v>
      </c>
      <c r="O1" s="118" t="s">
        <v>1772</v>
      </c>
    </row>
    <row r="2" spans="1:15">
      <c r="A2" s="1215"/>
      <c r="B2" s="1216"/>
      <c r="C2" s="1216"/>
      <c r="D2" s="1216"/>
      <c r="E2" s="1217"/>
      <c r="F2" s="1217"/>
      <c r="G2" s="1218" t="s">
        <v>1773</v>
      </c>
      <c r="H2" s="1219"/>
      <c r="I2" s="1220"/>
      <c r="J2" s="1218" t="s">
        <v>1774</v>
      </c>
      <c r="K2" s="1219"/>
      <c r="L2" s="1219"/>
      <c r="M2" s="1220"/>
      <c r="N2" s="1221" t="s">
        <v>1775</v>
      </c>
      <c r="O2" s="1215"/>
    </row>
    <row r="3" spans="1:15" ht="26.25" customHeight="1">
      <c r="A3" s="119" t="s">
        <v>243</v>
      </c>
      <c r="B3" s="1120" t="s">
        <v>1776</v>
      </c>
      <c r="C3" s="120" t="s">
        <v>1777</v>
      </c>
      <c r="D3" s="1120" t="s">
        <v>1778</v>
      </c>
      <c r="E3" s="166" t="s">
        <v>1779</v>
      </c>
      <c r="F3" s="167" t="s">
        <v>1780</v>
      </c>
      <c r="G3" s="167" t="s">
        <v>388</v>
      </c>
      <c r="H3" s="121" t="s">
        <v>1634</v>
      </c>
      <c r="I3" s="121" t="s">
        <v>1781</v>
      </c>
      <c r="J3" s="166" t="s">
        <v>388</v>
      </c>
      <c r="K3" s="177" t="s">
        <v>1782</v>
      </c>
      <c r="L3" s="168" t="s">
        <v>1783</v>
      </c>
      <c r="M3" s="122" t="s">
        <v>1253</v>
      </c>
      <c r="N3" s="166" t="s">
        <v>388</v>
      </c>
      <c r="O3" s="122" t="s">
        <v>98</v>
      </c>
    </row>
    <row r="4" spans="1:15">
      <c r="A4" s="714" t="s">
        <v>1784</v>
      </c>
      <c r="B4" s="992">
        <v>450</v>
      </c>
      <c r="C4" s="992" t="s">
        <v>1785</v>
      </c>
      <c r="D4" s="713" t="s">
        <v>1786</v>
      </c>
      <c r="E4" s="784">
        <v>6159993.29</v>
      </c>
      <c r="F4" s="847" t="s">
        <v>1773</v>
      </c>
      <c r="G4" s="994">
        <f>IF(F4=$G$2,E4,0)</f>
        <v>6159993.29</v>
      </c>
      <c r="H4" s="373">
        <v>0</v>
      </c>
      <c r="I4" s="711">
        <f>G4-H4</f>
        <v>6159993.29</v>
      </c>
      <c r="J4" s="994">
        <f>IF(F4=$J$2,E4,0)</f>
        <v>0</v>
      </c>
      <c r="K4" s="1222"/>
      <c r="L4" s="847"/>
      <c r="M4" s="711">
        <f>J4-L4</f>
        <v>0</v>
      </c>
      <c r="N4" s="994">
        <f>IF(F4=$N$2,E4,0)</f>
        <v>0</v>
      </c>
      <c r="O4" s="373">
        <v>1</v>
      </c>
    </row>
    <row r="5" spans="1:15">
      <c r="A5" s="956" t="s">
        <v>1787</v>
      </c>
      <c r="B5" s="992">
        <v>450</v>
      </c>
      <c r="C5" s="1223" t="s">
        <v>1788</v>
      </c>
      <c r="D5" s="713" t="s">
        <v>1789</v>
      </c>
      <c r="E5" s="784">
        <v>11586485.4</v>
      </c>
      <c r="F5" s="847" t="s">
        <v>1773</v>
      </c>
      <c r="G5" s="994">
        <f>IF(F5=$G$2,E5,0)</f>
        <v>11586485.4</v>
      </c>
      <c r="H5" s="373">
        <v>0</v>
      </c>
      <c r="I5" s="711">
        <f>G5-H5</f>
        <v>11586485.4</v>
      </c>
      <c r="J5" s="994">
        <f>IF(F5=$J$2,E5,0)</f>
        <v>0</v>
      </c>
      <c r="K5" s="1222"/>
      <c r="L5" s="847"/>
      <c r="M5" s="711">
        <f>J5-L5</f>
        <v>0</v>
      </c>
      <c r="N5" s="994">
        <f>IF(F5=$N$2,E5,0)</f>
        <v>0</v>
      </c>
      <c r="O5" s="373">
        <v>1</v>
      </c>
    </row>
    <row r="6" spans="1:15">
      <c r="A6" s="889"/>
      <c r="B6" s="890"/>
      <c r="C6" s="893"/>
      <c r="D6" s="891"/>
      <c r="E6" s="1224"/>
      <c r="F6" s="1224"/>
      <c r="G6" s="847"/>
      <c r="H6" s="892"/>
      <c r="I6" s="534"/>
      <c r="J6" s="847"/>
      <c r="K6" s="1225"/>
      <c r="L6" s="847"/>
      <c r="M6" s="534"/>
      <c r="N6" s="847"/>
      <c r="O6" s="892"/>
    </row>
    <row r="7" spans="1:15">
      <c r="A7" s="889"/>
      <c r="B7" s="890"/>
      <c r="C7" s="893"/>
      <c r="D7" s="891"/>
      <c r="E7" s="1224"/>
      <c r="F7" s="1224"/>
      <c r="G7" s="847"/>
      <c r="H7" s="892"/>
      <c r="I7" s="534"/>
      <c r="J7" s="847"/>
      <c r="K7" s="1225"/>
      <c r="L7" s="847"/>
      <c r="M7" s="534"/>
      <c r="N7" s="847"/>
      <c r="O7" s="892"/>
    </row>
    <row r="8" spans="1:15">
      <c r="A8" s="956">
        <v>2</v>
      </c>
      <c r="B8" s="1157" t="s">
        <v>1790</v>
      </c>
      <c r="C8" s="1155"/>
      <c r="D8" s="1156"/>
      <c r="E8" s="175">
        <f>SUM(E4:E7)</f>
        <v>17746478.690000001</v>
      </c>
      <c r="F8" s="182"/>
      <c r="G8" s="175">
        <f>SUM(G4:G7)</f>
        <v>17746478.690000001</v>
      </c>
      <c r="H8" s="118">
        <f>SUM(H4:H7)</f>
        <v>0</v>
      </c>
      <c r="I8" s="175">
        <f>SUM(I4:I7)</f>
        <v>17746478.690000001</v>
      </c>
      <c r="J8" s="175">
        <f>SUM(J4:J7)</f>
        <v>0</v>
      </c>
      <c r="K8" s="182"/>
      <c r="L8" s="175">
        <f>SUM(L4:L7)</f>
        <v>0</v>
      </c>
      <c r="M8" s="175">
        <f>SUM(M4:M7)</f>
        <v>0</v>
      </c>
      <c r="N8" s="175">
        <f>SUM(N4:N7)</f>
        <v>0</v>
      </c>
      <c r="O8" s="373"/>
    </row>
    <row r="9" spans="1:15" ht="12.75" customHeight="1">
      <c r="A9" s="956">
        <v>3</v>
      </c>
      <c r="B9" s="1149" t="s">
        <v>1791</v>
      </c>
      <c r="C9" s="1150"/>
      <c r="D9" s="1151"/>
      <c r="E9" s="888">
        <v>17746479</v>
      </c>
      <c r="F9" s="174"/>
      <c r="G9" s="171"/>
      <c r="H9" s="174"/>
      <c r="I9" s="174"/>
      <c r="J9" s="171"/>
      <c r="K9" s="174"/>
      <c r="L9" s="171"/>
      <c r="M9" s="171"/>
      <c r="N9" s="171"/>
      <c r="O9" s="116"/>
    </row>
    <row r="10" spans="1:15">
      <c r="A10" s="123"/>
      <c r="B10" s="124"/>
      <c r="C10" s="125"/>
      <c r="D10" s="126"/>
      <c r="E10" s="171"/>
      <c r="F10" s="171"/>
      <c r="G10" s="171"/>
      <c r="H10" s="174"/>
      <c r="I10" s="174"/>
      <c r="J10" s="171"/>
      <c r="K10" s="174"/>
      <c r="L10" s="171"/>
      <c r="M10" s="171"/>
      <c r="N10" s="171"/>
      <c r="O10" s="116"/>
    </row>
    <row r="11" spans="1:15">
      <c r="A11" s="956" t="s">
        <v>1792</v>
      </c>
      <c r="B11" s="992">
        <v>451</v>
      </c>
      <c r="C11" s="1223" t="s">
        <v>1793</v>
      </c>
      <c r="D11" s="713" t="s">
        <v>1794</v>
      </c>
      <c r="E11" s="784">
        <v>122147.96</v>
      </c>
      <c r="F11" s="847" t="s">
        <v>1773</v>
      </c>
      <c r="G11" s="994">
        <f t="shared" ref="G11:G20" si="0">IF(F11=$G$2,E11,0)</f>
        <v>122147.96</v>
      </c>
      <c r="H11" s="373">
        <v>0</v>
      </c>
      <c r="I11" s="711">
        <f>G11-H11</f>
        <v>122147.96</v>
      </c>
      <c r="J11" s="994">
        <f t="shared" ref="J11:J20" si="1">IF(F11=$J$2,E11,0)</f>
        <v>0</v>
      </c>
      <c r="K11" s="994"/>
      <c r="L11" s="534"/>
      <c r="M11" s="711">
        <f t="shared" ref="M11:M17" si="2">J11-L11</f>
        <v>0</v>
      </c>
      <c r="N11" s="994">
        <f t="shared" ref="N11:N18" si="3">IF(F11=$N$2,E11,0)</f>
        <v>0</v>
      </c>
      <c r="O11" s="373">
        <v>1</v>
      </c>
    </row>
    <row r="12" spans="1:15">
      <c r="A12" s="956" t="s">
        <v>1795</v>
      </c>
      <c r="B12" s="992">
        <v>451</v>
      </c>
      <c r="C12" s="1223" t="s">
        <v>1796</v>
      </c>
      <c r="D12" s="713" t="s">
        <v>1797</v>
      </c>
      <c r="E12" s="784">
        <v>492542.97</v>
      </c>
      <c r="F12" s="847" t="s">
        <v>1773</v>
      </c>
      <c r="G12" s="994">
        <f>IF(F12=$G$2,E12,0)</f>
        <v>492542.97</v>
      </c>
      <c r="H12" s="373">
        <v>0</v>
      </c>
      <c r="I12" s="711">
        <f t="shared" ref="I12:I20" si="4">G12-H12</f>
        <v>492542.97</v>
      </c>
      <c r="J12" s="994">
        <f t="shared" si="1"/>
        <v>0</v>
      </c>
      <c r="K12" s="994"/>
      <c r="L12" s="534"/>
      <c r="M12" s="711">
        <f t="shared" si="2"/>
        <v>0</v>
      </c>
      <c r="N12" s="994">
        <f t="shared" si="3"/>
        <v>0</v>
      </c>
      <c r="O12" s="373">
        <v>1</v>
      </c>
    </row>
    <row r="13" spans="1:15">
      <c r="A13" s="956" t="s">
        <v>1798</v>
      </c>
      <c r="B13" s="992">
        <v>451</v>
      </c>
      <c r="C13" s="1223" t="s">
        <v>1799</v>
      </c>
      <c r="D13" s="713" t="s">
        <v>1800</v>
      </c>
      <c r="E13" s="784">
        <v>34572211.899999999</v>
      </c>
      <c r="F13" s="847" t="s">
        <v>1773</v>
      </c>
      <c r="G13" s="994">
        <f t="shared" si="0"/>
        <v>34572211.899999999</v>
      </c>
      <c r="H13" s="373">
        <v>0</v>
      </c>
      <c r="I13" s="711">
        <f t="shared" si="4"/>
        <v>34572211.899999999</v>
      </c>
      <c r="J13" s="994">
        <f t="shared" si="1"/>
        <v>0</v>
      </c>
      <c r="K13" s="994"/>
      <c r="L13" s="534"/>
      <c r="M13" s="711">
        <f t="shared" si="2"/>
        <v>0</v>
      </c>
      <c r="N13" s="994">
        <f t="shared" si="3"/>
        <v>0</v>
      </c>
      <c r="O13" s="373">
        <v>1</v>
      </c>
    </row>
    <row r="14" spans="1:15">
      <c r="A14" s="956" t="s">
        <v>1801</v>
      </c>
      <c r="B14" s="992">
        <v>451</v>
      </c>
      <c r="C14" s="1223" t="s">
        <v>1802</v>
      </c>
      <c r="D14" s="713" t="s">
        <v>1803</v>
      </c>
      <c r="E14" s="784">
        <v>1642550.05</v>
      </c>
      <c r="F14" s="847" t="s">
        <v>1773</v>
      </c>
      <c r="G14" s="994">
        <f t="shared" si="0"/>
        <v>1642550.05</v>
      </c>
      <c r="H14" s="373">
        <v>0</v>
      </c>
      <c r="I14" s="711">
        <f t="shared" si="4"/>
        <v>1642550.05</v>
      </c>
      <c r="J14" s="994">
        <f t="shared" si="1"/>
        <v>0</v>
      </c>
      <c r="K14" s="994"/>
      <c r="L14" s="534"/>
      <c r="M14" s="711">
        <f t="shared" si="2"/>
        <v>0</v>
      </c>
      <c r="N14" s="994">
        <f t="shared" si="3"/>
        <v>0</v>
      </c>
      <c r="O14" s="373">
        <v>1</v>
      </c>
    </row>
    <row r="15" spans="1:15">
      <c r="A15" s="956" t="s">
        <v>1804</v>
      </c>
      <c r="B15" s="992">
        <v>451</v>
      </c>
      <c r="C15" s="1223" t="s">
        <v>1805</v>
      </c>
      <c r="D15" s="713" t="s">
        <v>1806</v>
      </c>
      <c r="E15" s="784">
        <v>8051.16</v>
      </c>
      <c r="F15" s="847" t="s">
        <v>1773</v>
      </c>
      <c r="G15" s="994">
        <f t="shared" si="0"/>
        <v>8051.16</v>
      </c>
      <c r="H15" s="373">
        <v>0</v>
      </c>
      <c r="I15" s="711">
        <f t="shared" si="4"/>
        <v>8051.16</v>
      </c>
      <c r="J15" s="994">
        <f t="shared" si="1"/>
        <v>0</v>
      </c>
      <c r="K15" s="994"/>
      <c r="L15" s="534"/>
      <c r="M15" s="711">
        <f t="shared" si="2"/>
        <v>0</v>
      </c>
      <c r="N15" s="994">
        <f t="shared" si="3"/>
        <v>0</v>
      </c>
      <c r="O15" s="373">
        <v>1</v>
      </c>
    </row>
    <row r="16" spans="1:15">
      <c r="A16" s="956" t="s">
        <v>1807</v>
      </c>
      <c r="B16" s="992">
        <v>451</v>
      </c>
      <c r="C16" s="1223" t="s">
        <v>1808</v>
      </c>
      <c r="D16" s="713" t="s">
        <v>1809</v>
      </c>
      <c r="E16" s="784">
        <v>-4119.3599999999997</v>
      </c>
      <c r="F16" s="847" t="s">
        <v>1773</v>
      </c>
      <c r="G16" s="994">
        <f t="shared" si="0"/>
        <v>-4119.3599999999997</v>
      </c>
      <c r="H16" s="373">
        <v>0</v>
      </c>
      <c r="I16" s="711">
        <f t="shared" si="4"/>
        <v>-4119.3599999999997</v>
      </c>
      <c r="J16" s="994">
        <f t="shared" si="1"/>
        <v>0</v>
      </c>
      <c r="K16" s="994"/>
      <c r="L16" s="534"/>
      <c r="M16" s="711">
        <f t="shared" si="2"/>
        <v>0</v>
      </c>
      <c r="N16" s="994">
        <f t="shared" si="3"/>
        <v>0</v>
      </c>
      <c r="O16" s="373">
        <v>1</v>
      </c>
    </row>
    <row r="17" spans="1:15">
      <c r="A17" s="956" t="s">
        <v>1810</v>
      </c>
      <c r="B17" s="992">
        <v>451</v>
      </c>
      <c r="C17" s="1223" t="s">
        <v>1811</v>
      </c>
      <c r="D17" s="713" t="s">
        <v>1812</v>
      </c>
      <c r="E17" s="784">
        <v>-203.25</v>
      </c>
      <c r="F17" s="847" t="s">
        <v>1773</v>
      </c>
      <c r="G17" s="994">
        <f t="shared" si="0"/>
        <v>-203.25</v>
      </c>
      <c r="H17" s="373">
        <v>0</v>
      </c>
      <c r="I17" s="711">
        <f t="shared" si="4"/>
        <v>-203.25</v>
      </c>
      <c r="J17" s="994">
        <f t="shared" si="1"/>
        <v>0</v>
      </c>
      <c r="K17" s="994"/>
      <c r="L17" s="534"/>
      <c r="M17" s="711">
        <f t="shared" si="2"/>
        <v>0</v>
      </c>
      <c r="N17" s="994">
        <f t="shared" si="3"/>
        <v>0</v>
      </c>
      <c r="O17" s="373">
        <v>1</v>
      </c>
    </row>
    <row r="18" spans="1:15">
      <c r="A18" s="956" t="s">
        <v>1813</v>
      </c>
      <c r="B18" s="992">
        <v>451</v>
      </c>
      <c r="C18" s="1223" t="s">
        <v>1814</v>
      </c>
      <c r="D18" s="713" t="s">
        <v>1815</v>
      </c>
      <c r="E18" s="784">
        <v>32.119999999999997</v>
      </c>
      <c r="F18" s="847" t="s">
        <v>1774</v>
      </c>
      <c r="G18" s="994">
        <f t="shared" si="0"/>
        <v>0</v>
      </c>
      <c r="H18" s="373">
        <v>0</v>
      </c>
      <c r="I18" s="711">
        <f t="shared" si="4"/>
        <v>0</v>
      </c>
      <c r="J18" s="994">
        <f>IF(F18=$J$2,E18,0)</f>
        <v>32.119999999999997</v>
      </c>
      <c r="K18" s="1226" t="s">
        <v>1816</v>
      </c>
      <c r="L18" s="534">
        <v>4</v>
      </c>
      <c r="M18" s="711">
        <f t="shared" ref="M18:M29" si="5">J18-L18</f>
        <v>28.119999999999997</v>
      </c>
      <c r="N18" s="994">
        <f t="shared" si="3"/>
        <v>0</v>
      </c>
      <c r="O18" s="373">
        <v>2</v>
      </c>
    </row>
    <row r="19" spans="1:15">
      <c r="A19" s="956" t="s">
        <v>1817</v>
      </c>
      <c r="B19" s="992">
        <v>451</v>
      </c>
      <c r="C19" s="1223" t="s">
        <v>1818</v>
      </c>
      <c r="D19" s="713" t="s">
        <v>1819</v>
      </c>
      <c r="E19" s="784">
        <v>440066.93</v>
      </c>
      <c r="F19" s="847" t="s">
        <v>1775</v>
      </c>
      <c r="G19" s="994">
        <f>IF(F19=$G$2,E19,0)</f>
        <v>0</v>
      </c>
      <c r="H19" s="373">
        <v>0</v>
      </c>
      <c r="I19" s="711">
        <f t="shared" si="4"/>
        <v>0</v>
      </c>
      <c r="J19" s="994">
        <f>IF(F19=$J$2,E19,0)</f>
        <v>0</v>
      </c>
      <c r="K19" s="994"/>
      <c r="L19" s="534"/>
      <c r="M19" s="711">
        <f t="shared" si="5"/>
        <v>0</v>
      </c>
      <c r="N19" s="994">
        <f t="shared" ref="N19:N29" si="6">IF(F19=$N$2,E19,0)</f>
        <v>440066.93</v>
      </c>
      <c r="O19" s="373">
        <v>6</v>
      </c>
    </row>
    <row r="20" spans="1:15">
      <c r="A20" s="714" t="s">
        <v>1820</v>
      </c>
      <c r="B20" s="992">
        <v>451</v>
      </c>
      <c r="C20" s="992">
        <v>4182120</v>
      </c>
      <c r="D20" s="991" t="s">
        <v>1821</v>
      </c>
      <c r="E20" s="784"/>
      <c r="F20" s="847" t="s">
        <v>1773</v>
      </c>
      <c r="G20" s="994">
        <f t="shared" si="0"/>
        <v>0</v>
      </c>
      <c r="H20" s="373">
        <v>0</v>
      </c>
      <c r="I20" s="711">
        <f t="shared" si="4"/>
        <v>0</v>
      </c>
      <c r="J20" s="994">
        <f t="shared" si="1"/>
        <v>0</v>
      </c>
      <c r="K20" s="994"/>
      <c r="L20" s="534"/>
      <c r="M20" s="711">
        <f t="shared" si="5"/>
        <v>0</v>
      </c>
      <c r="N20" s="994">
        <f t="shared" si="6"/>
        <v>0</v>
      </c>
      <c r="O20" s="373">
        <v>1</v>
      </c>
    </row>
    <row r="21" spans="1:15">
      <c r="A21" s="714" t="s">
        <v>1822</v>
      </c>
      <c r="B21" s="992">
        <v>451</v>
      </c>
      <c r="C21" s="992">
        <v>4192152</v>
      </c>
      <c r="D21" s="991" t="s">
        <v>1823</v>
      </c>
      <c r="E21" s="784">
        <v>2350</v>
      </c>
      <c r="F21" s="847" t="s">
        <v>1775</v>
      </c>
      <c r="G21" s="994">
        <f t="shared" ref="G21:G29" si="7">IF(F21=$G$2,E21,0)</f>
        <v>0</v>
      </c>
      <c r="H21" s="373">
        <v>0</v>
      </c>
      <c r="I21" s="711">
        <f t="shared" ref="I21:I27" si="8">G21-H21</f>
        <v>0</v>
      </c>
      <c r="J21" s="994">
        <f t="shared" ref="J21:J29" si="9">IF(F21=$J$2,E21,0)</f>
        <v>0</v>
      </c>
      <c r="K21" s="994"/>
      <c r="L21" s="534"/>
      <c r="M21" s="711">
        <f t="shared" si="5"/>
        <v>0</v>
      </c>
      <c r="N21" s="994">
        <f t="shared" si="6"/>
        <v>2350</v>
      </c>
      <c r="O21" s="373">
        <v>1</v>
      </c>
    </row>
    <row r="22" spans="1:15">
      <c r="A22" s="714" t="s">
        <v>1824</v>
      </c>
      <c r="B22" s="992">
        <v>451</v>
      </c>
      <c r="C22" s="992">
        <v>4192155</v>
      </c>
      <c r="D22" s="991" t="s">
        <v>1825</v>
      </c>
      <c r="E22" s="784">
        <v>30455</v>
      </c>
      <c r="F22" s="847" t="s">
        <v>1775</v>
      </c>
      <c r="G22" s="994">
        <f t="shared" si="7"/>
        <v>0</v>
      </c>
      <c r="H22" s="373">
        <v>0</v>
      </c>
      <c r="I22" s="711">
        <f t="shared" si="8"/>
        <v>0</v>
      </c>
      <c r="J22" s="994">
        <f t="shared" si="9"/>
        <v>0</v>
      </c>
      <c r="K22" s="994"/>
      <c r="L22" s="534"/>
      <c r="M22" s="711">
        <f t="shared" si="5"/>
        <v>0</v>
      </c>
      <c r="N22" s="994">
        <f t="shared" si="6"/>
        <v>30455</v>
      </c>
      <c r="O22" s="373">
        <v>1</v>
      </c>
    </row>
    <row r="23" spans="1:15">
      <c r="A23" s="714" t="s">
        <v>1826</v>
      </c>
      <c r="B23" s="992">
        <v>451</v>
      </c>
      <c r="C23" s="992">
        <v>4192158</v>
      </c>
      <c r="D23" s="991" t="s">
        <v>1827</v>
      </c>
      <c r="E23" s="784">
        <v>52500</v>
      </c>
      <c r="F23" s="847" t="s">
        <v>1775</v>
      </c>
      <c r="G23" s="994">
        <f t="shared" si="7"/>
        <v>0</v>
      </c>
      <c r="H23" s="373">
        <v>0</v>
      </c>
      <c r="I23" s="711">
        <f t="shared" si="8"/>
        <v>0</v>
      </c>
      <c r="J23" s="994">
        <f t="shared" si="9"/>
        <v>0</v>
      </c>
      <c r="K23" s="994"/>
      <c r="L23" s="534"/>
      <c r="M23" s="711">
        <f t="shared" si="5"/>
        <v>0</v>
      </c>
      <c r="N23" s="994">
        <f t="shared" si="6"/>
        <v>52500</v>
      </c>
      <c r="O23" s="373">
        <v>1</v>
      </c>
    </row>
    <row r="24" spans="1:15">
      <c r="A24" s="714" t="s">
        <v>1828</v>
      </c>
      <c r="B24" s="992">
        <v>451</v>
      </c>
      <c r="C24" s="992">
        <v>4192160</v>
      </c>
      <c r="D24" s="991" t="s">
        <v>1829</v>
      </c>
      <c r="E24" s="784">
        <v>192560</v>
      </c>
      <c r="F24" s="847" t="s">
        <v>1775</v>
      </c>
      <c r="G24" s="994">
        <f t="shared" si="7"/>
        <v>0</v>
      </c>
      <c r="H24" s="373">
        <v>0</v>
      </c>
      <c r="I24" s="711">
        <f t="shared" si="8"/>
        <v>0</v>
      </c>
      <c r="J24" s="994">
        <f t="shared" si="9"/>
        <v>0</v>
      </c>
      <c r="K24" s="994"/>
      <c r="L24" s="534"/>
      <c r="M24" s="711">
        <f t="shared" si="5"/>
        <v>0</v>
      </c>
      <c r="N24" s="994">
        <f t="shared" si="6"/>
        <v>192560</v>
      </c>
      <c r="O24" s="373">
        <v>1</v>
      </c>
    </row>
    <row r="25" spans="1:15" s="768" customFormat="1">
      <c r="A25" s="714" t="s">
        <v>1830</v>
      </c>
      <c r="B25" s="992">
        <v>451</v>
      </c>
      <c r="C25" s="992">
        <v>4192135</v>
      </c>
      <c r="D25" s="1227" t="s">
        <v>1831</v>
      </c>
      <c r="E25" s="784">
        <v>5807454.0899999999</v>
      </c>
      <c r="F25" s="847" t="s">
        <v>1773</v>
      </c>
      <c r="G25" s="994">
        <f t="shared" si="7"/>
        <v>5807454.0899999999</v>
      </c>
      <c r="H25" s="373">
        <v>0</v>
      </c>
      <c r="I25" s="711">
        <f t="shared" si="8"/>
        <v>5807454.0899999999</v>
      </c>
      <c r="J25" s="994">
        <f t="shared" si="9"/>
        <v>0</v>
      </c>
      <c r="K25" s="994"/>
      <c r="L25" s="534"/>
      <c r="M25" s="711">
        <f t="shared" si="5"/>
        <v>0</v>
      </c>
      <c r="N25" s="994">
        <f t="shared" si="6"/>
        <v>0</v>
      </c>
      <c r="O25" s="373">
        <v>1</v>
      </c>
    </row>
    <row r="26" spans="1:15" s="768" customFormat="1">
      <c r="A26" s="714" t="s">
        <v>1832</v>
      </c>
      <c r="B26" s="992">
        <v>451</v>
      </c>
      <c r="C26" s="992">
        <v>4192145</v>
      </c>
      <c r="D26" s="1227" t="s">
        <v>1833</v>
      </c>
      <c r="E26" s="784">
        <v>2166272.7599999998</v>
      </c>
      <c r="F26" s="847" t="s">
        <v>1773</v>
      </c>
      <c r="G26" s="994">
        <f t="shared" si="7"/>
        <v>2166272.7599999998</v>
      </c>
      <c r="H26" s="373">
        <v>0</v>
      </c>
      <c r="I26" s="711">
        <f t="shared" si="8"/>
        <v>2166272.7599999998</v>
      </c>
      <c r="J26" s="994">
        <f t="shared" si="9"/>
        <v>0</v>
      </c>
      <c r="K26" s="994"/>
      <c r="L26" s="534"/>
      <c r="M26" s="711">
        <f t="shared" si="5"/>
        <v>0</v>
      </c>
      <c r="N26" s="994">
        <f t="shared" si="6"/>
        <v>0</v>
      </c>
      <c r="O26" s="373">
        <v>1</v>
      </c>
    </row>
    <row r="27" spans="1:15" s="768" customFormat="1">
      <c r="A27" s="714" t="s">
        <v>1834</v>
      </c>
      <c r="B27" s="992">
        <v>451</v>
      </c>
      <c r="C27" s="992">
        <v>4192150</v>
      </c>
      <c r="D27" s="1227" t="s">
        <v>1835</v>
      </c>
      <c r="E27" s="784">
        <v>22408</v>
      </c>
      <c r="F27" s="847" t="s">
        <v>1773</v>
      </c>
      <c r="G27" s="994">
        <f t="shared" si="7"/>
        <v>22408</v>
      </c>
      <c r="H27" s="373">
        <v>0</v>
      </c>
      <c r="I27" s="711">
        <f t="shared" si="8"/>
        <v>22408</v>
      </c>
      <c r="J27" s="994">
        <f t="shared" si="9"/>
        <v>0</v>
      </c>
      <c r="K27" s="994"/>
      <c r="L27" s="534"/>
      <c r="M27" s="711">
        <f t="shared" si="5"/>
        <v>0</v>
      </c>
      <c r="N27" s="994">
        <f t="shared" si="6"/>
        <v>0</v>
      </c>
      <c r="O27" s="373">
        <v>1</v>
      </c>
    </row>
    <row r="28" spans="1:15">
      <c r="A28" s="889" t="s">
        <v>1836</v>
      </c>
      <c r="B28" s="890">
        <v>451</v>
      </c>
      <c r="C28" s="890">
        <v>4184515</v>
      </c>
      <c r="D28" s="981" t="s">
        <v>1837</v>
      </c>
      <c r="E28" s="847">
        <v>3521525</v>
      </c>
      <c r="F28" s="847" t="s">
        <v>1773</v>
      </c>
      <c r="G28" s="847">
        <f t="shared" si="7"/>
        <v>3521525</v>
      </c>
      <c r="H28" s="892">
        <v>0</v>
      </c>
      <c r="I28" s="534">
        <f>G28-H28</f>
        <v>3521525</v>
      </c>
      <c r="J28" s="847">
        <f t="shared" si="9"/>
        <v>0</v>
      </c>
      <c r="K28" s="847"/>
      <c r="L28" s="534"/>
      <c r="M28" s="534">
        <f t="shared" si="5"/>
        <v>0</v>
      </c>
      <c r="N28" s="847">
        <f t="shared" si="6"/>
        <v>0</v>
      </c>
      <c r="O28" s="892">
        <v>1</v>
      </c>
    </row>
    <row r="29" spans="1:15" s="768" customFormat="1">
      <c r="A29" s="889" t="s">
        <v>1838</v>
      </c>
      <c r="B29" s="890">
        <v>451</v>
      </c>
      <c r="C29" s="890">
        <v>4186927</v>
      </c>
      <c r="D29" s="981" t="s">
        <v>1839</v>
      </c>
      <c r="E29" s="847">
        <f>-345000-206100</f>
        <v>-551100</v>
      </c>
      <c r="F29" s="847" t="s">
        <v>1773</v>
      </c>
      <c r="G29" s="847">
        <f t="shared" si="7"/>
        <v>-551100</v>
      </c>
      <c r="H29" s="892">
        <v>0</v>
      </c>
      <c r="I29" s="534">
        <f>G29-H29</f>
        <v>-551100</v>
      </c>
      <c r="J29" s="847">
        <f t="shared" si="9"/>
        <v>0</v>
      </c>
      <c r="K29" s="847"/>
      <c r="L29" s="534"/>
      <c r="M29" s="534">
        <f t="shared" si="5"/>
        <v>0</v>
      </c>
      <c r="N29" s="847">
        <f t="shared" si="6"/>
        <v>0</v>
      </c>
      <c r="O29" s="892">
        <v>1</v>
      </c>
    </row>
    <row r="30" spans="1:15" s="768" customFormat="1">
      <c r="A30" s="889"/>
      <c r="B30" s="890"/>
      <c r="C30" s="890"/>
      <c r="D30" s="981"/>
      <c r="E30" s="847"/>
      <c r="F30" s="847"/>
      <c r="G30" s="847"/>
      <c r="H30" s="892"/>
      <c r="I30" s="534"/>
      <c r="J30" s="847"/>
      <c r="K30" s="847"/>
      <c r="L30" s="534"/>
      <c r="M30" s="534"/>
      <c r="N30" s="847"/>
      <c r="O30" s="892"/>
    </row>
    <row r="31" spans="1:15">
      <c r="A31" s="889"/>
      <c r="B31" s="890"/>
      <c r="C31" s="893"/>
      <c r="D31" s="981"/>
      <c r="E31" s="847"/>
      <c r="F31" s="847"/>
      <c r="G31" s="1225"/>
      <c r="H31" s="892"/>
      <c r="I31" s="534"/>
      <c r="J31" s="847"/>
      <c r="K31" s="847"/>
      <c r="L31" s="534"/>
      <c r="M31" s="534"/>
      <c r="N31" s="847"/>
      <c r="O31" s="892"/>
    </row>
    <row r="32" spans="1:15">
      <c r="A32" s="956">
        <v>5</v>
      </c>
      <c r="B32" s="1157" t="s">
        <v>1840</v>
      </c>
      <c r="C32" s="1155"/>
      <c r="D32" s="1156"/>
      <c r="E32" s="175">
        <f>SUM(E11:E31)</f>
        <v>48517705.329999991</v>
      </c>
      <c r="F32" s="182"/>
      <c r="G32" s="175">
        <f>SUM(G11:G31)</f>
        <v>47799741.279999994</v>
      </c>
      <c r="H32" s="118">
        <f>SUM(H11:H31)</f>
        <v>0</v>
      </c>
      <c r="I32" s="175">
        <f>SUM(I11:I31)</f>
        <v>47799741.279999994</v>
      </c>
      <c r="J32" s="175">
        <f>SUM(J11:J31)</f>
        <v>32.119999999999997</v>
      </c>
      <c r="K32" s="182"/>
      <c r="L32" s="175">
        <f>SUM(L11:L31)</f>
        <v>4</v>
      </c>
      <c r="M32" s="175">
        <f>SUM(M11:M31)</f>
        <v>28.119999999999997</v>
      </c>
      <c r="N32" s="175">
        <f>SUM(N11:N31)</f>
        <v>717931.92999999993</v>
      </c>
      <c r="O32" s="373"/>
    </row>
    <row r="33" spans="1:15" ht="25.5" customHeight="1">
      <c r="A33" s="956">
        <v>6</v>
      </c>
      <c r="B33" s="1149" t="s">
        <v>1841</v>
      </c>
      <c r="C33" s="1150"/>
      <c r="D33" s="1151"/>
      <c r="E33" s="888">
        <v>48517705</v>
      </c>
      <c r="F33" s="174"/>
      <c r="G33" s="171"/>
      <c r="H33" s="1228"/>
      <c r="I33" s="1228"/>
      <c r="J33" s="171"/>
      <c r="K33" s="174"/>
      <c r="L33" s="171"/>
      <c r="M33" s="171"/>
      <c r="N33" s="174"/>
      <c r="O33" s="1229"/>
    </row>
    <row r="34" spans="1:15">
      <c r="A34" s="1230"/>
      <c r="B34" s="124"/>
      <c r="C34" s="125"/>
      <c r="D34" s="126"/>
      <c r="E34" s="171"/>
      <c r="F34" s="171"/>
      <c r="G34" s="171"/>
      <c r="H34" s="1228"/>
      <c r="I34" s="1228"/>
      <c r="J34" s="171"/>
      <c r="K34" s="174"/>
      <c r="L34" s="171"/>
      <c r="M34" s="171"/>
      <c r="N34" s="171"/>
      <c r="O34" s="1229"/>
    </row>
    <row r="35" spans="1:15">
      <c r="A35" s="889"/>
      <c r="B35" s="890"/>
      <c r="C35" s="893"/>
      <c r="D35" s="891"/>
      <c r="E35" s="847"/>
      <c r="F35" s="847"/>
      <c r="G35" s="1225"/>
      <c r="H35" s="892"/>
      <c r="I35" s="534"/>
      <c r="J35" s="847"/>
      <c r="K35" s="847"/>
      <c r="L35" s="534"/>
      <c r="M35" s="534"/>
      <c r="N35" s="847"/>
      <c r="O35" s="892"/>
    </row>
    <row r="36" spans="1:15">
      <c r="A36" s="889"/>
      <c r="B36" s="890"/>
      <c r="C36" s="893"/>
      <c r="D36" s="891"/>
      <c r="E36" s="847"/>
      <c r="F36" s="847"/>
      <c r="G36" s="1225"/>
      <c r="H36" s="892"/>
      <c r="I36" s="534"/>
      <c r="J36" s="847"/>
      <c r="K36" s="847"/>
      <c r="L36" s="534"/>
      <c r="M36" s="534"/>
      <c r="N36" s="847"/>
      <c r="O36" s="892"/>
    </row>
    <row r="37" spans="1:15">
      <c r="A37" s="956">
        <v>8</v>
      </c>
      <c r="B37" s="1157" t="s">
        <v>1842</v>
      </c>
      <c r="C37" s="1155"/>
      <c r="D37" s="1156"/>
      <c r="E37" s="175">
        <f>SUM(E35:E36)</f>
        <v>0</v>
      </c>
      <c r="F37" s="182"/>
      <c r="G37" s="175">
        <f>SUM(G35:G36)</f>
        <v>0</v>
      </c>
      <c r="H37" s="118">
        <f>SUM(H35:H36)</f>
        <v>0</v>
      </c>
      <c r="I37" s="175">
        <f>SUM(I35:I36)</f>
        <v>0</v>
      </c>
      <c r="J37" s="175">
        <f>SUM(J35:J36)</f>
        <v>0</v>
      </c>
      <c r="K37" s="182"/>
      <c r="L37" s="175">
        <f>SUM(L35:L36)</f>
        <v>0</v>
      </c>
      <c r="M37" s="175">
        <f>SUM(M35:M36)</f>
        <v>0</v>
      </c>
      <c r="N37" s="175">
        <f>SUM(N35:N36)</f>
        <v>0</v>
      </c>
      <c r="O37" s="118"/>
    </row>
    <row r="38" spans="1:15" ht="25.5" customHeight="1">
      <c r="A38" s="956">
        <v>9</v>
      </c>
      <c r="B38" s="1152" t="s">
        <v>1843</v>
      </c>
      <c r="C38" s="1153"/>
      <c r="D38" s="1153"/>
      <c r="E38" s="185">
        <v>0</v>
      </c>
      <c r="F38" s="174"/>
      <c r="G38" s="171"/>
      <c r="H38" s="1228"/>
      <c r="I38" s="128"/>
      <c r="J38" s="171"/>
      <c r="K38" s="174"/>
      <c r="L38" s="171"/>
      <c r="M38" s="171"/>
      <c r="N38" s="171"/>
      <c r="O38" s="116"/>
    </row>
    <row r="39" spans="1:15">
      <c r="A39" s="123"/>
      <c r="B39" s="124"/>
      <c r="C39" s="125"/>
      <c r="D39" s="126"/>
      <c r="E39" s="171"/>
      <c r="F39" s="171"/>
      <c r="G39" s="171"/>
      <c r="H39" s="1228"/>
      <c r="I39" s="128"/>
      <c r="J39" s="171"/>
      <c r="K39" s="174"/>
      <c r="L39" s="171"/>
      <c r="M39" s="171"/>
      <c r="N39" s="171"/>
      <c r="O39" s="116"/>
    </row>
    <row r="40" spans="1:15">
      <c r="A40" s="956" t="s">
        <v>1844</v>
      </c>
      <c r="B40" s="992">
        <v>454</v>
      </c>
      <c r="C40" s="713" t="s">
        <v>1845</v>
      </c>
      <c r="D40" s="713" t="s">
        <v>1846</v>
      </c>
      <c r="E40" s="784">
        <v>495725</v>
      </c>
      <c r="F40" s="847" t="s">
        <v>1773</v>
      </c>
      <c r="G40" s="994">
        <f>IF(F40=$G$2,E40,0)</f>
        <v>495725</v>
      </c>
      <c r="H40" s="711">
        <v>0</v>
      </c>
      <c r="I40" s="711">
        <f>G40-H40</f>
        <v>495725</v>
      </c>
      <c r="J40" s="994">
        <f>IF(F40=$J$2,E40,0)</f>
        <v>0</v>
      </c>
      <c r="K40" s="994"/>
      <c r="L40" s="534"/>
      <c r="M40" s="711">
        <f>J40-L40</f>
        <v>0</v>
      </c>
      <c r="N40" s="994">
        <f>IF(F40=$N$2,E40,0)</f>
        <v>0</v>
      </c>
      <c r="O40" s="373">
        <v>4</v>
      </c>
    </row>
    <row r="41" spans="1:15">
      <c r="A41" s="956" t="s">
        <v>1847</v>
      </c>
      <c r="B41" s="992">
        <v>454</v>
      </c>
      <c r="C41" s="1223" t="s">
        <v>1848</v>
      </c>
      <c r="D41" s="713" t="s">
        <v>1849</v>
      </c>
      <c r="E41" s="784">
        <v>3367084</v>
      </c>
      <c r="F41" s="847" t="s">
        <v>1773</v>
      </c>
      <c r="G41" s="994">
        <f>IF(F41=$G$2,E41,0)</f>
        <v>3367084</v>
      </c>
      <c r="H41" s="711">
        <v>0</v>
      </c>
      <c r="I41" s="711">
        <f>G41-H41</f>
        <v>3367084</v>
      </c>
      <c r="J41" s="994">
        <f t="shared" ref="J41:J52" si="10">IF(F41=$J$2,E41,0)</f>
        <v>0</v>
      </c>
      <c r="K41" s="994"/>
      <c r="L41" s="534"/>
      <c r="M41" s="711">
        <f t="shared" ref="M41:M43" si="11">J41-L41</f>
        <v>0</v>
      </c>
      <c r="N41" s="994">
        <f>IF(F41=$N$2,E41,0)</f>
        <v>0</v>
      </c>
      <c r="O41" s="373">
        <v>4</v>
      </c>
    </row>
    <row r="42" spans="1:15">
      <c r="A42" s="956" t="s">
        <v>1850</v>
      </c>
      <c r="B42" s="992">
        <v>454</v>
      </c>
      <c r="C42" s="1223" t="s">
        <v>1851</v>
      </c>
      <c r="D42" s="713" t="s">
        <v>1852</v>
      </c>
      <c r="E42" s="784">
        <v>887280</v>
      </c>
      <c r="F42" s="847" t="s">
        <v>1773</v>
      </c>
      <c r="G42" s="994">
        <f>IF(F42=$G$2,E42,0)</f>
        <v>887280</v>
      </c>
      <c r="H42" s="711">
        <v>0</v>
      </c>
      <c r="I42" s="711">
        <f>G42-H42</f>
        <v>887280</v>
      </c>
      <c r="J42" s="994">
        <f t="shared" si="10"/>
        <v>0</v>
      </c>
      <c r="K42" s="994"/>
      <c r="L42" s="534"/>
      <c r="M42" s="711">
        <f t="shared" si="11"/>
        <v>0</v>
      </c>
      <c r="N42" s="994">
        <f>IF(F42=$N$2,E42,0)</f>
        <v>0</v>
      </c>
      <c r="O42" s="373">
        <v>4</v>
      </c>
    </row>
    <row r="43" spans="1:15">
      <c r="A43" s="953" t="s">
        <v>1853</v>
      </c>
      <c r="B43" s="992">
        <v>454</v>
      </c>
      <c r="C43" s="1231">
        <v>4184120</v>
      </c>
      <c r="D43" s="713" t="s">
        <v>1854</v>
      </c>
      <c r="E43" s="784">
        <v>612500</v>
      </c>
      <c r="F43" s="847" t="s">
        <v>1773</v>
      </c>
      <c r="G43" s="994">
        <f>IF(F43=$G$2,E43,0)</f>
        <v>612500</v>
      </c>
      <c r="H43" s="711">
        <v>0</v>
      </c>
      <c r="I43" s="711">
        <f>G43-H43</f>
        <v>612500</v>
      </c>
      <c r="J43" s="994">
        <f t="shared" si="10"/>
        <v>0</v>
      </c>
      <c r="K43" s="994"/>
      <c r="L43" s="534"/>
      <c r="M43" s="711">
        <f t="shared" si="11"/>
        <v>0</v>
      </c>
      <c r="N43" s="994">
        <f>IF(F43=$N$2,E43,0)</f>
        <v>0</v>
      </c>
      <c r="O43" s="373">
        <v>4</v>
      </c>
    </row>
    <row r="44" spans="1:15">
      <c r="A44" s="952" t="s">
        <v>1855</v>
      </c>
      <c r="B44" s="992">
        <v>454</v>
      </c>
      <c r="C44" s="1223" t="s">
        <v>1856</v>
      </c>
      <c r="D44" s="713" t="s">
        <v>1857</v>
      </c>
      <c r="E44" s="784">
        <v>149161</v>
      </c>
      <c r="F44" s="847" t="s">
        <v>1774</v>
      </c>
      <c r="G44" s="994">
        <f t="shared" ref="G44:G50" si="12">IF(F44=$G$2,E44,0)</f>
        <v>0</v>
      </c>
      <c r="H44" s="711">
        <v>0</v>
      </c>
      <c r="I44" s="711">
        <f>G44-H44</f>
        <v>0</v>
      </c>
      <c r="J44" s="994">
        <f t="shared" si="10"/>
        <v>149161</v>
      </c>
      <c r="K44" s="1226" t="s">
        <v>1816</v>
      </c>
      <c r="L44" s="785">
        <v>29203.78</v>
      </c>
      <c r="M44" s="711">
        <f>J44-L44</f>
        <v>119957.22</v>
      </c>
      <c r="N44" s="994">
        <f>IF(F44=$N$2,E44,0)</f>
        <v>0</v>
      </c>
      <c r="O44" s="373">
        <v>2</v>
      </c>
    </row>
    <row r="45" spans="1:15">
      <c r="A45" s="956" t="s">
        <v>1858</v>
      </c>
      <c r="B45" s="992">
        <v>454</v>
      </c>
      <c r="C45" s="1223" t="s">
        <v>1859</v>
      </c>
      <c r="D45" s="713" t="s">
        <v>1860</v>
      </c>
      <c r="E45" s="784">
        <v>127662</v>
      </c>
      <c r="F45" s="847" t="s">
        <v>1774</v>
      </c>
      <c r="G45" s="994">
        <f t="shared" si="12"/>
        <v>0</v>
      </c>
      <c r="H45" s="711">
        <v>0</v>
      </c>
      <c r="I45" s="711">
        <f t="shared" ref="I45:I47" si="13">G45-H45</f>
        <v>0</v>
      </c>
      <c r="J45" s="994">
        <f t="shared" si="10"/>
        <v>127662</v>
      </c>
      <c r="K45" s="1226" t="s">
        <v>1816</v>
      </c>
      <c r="L45" s="785">
        <v>11942.63</v>
      </c>
      <c r="M45" s="711">
        <f>J45-L45</f>
        <v>115719.37</v>
      </c>
      <c r="N45" s="994">
        <f t="shared" ref="N45:N50" si="14">IF(F45=$N$2,E45,0)</f>
        <v>0</v>
      </c>
      <c r="O45" s="373">
        <v>2</v>
      </c>
    </row>
    <row r="46" spans="1:15">
      <c r="A46" s="956" t="s">
        <v>1861</v>
      </c>
      <c r="B46" s="992">
        <v>454</v>
      </c>
      <c r="C46" s="1223" t="s">
        <v>1862</v>
      </c>
      <c r="D46" s="713" t="s">
        <v>1863</v>
      </c>
      <c r="E46" s="784">
        <v>2160</v>
      </c>
      <c r="F46" s="847" t="s">
        <v>1774</v>
      </c>
      <c r="G46" s="994">
        <f t="shared" si="12"/>
        <v>0</v>
      </c>
      <c r="H46" s="711">
        <v>0</v>
      </c>
      <c r="I46" s="711">
        <f t="shared" si="13"/>
        <v>0</v>
      </c>
      <c r="J46" s="994">
        <f t="shared" si="10"/>
        <v>2160</v>
      </c>
      <c r="K46" s="1226" t="s">
        <v>1816</v>
      </c>
      <c r="L46" s="785">
        <v>2160</v>
      </c>
      <c r="M46" s="711">
        <f>J46-L46</f>
        <v>0</v>
      </c>
      <c r="N46" s="994">
        <f t="shared" si="14"/>
        <v>0</v>
      </c>
      <c r="O46" s="373">
        <v>2</v>
      </c>
    </row>
    <row r="47" spans="1:15">
      <c r="A47" s="956" t="s">
        <v>1864</v>
      </c>
      <c r="B47" s="992">
        <v>454</v>
      </c>
      <c r="C47" s="1231" t="s">
        <v>1865</v>
      </c>
      <c r="D47" s="713" t="s">
        <v>1866</v>
      </c>
      <c r="E47" s="784">
        <v>20473</v>
      </c>
      <c r="F47" s="847" t="s">
        <v>1774</v>
      </c>
      <c r="G47" s="994">
        <f t="shared" si="12"/>
        <v>0</v>
      </c>
      <c r="H47" s="711">
        <v>0</v>
      </c>
      <c r="I47" s="711">
        <f t="shared" si="13"/>
        <v>0</v>
      </c>
      <c r="J47" s="994">
        <f t="shared" si="10"/>
        <v>20473</v>
      </c>
      <c r="K47" s="1226" t="s">
        <v>1816</v>
      </c>
      <c r="L47" s="785">
        <v>3205.5</v>
      </c>
      <c r="M47" s="711">
        <f t="shared" ref="M47:M65" si="15">J47-L47</f>
        <v>17267.5</v>
      </c>
      <c r="N47" s="994">
        <f t="shared" si="14"/>
        <v>0</v>
      </c>
      <c r="O47" s="373">
        <v>2</v>
      </c>
    </row>
    <row r="48" spans="1:15">
      <c r="A48" s="956" t="s">
        <v>1867</v>
      </c>
      <c r="B48" s="992">
        <v>454</v>
      </c>
      <c r="C48" s="713" t="s">
        <v>1868</v>
      </c>
      <c r="D48" s="713" t="s">
        <v>1869</v>
      </c>
      <c r="E48" s="784">
        <v>-284635</v>
      </c>
      <c r="F48" s="847" t="s">
        <v>1773</v>
      </c>
      <c r="G48" s="994">
        <f>IF(F48=$G$2,E48,0)</f>
        <v>-284635</v>
      </c>
      <c r="H48" s="711">
        <v>0</v>
      </c>
      <c r="I48" s="711">
        <f>G48-H48</f>
        <v>-284635</v>
      </c>
      <c r="J48" s="994">
        <f>IF(F48=$J$2,E48,0)</f>
        <v>0</v>
      </c>
      <c r="K48" s="994"/>
      <c r="L48" s="534"/>
      <c r="M48" s="711">
        <f t="shared" si="15"/>
        <v>0</v>
      </c>
      <c r="N48" s="994">
        <f t="shared" si="14"/>
        <v>0</v>
      </c>
      <c r="O48" s="373">
        <v>4</v>
      </c>
    </row>
    <row r="49" spans="1:15">
      <c r="A49" s="956" t="s">
        <v>1870</v>
      </c>
      <c r="B49" s="992">
        <v>454</v>
      </c>
      <c r="C49" s="1223" t="s">
        <v>1871</v>
      </c>
      <c r="D49" s="713" t="s">
        <v>1872</v>
      </c>
      <c r="E49" s="784">
        <v>51608</v>
      </c>
      <c r="F49" s="847" t="s">
        <v>1775</v>
      </c>
      <c r="G49" s="994">
        <f>I49+H49</f>
        <v>3142.9272000000001</v>
      </c>
      <c r="H49" s="711">
        <f>E49*$D$245</f>
        <v>3142.9272000000001</v>
      </c>
      <c r="I49" s="711">
        <v>0</v>
      </c>
      <c r="J49" s="994">
        <f t="shared" si="10"/>
        <v>0</v>
      </c>
      <c r="K49" s="994"/>
      <c r="L49" s="534"/>
      <c r="M49" s="711">
        <f>J49-L49</f>
        <v>0</v>
      </c>
      <c r="N49" s="994">
        <f>IF(F49=$N$2,E49-H49,0)</f>
        <v>48465.072800000002</v>
      </c>
      <c r="O49" s="373" t="s">
        <v>1873</v>
      </c>
    </row>
    <row r="50" spans="1:15">
      <c r="A50" s="956" t="s">
        <v>1874</v>
      </c>
      <c r="B50" s="992">
        <v>454</v>
      </c>
      <c r="C50" s="1223" t="s">
        <v>1875</v>
      </c>
      <c r="D50" s="713" t="s">
        <v>1876</v>
      </c>
      <c r="E50" s="784"/>
      <c r="F50" s="847" t="s">
        <v>1773</v>
      </c>
      <c r="G50" s="994">
        <f t="shared" si="12"/>
        <v>0</v>
      </c>
      <c r="H50" s="711">
        <f>E50*$D$245</f>
        <v>0</v>
      </c>
      <c r="I50" s="711">
        <f>G50-H50</f>
        <v>0</v>
      </c>
      <c r="J50" s="994">
        <f t="shared" si="10"/>
        <v>0</v>
      </c>
      <c r="K50" s="994"/>
      <c r="L50" s="534"/>
      <c r="M50" s="711">
        <f t="shared" si="15"/>
        <v>0</v>
      </c>
      <c r="N50" s="994">
        <f t="shared" si="14"/>
        <v>0</v>
      </c>
      <c r="O50" s="373">
        <v>7</v>
      </c>
    </row>
    <row r="51" spans="1:15">
      <c r="A51" s="956" t="s">
        <v>1877</v>
      </c>
      <c r="B51" s="992">
        <v>454</v>
      </c>
      <c r="C51" s="713" t="s">
        <v>1878</v>
      </c>
      <c r="D51" s="713" t="s">
        <v>1879</v>
      </c>
      <c r="E51" s="784">
        <v>1319855</v>
      </c>
      <c r="F51" s="847" t="s">
        <v>1775</v>
      </c>
      <c r="G51" s="994">
        <f>I51+H51</f>
        <v>80379.169500000004</v>
      </c>
      <c r="H51" s="711">
        <f>E51*$D$245</f>
        <v>80379.169500000004</v>
      </c>
      <c r="I51" s="711">
        <v>0</v>
      </c>
      <c r="J51" s="994">
        <f>IF(F51=$J$2,E51,0)</f>
        <v>0</v>
      </c>
      <c r="K51" s="994"/>
      <c r="L51" s="534"/>
      <c r="M51" s="711">
        <f>J51-L51</f>
        <v>0</v>
      </c>
      <c r="N51" s="994">
        <f>IF(F51=$N$2,E51-H51,0)</f>
        <v>1239475.8304999999</v>
      </c>
      <c r="O51" s="373" t="s">
        <v>1873</v>
      </c>
    </row>
    <row r="52" spans="1:15">
      <c r="A52" s="956" t="s">
        <v>1880</v>
      </c>
      <c r="B52" s="992">
        <v>454</v>
      </c>
      <c r="C52" s="1223" t="s">
        <v>1881</v>
      </c>
      <c r="D52" s="713" t="s">
        <v>1882</v>
      </c>
      <c r="E52" s="784"/>
      <c r="F52" s="847" t="s">
        <v>1773</v>
      </c>
      <c r="G52" s="994">
        <f>I52+H52</f>
        <v>0</v>
      </c>
      <c r="H52" s="711">
        <f>E52*$D$239</f>
        <v>0</v>
      </c>
      <c r="I52" s="711">
        <v>0</v>
      </c>
      <c r="J52" s="994">
        <f t="shared" si="10"/>
        <v>0</v>
      </c>
      <c r="K52" s="994"/>
      <c r="L52" s="534"/>
      <c r="M52" s="711">
        <f t="shared" si="15"/>
        <v>0</v>
      </c>
      <c r="N52" s="994">
        <f t="shared" ref="N52:N63" si="16">IF(F52=$N$2,E52,0)</f>
        <v>0</v>
      </c>
      <c r="O52" s="373">
        <v>7</v>
      </c>
    </row>
    <row r="53" spans="1:15">
      <c r="A53" s="956" t="s">
        <v>1883</v>
      </c>
      <c r="B53" s="992">
        <v>454</v>
      </c>
      <c r="C53" s="1223" t="s">
        <v>1884</v>
      </c>
      <c r="D53" s="713" t="s">
        <v>1885</v>
      </c>
      <c r="E53" s="784"/>
      <c r="F53" s="847" t="s">
        <v>1773</v>
      </c>
      <c r="G53" s="994">
        <f t="shared" ref="G53:G63" si="17">IF(F53=$G$2,E53,0)</f>
        <v>0</v>
      </c>
      <c r="H53" s="711">
        <v>0</v>
      </c>
      <c r="I53" s="711">
        <f t="shared" ref="I53:I58" si="18">G53-H53</f>
        <v>0</v>
      </c>
      <c r="J53" s="994">
        <f t="shared" ref="J53:J64" si="19">IF(F53=$J$2,E53,0)</f>
        <v>0</v>
      </c>
      <c r="K53" s="994"/>
      <c r="L53" s="534"/>
      <c r="M53" s="711">
        <f t="shared" si="15"/>
        <v>0</v>
      </c>
      <c r="N53" s="994">
        <f t="shared" si="16"/>
        <v>0</v>
      </c>
      <c r="O53" s="373">
        <v>1</v>
      </c>
    </row>
    <row r="54" spans="1:15">
      <c r="A54" s="956" t="s">
        <v>1886</v>
      </c>
      <c r="B54" s="992">
        <v>454</v>
      </c>
      <c r="C54" s="1223" t="s">
        <v>1887</v>
      </c>
      <c r="D54" s="713" t="s">
        <v>1888</v>
      </c>
      <c r="E54" s="784">
        <v>10545266</v>
      </c>
      <c r="F54" s="847" t="s">
        <v>1773</v>
      </c>
      <c r="G54" s="994">
        <f t="shared" si="17"/>
        <v>10545266</v>
      </c>
      <c r="H54" s="711">
        <v>0</v>
      </c>
      <c r="I54" s="711">
        <f>G54-H54</f>
        <v>10545266</v>
      </c>
      <c r="J54" s="994">
        <f t="shared" si="19"/>
        <v>0</v>
      </c>
      <c r="K54" s="994"/>
      <c r="L54" s="534"/>
      <c r="M54" s="711">
        <f t="shared" si="15"/>
        <v>0</v>
      </c>
      <c r="N54" s="994">
        <f t="shared" si="16"/>
        <v>0</v>
      </c>
      <c r="O54" s="373">
        <v>4</v>
      </c>
    </row>
    <row r="55" spans="1:15">
      <c r="A55" s="956" t="s">
        <v>1889</v>
      </c>
      <c r="B55" s="992">
        <v>454</v>
      </c>
      <c r="C55" s="1223" t="s">
        <v>1890</v>
      </c>
      <c r="D55" s="713" t="s">
        <v>1891</v>
      </c>
      <c r="E55" s="784">
        <v>625190</v>
      </c>
      <c r="F55" s="847" t="s">
        <v>1773</v>
      </c>
      <c r="G55" s="994">
        <f t="shared" si="17"/>
        <v>625190</v>
      </c>
      <c r="H55" s="711">
        <v>0</v>
      </c>
      <c r="I55" s="711">
        <f>G55-H55</f>
        <v>625190</v>
      </c>
      <c r="J55" s="994">
        <f t="shared" si="19"/>
        <v>0</v>
      </c>
      <c r="K55" s="994"/>
      <c r="L55" s="534"/>
      <c r="M55" s="711">
        <f t="shared" si="15"/>
        <v>0</v>
      </c>
      <c r="N55" s="994">
        <f t="shared" si="16"/>
        <v>0</v>
      </c>
      <c r="O55" s="373">
        <v>4</v>
      </c>
    </row>
    <row r="56" spans="1:15">
      <c r="A56" s="956" t="s">
        <v>1892</v>
      </c>
      <c r="B56" s="992">
        <v>454</v>
      </c>
      <c r="C56" s="1223" t="s">
        <v>1893</v>
      </c>
      <c r="D56" s="713" t="s">
        <v>1894</v>
      </c>
      <c r="E56" s="784">
        <v>24832616</v>
      </c>
      <c r="F56" s="847" t="s">
        <v>1773</v>
      </c>
      <c r="G56" s="994">
        <f t="shared" si="17"/>
        <v>24832616</v>
      </c>
      <c r="H56" s="711">
        <v>0</v>
      </c>
      <c r="I56" s="711">
        <f>G56-H56</f>
        <v>24832616</v>
      </c>
      <c r="J56" s="994">
        <f t="shared" si="19"/>
        <v>0</v>
      </c>
      <c r="K56" s="994"/>
      <c r="L56" s="534"/>
      <c r="M56" s="711">
        <f t="shared" si="15"/>
        <v>0</v>
      </c>
      <c r="N56" s="994">
        <f t="shared" si="16"/>
        <v>0</v>
      </c>
      <c r="O56" s="373">
        <v>4</v>
      </c>
    </row>
    <row r="57" spans="1:15">
      <c r="A57" s="956" t="s">
        <v>1895</v>
      </c>
      <c r="B57" s="992">
        <v>454</v>
      </c>
      <c r="C57" s="1223" t="s">
        <v>1896</v>
      </c>
      <c r="D57" s="713" t="s">
        <v>1897</v>
      </c>
      <c r="E57" s="784">
        <v>15632927</v>
      </c>
      <c r="F57" s="847" t="s">
        <v>1773</v>
      </c>
      <c r="G57" s="994">
        <f t="shared" si="17"/>
        <v>15632927</v>
      </c>
      <c r="H57" s="534">
        <v>3357572.12</v>
      </c>
      <c r="I57" s="711">
        <f>G57-H57</f>
        <v>12275354.879999999</v>
      </c>
      <c r="J57" s="994">
        <f t="shared" si="19"/>
        <v>0</v>
      </c>
      <c r="K57" s="994"/>
      <c r="L57" s="534"/>
      <c r="M57" s="711">
        <f t="shared" si="15"/>
        <v>0</v>
      </c>
      <c r="N57" s="994">
        <f t="shared" si="16"/>
        <v>0</v>
      </c>
      <c r="O57" s="373">
        <v>8</v>
      </c>
    </row>
    <row r="58" spans="1:15">
      <c r="A58" s="956" t="s">
        <v>1898</v>
      </c>
      <c r="B58" s="992">
        <v>454</v>
      </c>
      <c r="C58" s="713" t="s">
        <v>1899</v>
      </c>
      <c r="D58" s="713" t="s">
        <v>1900</v>
      </c>
      <c r="E58" s="784">
        <v>21740975</v>
      </c>
      <c r="F58" s="847" t="s">
        <v>1774</v>
      </c>
      <c r="G58" s="994">
        <f t="shared" si="17"/>
        <v>0</v>
      </c>
      <c r="H58" s="711">
        <v>0</v>
      </c>
      <c r="I58" s="711">
        <f t="shared" si="18"/>
        <v>0</v>
      </c>
      <c r="J58" s="994">
        <f t="shared" si="19"/>
        <v>21740975</v>
      </c>
      <c r="K58" s="1226" t="s">
        <v>1816</v>
      </c>
      <c r="L58" s="785">
        <v>4600845.71</v>
      </c>
      <c r="M58" s="711">
        <f t="shared" ref="M58:M63" si="20">J58-L58</f>
        <v>17140129.289999999</v>
      </c>
      <c r="N58" s="994">
        <f t="shared" si="16"/>
        <v>0</v>
      </c>
      <c r="O58" s="373">
        <v>2</v>
      </c>
    </row>
    <row r="59" spans="1:15">
      <c r="A59" s="956" t="s">
        <v>1901</v>
      </c>
      <c r="B59" s="992">
        <v>454</v>
      </c>
      <c r="C59" s="1223" t="s">
        <v>1902</v>
      </c>
      <c r="D59" s="713" t="s">
        <v>1903</v>
      </c>
      <c r="E59" s="784"/>
      <c r="F59" s="847" t="s">
        <v>1773</v>
      </c>
      <c r="G59" s="994">
        <f t="shared" si="17"/>
        <v>0</v>
      </c>
      <c r="H59" s="711">
        <v>0</v>
      </c>
      <c r="I59" s="711">
        <f>G59-H59</f>
        <v>0</v>
      </c>
      <c r="J59" s="994">
        <f t="shared" si="19"/>
        <v>0</v>
      </c>
      <c r="K59" s="994"/>
      <c r="L59" s="534"/>
      <c r="M59" s="711">
        <f t="shared" si="20"/>
        <v>0</v>
      </c>
      <c r="N59" s="994">
        <f t="shared" si="16"/>
        <v>0</v>
      </c>
      <c r="O59" s="373">
        <v>4</v>
      </c>
    </row>
    <row r="60" spans="1:15">
      <c r="A60" s="956" t="s">
        <v>1904</v>
      </c>
      <c r="B60" s="992">
        <v>454</v>
      </c>
      <c r="C60" s="714" t="s">
        <v>1905</v>
      </c>
      <c r="D60" s="713" t="s">
        <v>1906</v>
      </c>
      <c r="E60" s="784">
        <v>-17101</v>
      </c>
      <c r="F60" s="847" t="s">
        <v>1773</v>
      </c>
      <c r="G60" s="994">
        <f t="shared" si="17"/>
        <v>-17101</v>
      </c>
      <c r="H60" s="711">
        <v>0</v>
      </c>
      <c r="I60" s="711">
        <f>G60-H60</f>
        <v>-17101</v>
      </c>
      <c r="J60" s="994">
        <f t="shared" si="19"/>
        <v>0</v>
      </c>
      <c r="K60" s="994"/>
      <c r="L60" s="534"/>
      <c r="M60" s="711">
        <f t="shared" si="20"/>
        <v>0</v>
      </c>
      <c r="N60" s="994">
        <f t="shared" si="16"/>
        <v>0</v>
      </c>
      <c r="O60" s="373">
        <v>1</v>
      </c>
    </row>
    <row r="61" spans="1:15">
      <c r="A61" s="956" t="s">
        <v>1907</v>
      </c>
      <c r="B61" s="992">
        <v>454</v>
      </c>
      <c r="C61" s="992">
        <v>4206515</v>
      </c>
      <c r="D61" s="991" t="s">
        <v>1908</v>
      </c>
      <c r="E61" s="784">
        <v>1516061</v>
      </c>
      <c r="F61" s="847" t="s">
        <v>1774</v>
      </c>
      <c r="G61" s="994">
        <f t="shared" si="17"/>
        <v>0</v>
      </c>
      <c r="H61" s="711">
        <v>0</v>
      </c>
      <c r="I61" s="711">
        <f>G61-H61</f>
        <v>0</v>
      </c>
      <c r="J61" s="712">
        <f t="shared" si="19"/>
        <v>1516061</v>
      </c>
      <c r="K61" s="712" t="s">
        <v>1816</v>
      </c>
      <c r="L61" s="534">
        <v>1068380.29</v>
      </c>
      <c r="M61" s="711">
        <f t="shared" si="20"/>
        <v>447680.70999999996</v>
      </c>
      <c r="N61" s="994">
        <f t="shared" si="16"/>
        <v>0</v>
      </c>
      <c r="O61" s="373">
        <v>2</v>
      </c>
    </row>
    <row r="62" spans="1:15">
      <c r="A62" s="956" t="s">
        <v>1909</v>
      </c>
      <c r="B62" s="992">
        <v>454</v>
      </c>
      <c r="C62" s="992">
        <v>4184122</v>
      </c>
      <c r="D62" s="991" t="s">
        <v>1910</v>
      </c>
      <c r="E62" s="784"/>
      <c r="F62" s="847" t="s">
        <v>1773</v>
      </c>
      <c r="G62" s="994">
        <f t="shared" si="17"/>
        <v>0</v>
      </c>
      <c r="H62" s="711">
        <v>0</v>
      </c>
      <c r="I62" s="711">
        <f>G62-H62</f>
        <v>0</v>
      </c>
      <c r="J62" s="712">
        <f t="shared" si="19"/>
        <v>0</v>
      </c>
      <c r="K62" s="994"/>
      <c r="L62" s="534"/>
      <c r="M62" s="711">
        <f t="shared" si="20"/>
        <v>0</v>
      </c>
      <c r="N62" s="994">
        <f t="shared" si="16"/>
        <v>0</v>
      </c>
      <c r="O62" s="373">
        <v>4</v>
      </c>
    </row>
    <row r="63" spans="1:15">
      <c r="A63" s="714" t="s">
        <v>1911</v>
      </c>
      <c r="B63" s="992">
        <v>454</v>
      </c>
      <c r="C63" s="992">
        <v>4184124</v>
      </c>
      <c r="D63" s="991" t="s">
        <v>1912</v>
      </c>
      <c r="E63" s="784">
        <v>13440</v>
      </c>
      <c r="F63" s="847" t="s">
        <v>1773</v>
      </c>
      <c r="G63" s="994">
        <f t="shared" si="17"/>
        <v>13440</v>
      </c>
      <c r="H63" s="711">
        <v>0</v>
      </c>
      <c r="I63" s="711">
        <f>G63-H63</f>
        <v>13440</v>
      </c>
      <c r="J63" s="712">
        <f t="shared" si="19"/>
        <v>0</v>
      </c>
      <c r="K63" s="994"/>
      <c r="L63" s="534"/>
      <c r="M63" s="711">
        <f t="shared" si="20"/>
        <v>0</v>
      </c>
      <c r="N63" s="994">
        <f t="shared" si="16"/>
        <v>0</v>
      </c>
      <c r="O63" s="373">
        <v>4</v>
      </c>
    </row>
    <row r="64" spans="1:15">
      <c r="A64" s="714" t="s">
        <v>1913</v>
      </c>
      <c r="B64" s="992">
        <v>454</v>
      </c>
      <c r="C64" s="992">
        <v>4184821</v>
      </c>
      <c r="D64" s="991" t="s">
        <v>1914</v>
      </c>
      <c r="E64" s="784">
        <v>83052</v>
      </c>
      <c r="F64" s="784" t="s">
        <v>1775</v>
      </c>
      <c r="G64" s="994">
        <f>I64+H64</f>
        <v>5057.8667999999998</v>
      </c>
      <c r="H64" s="711">
        <f>E64*$D$245</f>
        <v>5057.8667999999998</v>
      </c>
      <c r="I64" s="711">
        <v>0</v>
      </c>
      <c r="J64" s="994">
        <f t="shared" si="19"/>
        <v>0</v>
      </c>
      <c r="K64" s="994"/>
      <c r="L64" s="534"/>
      <c r="M64" s="711">
        <f t="shared" si="15"/>
        <v>0</v>
      </c>
      <c r="N64" s="994">
        <f>IF(F64=$N$2,E64-H64,0)</f>
        <v>77994.133199999997</v>
      </c>
      <c r="O64" s="373" t="s">
        <v>1873</v>
      </c>
    </row>
    <row r="65" spans="1:15" s="768" customFormat="1">
      <c r="A65" s="714" t="s">
        <v>1915</v>
      </c>
      <c r="B65" s="992">
        <v>454</v>
      </c>
      <c r="C65" s="992">
        <v>4184811</v>
      </c>
      <c r="D65" s="991" t="s">
        <v>1916</v>
      </c>
      <c r="E65" s="784">
        <v>820154</v>
      </c>
      <c r="F65" s="784" t="s">
        <v>1775</v>
      </c>
      <c r="G65" s="994">
        <f>I65+H65</f>
        <v>49947.378600000004</v>
      </c>
      <c r="H65" s="711">
        <f>E65*$D$245</f>
        <v>49947.378600000004</v>
      </c>
      <c r="I65" s="711">
        <v>0</v>
      </c>
      <c r="J65" s="712">
        <f t="shared" ref="J65" si="21">IF(F65=$J$2,E65,0)</f>
        <v>0</v>
      </c>
      <c r="K65" s="994"/>
      <c r="L65" s="534"/>
      <c r="M65" s="711">
        <f t="shared" si="15"/>
        <v>0</v>
      </c>
      <c r="N65" s="994">
        <f t="shared" ref="N65" si="22">IF(F65=$N$2,E65-H65,0)</f>
        <v>770206.62139999995</v>
      </c>
      <c r="O65" s="373" t="s">
        <v>1873</v>
      </c>
    </row>
    <row r="66" spans="1:15" s="768" customFormat="1">
      <c r="A66" s="714" t="s">
        <v>1917</v>
      </c>
      <c r="B66" s="992">
        <v>454</v>
      </c>
      <c r="C66" s="992">
        <v>4184515</v>
      </c>
      <c r="D66" s="991" t="s">
        <v>1837</v>
      </c>
      <c r="E66" s="784"/>
      <c r="F66" s="784" t="s">
        <v>1775</v>
      </c>
      <c r="G66" s="994">
        <f>IF(F66=$G$2,E66,0)</f>
        <v>0</v>
      </c>
      <c r="H66" s="711">
        <v>0</v>
      </c>
      <c r="I66" s="711">
        <f>G66-H66</f>
        <v>0</v>
      </c>
      <c r="J66" s="712">
        <f>IF(F66=$J$2,E66,0)</f>
        <v>0</v>
      </c>
      <c r="K66" s="994"/>
      <c r="L66" s="534"/>
      <c r="M66" s="711">
        <f>J66-L66</f>
        <v>0</v>
      </c>
      <c r="N66" s="994">
        <f>IF(F66=$N$2,E66-H66,0)</f>
        <v>0</v>
      </c>
      <c r="O66" s="373">
        <v>6</v>
      </c>
    </row>
    <row r="67" spans="1:15" s="768" customFormat="1">
      <c r="A67" s="889" t="s">
        <v>1918</v>
      </c>
      <c r="B67" s="890">
        <v>454</v>
      </c>
      <c r="C67" s="890" t="s">
        <v>1919</v>
      </c>
      <c r="D67" s="891" t="s">
        <v>1920</v>
      </c>
      <c r="E67" s="784">
        <v>829632</v>
      </c>
      <c r="F67" s="784" t="s">
        <v>1773</v>
      </c>
      <c r="G67" s="847">
        <f>IF(F67=$G$2,E67,0)</f>
        <v>829632</v>
      </c>
      <c r="H67" s="534">
        <v>0</v>
      </c>
      <c r="I67" s="534">
        <f>G67-H67</f>
        <v>829632</v>
      </c>
      <c r="J67" s="784">
        <f>IF(F67=$J$2,E67,0)</f>
        <v>0</v>
      </c>
      <c r="K67" s="847"/>
      <c r="L67" s="534"/>
      <c r="M67" s="534">
        <f t="shared" ref="M67" si="23">J67-L67</f>
        <v>0</v>
      </c>
      <c r="N67" s="847">
        <f t="shared" ref="N67:N68" si="24">IF(F67=$N$2,E67,0)</f>
        <v>0</v>
      </c>
      <c r="O67" s="892">
        <v>4</v>
      </c>
    </row>
    <row r="68" spans="1:15" s="768" customFormat="1">
      <c r="A68" s="889" t="s">
        <v>1921</v>
      </c>
      <c r="B68" s="890">
        <v>454</v>
      </c>
      <c r="C68" s="890" t="s">
        <v>1922</v>
      </c>
      <c r="D68" s="891" t="s">
        <v>1923</v>
      </c>
      <c r="E68" s="784">
        <v>9280</v>
      </c>
      <c r="F68" s="784" t="s">
        <v>1774</v>
      </c>
      <c r="G68" s="847">
        <f>IF(F68=$G$2,E68,0)</f>
        <v>0</v>
      </c>
      <c r="H68" s="534">
        <v>0</v>
      </c>
      <c r="I68" s="534">
        <f>G68-H68</f>
        <v>0</v>
      </c>
      <c r="J68" s="784">
        <f>IF(F68=$J$2,E68,0)</f>
        <v>9280</v>
      </c>
      <c r="K68" s="847" t="s">
        <v>1816</v>
      </c>
      <c r="L68" s="534">
        <v>0</v>
      </c>
      <c r="M68" s="534">
        <f>J68-L68</f>
        <v>9280</v>
      </c>
      <c r="N68" s="847">
        <f t="shared" si="24"/>
        <v>0</v>
      </c>
      <c r="O68" s="892">
        <v>2</v>
      </c>
    </row>
    <row r="69" spans="1:15">
      <c r="A69" s="889"/>
      <c r="B69" s="890"/>
      <c r="C69" s="893"/>
      <c r="D69" s="891"/>
      <c r="E69" s="847"/>
      <c r="F69" s="847"/>
      <c r="G69" s="1225"/>
      <c r="H69" s="534"/>
      <c r="I69" s="534"/>
      <c r="J69" s="847"/>
      <c r="K69" s="847"/>
      <c r="L69" s="534"/>
      <c r="M69" s="534"/>
      <c r="N69" s="847"/>
      <c r="O69" s="892"/>
    </row>
    <row r="70" spans="1:15" s="768" customFormat="1">
      <c r="A70" s="889"/>
      <c r="B70" s="890"/>
      <c r="C70" s="893"/>
      <c r="D70" s="981"/>
      <c r="E70" s="847"/>
      <c r="F70" s="847"/>
      <c r="G70" s="1225"/>
      <c r="H70" s="534"/>
      <c r="I70" s="534"/>
      <c r="J70" s="847"/>
      <c r="K70" s="847"/>
      <c r="L70" s="534"/>
      <c r="M70" s="534"/>
      <c r="N70" s="847"/>
      <c r="O70" s="892"/>
    </row>
    <row r="71" spans="1:15">
      <c r="A71" s="956">
        <v>11</v>
      </c>
      <c r="B71" s="1157" t="s">
        <v>1924</v>
      </c>
      <c r="C71" s="1155"/>
      <c r="D71" s="1156"/>
      <c r="E71" s="175">
        <f>SUM(E40:E70)</f>
        <v>83380365</v>
      </c>
      <c r="F71" s="182"/>
      <c r="G71" s="175">
        <f>SUM(G40:G70)</f>
        <v>57678451.342100002</v>
      </c>
      <c r="H71" s="175">
        <f>SUM(H40:H70)</f>
        <v>3496099.4621000001</v>
      </c>
      <c r="I71" s="175">
        <f>SUM(I40:I70)</f>
        <v>54182351.879999995</v>
      </c>
      <c r="J71" s="175">
        <f>SUM(J40:J70)</f>
        <v>23565772</v>
      </c>
      <c r="K71" s="182"/>
      <c r="L71" s="175">
        <f>SUM(L40:L70)</f>
        <v>5715737.9100000001</v>
      </c>
      <c r="M71" s="175">
        <f>SUM(M40:M70)</f>
        <v>17850034.09</v>
      </c>
      <c r="N71" s="175">
        <f>SUM(N40:N70)</f>
        <v>2136141.6579</v>
      </c>
      <c r="O71" s="118"/>
    </row>
    <row r="72" spans="1:15" ht="24.75" customHeight="1">
      <c r="A72" s="956">
        <v>12</v>
      </c>
      <c r="B72" s="1149" t="s">
        <v>1925</v>
      </c>
      <c r="C72" s="1150"/>
      <c r="D72" s="1151"/>
      <c r="E72" s="888">
        <v>83380365</v>
      </c>
      <c r="F72" s="174"/>
      <c r="G72" s="188"/>
      <c r="H72" s="174"/>
      <c r="I72" s="174"/>
      <c r="J72" s="171"/>
      <c r="K72" s="174"/>
      <c r="L72" s="171"/>
      <c r="M72" s="171"/>
      <c r="N72" s="171"/>
      <c r="O72" s="116"/>
    </row>
    <row r="73" spans="1:15">
      <c r="A73" s="123"/>
      <c r="B73" s="124"/>
      <c r="C73" s="125"/>
      <c r="D73" s="126"/>
      <c r="E73" s="171"/>
      <c r="F73" s="171"/>
      <c r="G73" s="171"/>
      <c r="H73" s="174"/>
      <c r="I73" s="174"/>
      <c r="J73" s="171"/>
      <c r="K73" s="174"/>
      <c r="L73" s="171"/>
      <c r="M73" s="171"/>
      <c r="N73" s="171"/>
      <c r="O73" s="116"/>
    </row>
    <row r="74" spans="1:15">
      <c r="A74" s="956" t="s">
        <v>1926</v>
      </c>
      <c r="B74" s="992">
        <v>456</v>
      </c>
      <c r="C74" s="1223" t="s">
        <v>1927</v>
      </c>
      <c r="D74" s="713" t="s">
        <v>1928</v>
      </c>
      <c r="E74" s="784"/>
      <c r="F74" s="847" t="s">
        <v>1773</v>
      </c>
      <c r="G74" s="994">
        <f t="shared" ref="G74:G82" si="25">IF(F74=$G$2,E74,0)</f>
        <v>0</v>
      </c>
      <c r="H74" s="711">
        <v>0</v>
      </c>
      <c r="I74" s="711">
        <f t="shared" ref="I74:I82" si="26">G74-H74</f>
        <v>0</v>
      </c>
      <c r="J74" s="994">
        <f t="shared" ref="J74:J89" si="27">IF(F74=$J$2,E74,0)</f>
        <v>0</v>
      </c>
      <c r="K74" s="994"/>
      <c r="L74" s="534"/>
      <c r="M74" s="711">
        <f t="shared" ref="M74:M89" si="28">J74-L74</f>
        <v>0</v>
      </c>
      <c r="N74" s="994">
        <f t="shared" ref="N74:N82" si="29">IF(F74=$N$2,E74,0)</f>
        <v>0</v>
      </c>
      <c r="O74" s="373">
        <v>1</v>
      </c>
    </row>
    <row r="75" spans="1:15">
      <c r="A75" s="956" t="s">
        <v>1929</v>
      </c>
      <c r="B75" s="992">
        <v>456</v>
      </c>
      <c r="C75" s="1223" t="s">
        <v>1930</v>
      </c>
      <c r="D75" s="713" t="s">
        <v>1931</v>
      </c>
      <c r="E75" s="784">
        <v>1274.9100000000001</v>
      </c>
      <c r="F75" s="847" t="s">
        <v>1773</v>
      </c>
      <c r="G75" s="994">
        <f t="shared" si="25"/>
        <v>1274.9100000000001</v>
      </c>
      <c r="H75" s="711">
        <v>0</v>
      </c>
      <c r="I75" s="711">
        <f t="shared" si="26"/>
        <v>1274.9100000000001</v>
      </c>
      <c r="J75" s="994">
        <f t="shared" si="27"/>
        <v>0</v>
      </c>
      <c r="K75" s="994"/>
      <c r="L75" s="534"/>
      <c r="M75" s="711">
        <f t="shared" si="28"/>
        <v>0</v>
      </c>
      <c r="N75" s="994">
        <f t="shared" si="29"/>
        <v>0</v>
      </c>
      <c r="O75" s="373">
        <v>4</v>
      </c>
    </row>
    <row r="76" spans="1:15">
      <c r="A76" s="956" t="s">
        <v>1932</v>
      </c>
      <c r="B76" s="992">
        <v>456</v>
      </c>
      <c r="C76" s="1223" t="s">
        <v>1933</v>
      </c>
      <c r="D76" s="713" t="s">
        <v>1934</v>
      </c>
      <c r="E76" s="784">
        <v>36251.22</v>
      </c>
      <c r="F76" s="847" t="s">
        <v>1773</v>
      </c>
      <c r="G76" s="994">
        <f t="shared" si="25"/>
        <v>36251.22</v>
      </c>
      <c r="H76" s="711">
        <v>0</v>
      </c>
      <c r="I76" s="711">
        <f t="shared" si="26"/>
        <v>36251.22</v>
      </c>
      <c r="J76" s="994">
        <f t="shared" si="27"/>
        <v>0</v>
      </c>
      <c r="K76" s="994"/>
      <c r="L76" s="534"/>
      <c r="M76" s="711">
        <f t="shared" si="28"/>
        <v>0</v>
      </c>
      <c r="N76" s="994">
        <f t="shared" si="29"/>
        <v>0</v>
      </c>
      <c r="O76" s="373">
        <v>4</v>
      </c>
    </row>
    <row r="77" spans="1:15">
      <c r="A77" s="956" t="s">
        <v>1935</v>
      </c>
      <c r="B77" s="992">
        <v>456</v>
      </c>
      <c r="C77" s="1223" t="s">
        <v>1936</v>
      </c>
      <c r="D77" s="713" t="s">
        <v>1937</v>
      </c>
      <c r="E77" s="784"/>
      <c r="F77" s="847" t="s">
        <v>1773</v>
      </c>
      <c r="G77" s="994">
        <f t="shared" si="25"/>
        <v>0</v>
      </c>
      <c r="H77" s="711">
        <v>0</v>
      </c>
      <c r="I77" s="711">
        <f t="shared" si="26"/>
        <v>0</v>
      </c>
      <c r="J77" s="994">
        <f t="shared" si="27"/>
        <v>0</v>
      </c>
      <c r="K77" s="994"/>
      <c r="L77" s="534"/>
      <c r="M77" s="711">
        <f t="shared" si="28"/>
        <v>0</v>
      </c>
      <c r="N77" s="994">
        <f t="shared" si="29"/>
        <v>0</v>
      </c>
      <c r="O77" s="373">
        <v>3</v>
      </c>
    </row>
    <row r="78" spans="1:15">
      <c r="A78" s="714" t="s">
        <v>1938</v>
      </c>
      <c r="B78" s="992">
        <v>456</v>
      </c>
      <c r="C78" s="713" t="s">
        <v>1939</v>
      </c>
      <c r="D78" s="713" t="s">
        <v>1940</v>
      </c>
      <c r="E78" s="784">
        <v>160</v>
      </c>
      <c r="F78" s="847" t="s">
        <v>1773</v>
      </c>
      <c r="G78" s="994">
        <f t="shared" si="25"/>
        <v>160</v>
      </c>
      <c r="H78" s="711">
        <v>0</v>
      </c>
      <c r="I78" s="711">
        <f t="shared" si="26"/>
        <v>160</v>
      </c>
      <c r="J78" s="994">
        <f t="shared" si="27"/>
        <v>0</v>
      </c>
      <c r="K78" s="994"/>
      <c r="L78" s="534"/>
      <c r="M78" s="711">
        <f t="shared" si="28"/>
        <v>0</v>
      </c>
      <c r="N78" s="994">
        <f t="shared" si="29"/>
        <v>0</v>
      </c>
      <c r="O78" s="373">
        <v>1</v>
      </c>
    </row>
    <row r="79" spans="1:15">
      <c r="A79" s="714" t="s">
        <v>1941</v>
      </c>
      <c r="B79" s="992">
        <v>456</v>
      </c>
      <c r="C79" s="713" t="s">
        <v>1942</v>
      </c>
      <c r="D79" s="713" t="s">
        <v>1943</v>
      </c>
      <c r="E79" s="784">
        <v>1584401.14</v>
      </c>
      <c r="F79" s="847" t="s">
        <v>1773</v>
      </c>
      <c r="G79" s="994">
        <f t="shared" si="25"/>
        <v>1584401.14</v>
      </c>
      <c r="H79" s="711">
        <v>0</v>
      </c>
      <c r="I79" s="711">
        <f t="shared" si="26"/>
        <v>1584401.14</v>
      </c>
      <c r="J79" s="994">
        <f t="shared" si="27"/>
        <v>0</v>
      </c>
      <c r="K79" s="994"/>
      <c r="L79" s="534"/>
      <c r="M79" s="711">
        <f t="shared" si="28"/>
        <v>0</v>
      </c>
      <c r="N79" s="994">
        <f t="shared" si="29"/>
        <v>0</v>
      </c>
      <c r="O79" s="373">
        <v>1</v>
      </c>
    </row>
    <row r="80" spans="1:15">
      <c r="A80" s="714" t="s">
        <v>1944</v>
      </c>
      <c r="B80" s="992">
        <v>456</v>
      </c>
      <c r="C80" s="713" t="s">
        <v>1945</v>
      </c>
      <c r="D80" s="713" t="s">
        <v>1946</v>
      </c>
      <c r="E80" s="784"/>
      <c r="F80" s="847" t="s">
        <v>1773</v>
      </c>
      <c r="G80" s="994">
        <f t="shared" si="25"/>
        <v>0</v>
      </c>
      <c r="H80" s="711">
        <v>0</v>
      </c>
      <c r="I80" s="711">
        <f t="shared" si="26"/>
        <v>0</v>
      </c>
      <c r="J80" s="994">
        <f t="shared" si="27"/>
        <v>0</v>
      </c>
      <c r="K80" s="994"/>
      <c r="L80" s="534"/>
      <c r="M80" s="711">
        <f t="shared" si="28"/>
        <v>0</v>
      </c>
      <c r="N80" s="994">
        <f t="shared" si="29"/>
        <v>0</v>
      </c>
      <c r="O80" s="373">
        <v>3</v>
      </c>
    </row>
    <row r="81" spans="1:15">
      <c r="A81" s="714" t="s">
        <v>1947</v>
      </c>
      <c r="B81" s="992">
        <v>456</v>
      </c>
      <c r="C81" s="992">
        <v>4186142</v>
      </c>
      <c r="D81" s="713" t="s">
        <v>1948</v>
      </c>
      <c r="E81" s="784">
        <v>3427.67</v>
      </c>
      <c r="F81" s="847" t="s">
        <v>1773</v>
      </c>
      <c r="G81" s="994">
        <f t="shared" si="25"/>
        <v>3427.67</v>
      </c>
      <c r="H81" s="711">
        <v>0</v>
      </c>
      <c r="I81" s="711">
        <f t="shared" si="26"/>
        <v>3427.67</v>
      </c>
      <c r="J81" s="994">
        <f t="shared" si="27"/>
        <v>0</v>
      </c>
      <c r="K81" s="994"/>
      <c r="L81" s="534"/>
      <c r="M81" s="711">
        <f t="shared" si="28"/>
        <v>0</v>
      </c>
      <c r="N81" s="994">
        <f t="shared" si="29"/>
        <v>0</v>
      </c>
      <c r="O81" s="373">
        <v>4</v>
      </c>
    </row>
    <row r="82" spans="1:15">
      <c r="A82" s="714" t="s">
        <v>1949</v>
      </c>
      <c r="B82" s="992">
        <v>456</v>
      </c>
      <c r="C82" s="713" t="s">
        <v>1950</v>
      </c>
      <c r="D82" s="713" t="s">
        <v>1951</v>
      </c>
      <c r="E82" s="784"/>
      <c r="F82" s="847" t="s">
        <v>1773</v>
      </c>
      <c r="G82" s="994">
        <f t="shared" si="25"/>
        <v>0</v>
      </c>
      <c r="H82" s="711">
        <f>E82*$D$239</f>
        <v>0</v>
      </c>
      <c r="I82" s="711">
        <f t="shared" si="26"/>
        <v>0</v>
      </c>
      <c r="J82" s="994">
        <f t="shared" si="27"/>
        <v>0</v>
      </c>
      <c r="K82" s="994"/>
      <c r="L82" s="534"/>
      <c r="M82" s="711">
        <f t="shared" si="28"/>
        <v>0</v>
      </c>
      <c r="N82" s="994">
        <f t="shared" si="29"/>
        <v>0</v>
      </c>
      <c r="O82" s="373">
        <v>7</v>
      </c>
    </row>
    <row r="83" spans="1:15">
      <c r="A83" s="714" t="s">
        <v>1952</v>
      </c>
      <c r="B83" s="992">
        <v>456</v>
      </c>
      <c r="C83" s="713" t="s">
        <v>1953</v>
      </c>
      <c r="D83" s="713" t="s">
        <v>1954</v>
      </c>
      <c r="E83" s="784">
        <v>7180.97</v>
      </c>
      <c r="F83" s="847" t="s">
        <v>1775</v>
      </c>
      <c r="G83" s="994">
        <f>I83+H83</f>
        <v>437.32107300000001</v>
      </c>
      <c r="H83" s="711">
        <f>E83*$D$245</f>
        <v>437.32107300000001</v>
      </c>
      <c r="I83" s="711">
        <v>0</v>
      </c>
      <c r="J83" s="994">
        <f t="shared" si="27"/>
        <v>0</v>
      </c>
      <c r="K83" s="994"/>
      <c r="L83" s="534"/>
      <c r="M83" s="711">
        <f t="shared" si="28"/>
        <v>0</v>
      </c>
      <c r="N83" s="994">
        <f>IF(F83=$N$2,E83-H83,0)</f>
        <v>6743.6489270000002</v>
      </c>
      <c r="O83" s="373" t="s">
        <v>1873</v>
      </c>
    </row>
    <row r="84" spans="1:15">
      <c r="A84" s="714" t="s">
        <v>1955</v>
      </c>
      <c r="B84" s="992">
        <v>456</v>
      </c>
      <c r="C84" s="713" t="s">
        <v>1956</v>
      </c>
      <c r="D84" s="713" t="s">
        <v>1957</v>
      </c>
      <c r="E84" s="784">
        <v>1567.73</v>
      </c>
      <c r="F84" s="847" t="s">
        <v>1773</v>
      </c>
      <c r="G84" s="994">
        <f t="shared" ref="G84:G123" si="30">IF(F84=$G$2,E84,0)</f>
        <v>1567.73</v>
      </c>
      <c r="H84" s="711">
        <v>0</v>
      </c>
      <c r="I84" s="711">
        <f t="shared" ref="I84:I89" si="31">G84-H84</f>
        <v>1567.73</v>
      </c>
      <c r="J84" s="994">
        <f t="shared" si="27"/>
        <v>0</v>
      </c>
      <c r="K84" s="994"/>
      <c r="L84" s="534"/>
      <c r="M84" s="711">
        <f t="shared" si="28"/>
        <v>0</v>
      </c>
      <c r="N84" s="994">
        <f t="shared" ref="N84:N89" si="32">IF(F84=$N$2,E84,0)</f>
        <v>0</v>
      </c>
      <c r="O84" s="373">
        <v>4</v>
      </c>
    </row>
    <row r="85" spans="1:15">
      <c r="A85" s="714" t="s">
        <v>1958</v>
      </c>
      <c r="B85" s="992">
        <v>456</v>
      </c>
      <c r="C85" s="713" t="s">
        <v>1959</v>
      </c>
      <c r="D85" s="713" t="s">
        <v>1960</v>
      </c>
      <c r="E85" s="784">
        <v>15732.4</v>
      </c>
      <c r="F85" s="847" t="s">
        <v>1773</v>
      </c>
      <c r="G85" s="994">
        <f t="shared" si="30"/>
        <v>15732.4</v>
      </c>
      <c r="H85" s="711">
        <v>0</v>
      </c>
      <c r="I85" s="711">
        <f t="shared" si="31"/>
        <v>15732.4</v>
      </c>
      <c r="J85" s="994">
        <f t="shared" si="27"/>
        <v>0</v>
      </c>
      <c r="K85" s="994"/>
      <c r="L85" s="534"/>
      <c r="M85" s="711">
        <f t="shared" si="28"/>
        <v>0</v>
      </c>
      <c r="N85" s="994">
        <f t="shared" si="32"/>
        <v>0</v>
      </c>
      <c r="O85" s="373">
        <v>4</v>
      </c>
    </row>
    <row r="86" spans="1:15">
      <c r="A86" s="714" t="s">
        <v>1961</v>
      </c>
      <c r="B86" s="992">
        <v>456</v>
      </c>
      <c r="C86" s="713" t="s">
        <v>1962</v>
      </c>
      <c r="D86" s="713" t="s">
        <v>1963</v>
      </c>
      <c r="E86" s="784">
        <v>4753.82</v>
      </c>
      <c r="F86" s="847" t="s">
        <v>1773</v>
      </c>
      <c r="G86" s="994">
        <f t="shared" si="30"/>
        <v>4753.82</v>
      </c>
      <c r="H86" s="711">
        <v>0</v>
      </c>
      <c r="I86" s="711">
        <f t="shared" si="31"/>
        <v>4753.82</v>
      </c>
      <c r="J86" s="994">
        <f t="shared" si="27"/>
        <v>0</v>
      </c>
      <c r="K86" s="994"/>
      <c r="L86" s="534"/>
      <c r="M86" s="711">
        <f t="shared" si="28"/>
        <v>0</v>
      </c>
      <c r="N86" s="994">
        <f t="shared" si="32"/>
        <v>0</v>
      </c>
      <c r="O86" s="373">
        <v>4</v>
      </c>
    </row>
    <row r="87" spans="1:15">
      <c r="A87" s="714" t="s">
        <v>1964</v>
      </c>
      <c r="B87" s="992">
        <v>456</v>
      </c>
      <c r="C87" s="713" t="s">
        <v>1965</v>
      </c>
      <c r="D87" s="713" t="s">
        <v>1966</v>
      </c>
      <c r="E87" s="784">
        <v>1076.07</v>
      </c>
      <c r="F87" s="847" t="s">
        <v>1773</v>
      </c>
      <c r="G87" s="994">
        <f t="shared" si="30"/>
        <v>1076.07</v>
      </c>
      <c r="H87" s="711">
        <v>0</v>
      </c>
      <c r="I87" s="711">
        <f t="shared" si="31"/>
        <v>1076.07</v>
      </c>
      <c r="J87" s="994">
        <f t="shared" si="27"/>
        <v>0</v>
      </c>
      <c r="K87" s="994"/>
      <c r="L87" s="534"/>
      <c r="M87" s="711">
        <f t="shared" si="28"/>
        <v>0</v>
      </c>
      <c r="N87" s="994">
        <f t="shared" si="32"/>
        <v>0</v>
      </c>
      <c r="O87" s="373">
        <v>4</v>
      </c>
    </row>
    <row r="88" spans="1:15">
      <c r="A88" s="714" t="s">
        <v>1967</v>
      </c>
      <c r="B88" s="992">
        <v>456</v>
      </c>
      <c r="C88" s="713" t="s">
        <v>1968</v>
      </c>
      <c r="D88" s="713" t="s">
        <v>1969</v>
      </c>
      <c r="E88" s="784">
        <v>915.65</v>
      </c>
      <c r="F88" s="847" t="s">
        <v>1773</v>
      </c>
      <c r="G88" s="994">
        <f t="shared" si="30"/>
        <v>915.65</v>
      </c>
      <c r="H88" s="711">
        <v>0</v>
      </c>
      <c r="I88" s="711">
        <f t="shared" si="31"/>
        <v>915.65</v>
      </c>
      <c r="J88" s="994">
        <f t="shared" si="27"/>
        <v>0</v>
      </c>
      <c r="K88" s="994"/>
      <c r="L88" s="534"/>
      <c r="M88" s="711">
        <f t="shared" si="28"/>
        <v>0</v>
      </c>
      <c r="N88" s="994">
        <f t="shared" si="32"/>
        <v>0</v>
      </c>
      <c r="O88" s="373">
        <v>4</v>
      </c>
    </row>
    <row r="89" spans="1:15">
      <c r="A89" s="714" t="s">
        <v>1970</v>
      </c>
      <c r="B89" s="992">
        <v>456</v>
      </c>
      <c r="C89" s="713" t="s">
        <v>1971</v>
      </c>
      <c r="D89" s="713" t="s">
        <v>1972</v>
      </c>
      <c r="E89" s="784">
        <v>260820</v>
      </c>
      <c r="F89" s="847" t="s">
        <v>1773</v>
      </c>
      <c r="G89" s="994">
        <f t="shared" si="30"/>
        <v>260820</v>
      </c>
      <c r="H89" s="711">
        <v>0</v>
      </c>
      <c r="I89" s="711">
        <f t="shared" si="31"/>
        <v>260820</v>
      </c>
      <c r="J89" s="994">
        <f t="shared" si="27"/>
        <v>0</v>
      </c>
      <c r="K89" s="994"/>
      <c r="L89" s="534"/>
      <c r="M89" s="711">
        <f t="shared" si="28"/>
        <v>0</v>
      </c>
      <c r="N89" s="994">
        <f t="shared" si="32"/>
        <v>0</v>
      </c>
      <c r="O89" s="373">
        <v>4</v>
      </c>
    </row>
    <row r="90" spans="1:15">
      <c r="A90" s="714" t="s">
        <v>1973</v>
      </c>
      <c r="B90" s="992">
        <v>456</v>
      </c>
      <c r="C90" s="713" t="s">
        <v>1974</v>
      </c>
      <c r="D90" s="713" t="s">
        <v>1975</v>
      </c>
      <c r="E90" s="784">
        <v>2219453.4399999999</v>
      </c>
      <c r="F90" s="847" t="s">
        <v>1774</v>
      </c>
      <c r="G90" s="994">
        <f t="shared" si="30"/>
        <v>0</v>
      </c>
      <c r="H90" s="711">
        <v>0</v>
      </c>
      <c r="I90" s="711">
        <f t="shared" ref="I90:I100" si="33">G90-H90</f>
        <v>0</v>
      </c>
      <c r="J90" s="994">
        <f t="shared" ref="J90:J100" si="34">IF(F90=$J$2,E90,0)</f>
        <v>2219453.4399999999</v>
      </c>
      <c r="K90" s="1226" t="s">
        <v>1816</v>
      </c>
      <c r="L90" s="785">
        <v>116593.89</v>
      </c>
      <c r="M90" s="711">
        <f t="shared" ref="M90:M100" si="35">J90-L90</f>
        <v>2102859.5499999998</v>
      </c>
      <c r="N90" s="994">
        <f t="shared" ref="N90:N100" si="36">IF(F90=$N$2,E90,0)</f>
        <v>0</v>
      </c>
      <c r="O90" s="373">
        <v>2</v>
      </c>
    </row>
    <row r="91" spans="1:15">
      <c r="A91" s="714" t="s">
        <v>1976</v>
      </c>
      <c r="B91" s="992">
        <v>456</v>
      </c>
      <c r="C91" s="713" t="s">
        <v>1977</v>
      </c>
      <c r="D91" s="713" t="s">
        <v>1978</v>
      </c>
      <c r="E91" s="784">
        <v>184359.5</v>
      </c>
      <c r="F91" s="847" t="s">
        <v>1774</v>
      </c>
      <c r="G91" s="994">
        <f t="shared" si="30"/>
        <v>0</v>
      </c>
      <c r="H91" s="711">
        <v>0</v>
      </c>
      <c r="I91" s="711">
        <f t="shared" si="33"/>
        <v>0</v>
      </c>
      <c r="J91" s="994">
        <f t="shared" si="34"/>
        <v>184359.5</v>
      </c>
      <c r="K91" s="1226" t="s">
        <v>1816</v>
      </c>
      <c r="L91" s="785">
        <v>36993.449999999997</v>
      </c>
      <c r="M91" s="711">
        <f t="shared" si="35"/>
        <v>147366.04999999999</v>
      </c>
      <c r="N91" s="994">
        <f t="shared" si="36"/>
        <v>0</v>
      </c>
      <c r="O91" s="373">
        <v>2</v>
      </c>
    </row>
    <row r="92" spans="1:15">
      <c r="A92" s="714" t="s">
        <v>1979</v>
      </c>
      <c r="B92" s="992">
        <v>456</v>
      </c>
      <c r="C92" s="713" t="s">
        <v>1980</v>
      </c>
      <c r="D92" s="713" t="s">
        <v>1981</v>
      </c>
      <c r="E92" s="784">
        <v>65895</v>
      </c>
      <c r="F92" s="847" t="s">
        <v>1774</v>
      </c>
      <c r="G92" s="994">
        <f t="shared" si="30"/>
        <v>0</v>
      </c>
      <c r="H92" s="711">
        <v>0</v>
      </c>
      <c r="I92" s="711">
        <f t="shared" si="33"/>
        <v>0</v>
      </c>
      <c r="J92" s="994">
        <f t="shared" si="34"/>
        <v>65895</v>
      </c>
      <c r="K92" s="1226" t="s">
        <v>1816</v>
      </c>
      <c r="L92" s="534">
        <v>3760.69</v>
      </c>
      <c r="M92" s="711">
        <f t="shared" si="35"/>
        <v>62134.31</v>
      </c>
      <c r="N92" s="994">
        <f t="shared" si="36"/>
        <v>0</v>
      </c>
      <c r="O92" s="373">
        <v>2</v>
      </c>
    </row>
    <row r="93" spans="1:15">
      <c r="A93" s="714" t="s">
        <v>1982</v>
      </c>
      <c r="B93" s="992">
        <v>456</v>
      </c>
      <c r="C93" s="713" t="s">
        <v>1983</v>
      </c>
      <c r="D93" s="713" t="s">
        <v>1984</v>
      </c>
      <c r="E93" s="784"/>
      <c r="F93" s="847" t="s">
        <v>1774</v>
      </c>
      <c r="G93" s="994">
        <f t="shared" si="30"/>
        <v>0</v>
      </c>
      <c r="H93" s="711">
        <v>0</v>
      </c>
      <c r="I93" s="711">
        <f t="shared" si="33"/>
        <v>0</v>
      </c>
      <c r="J93" s="994">
        <f t="shared" si="34"/>
        <v>0</v>
      </c>
      <c r="K93" s="1226" t="s">
        <v>1816</v>
      </c>
      <c r="L93" s="534"/>
      <c r="M93" s="711">
        <f t="shared" si="35"/>
        <v>0</v>
      </c>
      <c r="N93" s="994">
        <f t="shared" si="36"/>
        <v>0</v>
      </c>
      <c r="O93" s="373">
        <v>2</v>
      </c>
    </row>
    <row r="94" spans="1:15">
      <c r="A94" s="714" t="s">
        <v>1985</v>
      </c>
      <c r="B94" s="992">
        <v>456</v>
      </c>
      <c r="C94" s="713" t="s">
        <v>1986</v>
      </c>
      <c r="D94" s="713" t="s">
        <v>1987</v>
      </c>
      <c r="E94" s="784"/>
      <c r="F94" s="847" t="s">
        <v>1774</v>
      </c>
      <c r="G94" s="994">
        <f t="shared" si="30"/>
        <v>0</v>
      </c>
      <c r="H94" s="711">
        <v>0</v>
      </c>
      <c r="I94" s="711">
        <f t="shared" si="33"/>
        <v>0</v>
      </c>
      <c r="J94" s="994">
        <f t="shared" si="34"/>
        <v>0</v>
      </c>
      <c r="K94" s="1226" t="s">
        <v>1816</v>
      </c>
      <c r="L94" s="534"/>
      <c r="M94" s="711">
        <f t="shared" si="35"/>
        <v>0</v>
      </c>
      <c r="N94" s="994">
        <f t="shared" si="36"/>
        <v>0</v>
      </c>
      <c r="O94" s="373">
        <v>2</v>
      </c>
    </row>
    <row r="95" spans="1:15">
      <c r="A95" s="714" t="s">
        <v>1988</v>
      </c>
      <c r="B95" s="992">
        <v>456</v>
      </c>
      <c r="C95" s="713" t="s">
        <v>1989</v>
      </c>
      <c r="D95" s="713" t="s">
        <v>1990</v>
      </c>
      <c r="E95" s="784">
        <v>5400</v>
      </c>
      <c r="F95" s="847" t="s">
        <v>1774</v>
      </c>
      <c r="G95" s="994">
        <f t="shared" si="30"/>
        <v>0</v>
      </c>
      <c r="H95" s="711">
        <v>0</v>
      </c>
      <c r="I95" s="711">
        <f t="shared" si="33"/>
        <v>0</v>
      </c>
      <c r="J95" s="994">
        <f t="shared" si="34"/>
        <v>5400</v>
      </c>
      <c r="K95" s="1226" t="s">
        <v>1816</v>
      </c>
      <c r="L95" s="534">
        <v>2081.58</v>
      </c>
      <c r="M95" s="711">
        <f t="shared" si="35"/>
        <v>3318.42</v>
      </c>
      <c r="N95" s="994">
        <f t="shared" si="36"/>
        <v>0</v>
      </c>
      <c r="O95" s="373">
        <v>2</v>
      </c>
    </row>
    <row r="96" spans="1:15">
      <c r="A96" s="714" t="s">
        <v>1991</v>
      </c>
      <c r="B96" s="992">
        <v>456</v>
      </c>
      <c r="C96" s="713" t="s">
        <v>1992</v>
      </c>
      <c r="D96" s="713" t="s">
        <v>1993</v>
      </c>
      <c r="E96" s="784"/>
      <c r="F96" s="847" t="s">
        <v>1774</v>
      </c>
      <c r="G96" s="994">
        <f t="shared" si="30"/>
        <v>0</v>
      </c>
      <c r="H96" s="711">
        <v>0</v>
      </c>
      <c r="I96" s="711">
        <f t="shared" si="33"/>
        <v>0</v>
      </c>
      <c r="J96" s="994">
        <f t="shared" si="34"/>
        <v>0</v>
      </c>
      <c r="K96" s="1226" t="s">
        <v>1576</v>
      </c>
      <c r="L96" s="534"/>
      <c r="M96" s="711">
        <f t="shared" si="35"/>
        <v>0</v>
      </c>
      <c r="N96" s="994">
        <f t="shared" si="36"/>
        <v>0</v>
      </c>
      <c r="O96" s="373">
        <v>2</v>
      </c>
    </row>
    <row r="97" spans="1:15">
      <c r="A97" s="955" t="s">
        <v>1994</v>
      </c>
      <c r="B97" s="992">
        <v>456</v>
      </c>
      <c r="C97" s="713" t="s">
        <v>1995</v>
      </c>
      <c r="D97" s="713" t="s">
        <v>1996</v>
      </c>
      <c r="E97" s="784"/>
      <c r="F97" s="847" t="s">
        <v>1774</v>
      </c>
      <c r="G97" s="994">
        <f t="shared" si="30"/>
        <v>0</v>
      </c>
      <c r="H97" s="711">
        <v>0</v>
      </c>
      <c r="I97" s="711">
        <f t="shared" si="33"/>
        <v>0</v>
      </c>
      <c r="J97" s="994">
        <f t="shared" si="34"/>
        <v>0</v>
      </c>
      <c r="K97" s="1226" t="s">
        <v>1576</v>
      </c>
      <c r="L97" s="534"/>
      <c r="M97" s="711">
        <f t="shared" si="35"/>
        <v>0</v>
      </c>
      <c r="N97" s="994">
        <f t="shared" si="36"/>
        <v>0</v>
      </c>
      <c r="O97" s="373">
        <v>2</v>
      </c>
    </row>
    <row r="98" spans="1:15">
      <c r="A98" s="954" t="s">
        <v>1997</v>
      </c>
      <c r="B98" s="992">
        <v>456</v>
      </c>
      <c r="C98" s="713" t="s">
        <v>1998</v>
      </c>
      <c r="D98" s="713" t="s">
        <v>1999</v>
      </c>
      <c r="E98" s="784"/>
      <c r="F98" s="847" t="s">
        <v>1774</v>
      </c>
      <c r="G98" s="994">
        <f t="shared" si="30"/>
        <v>0</v>
      </c>
      <c r="H98" s="711">
        <v>0</v>
      </c>
      <c r="I98" s="711">
        <f t="shared" si="33"/>
        <v>0</v>
      </c>
      <c r="J98" s="994">
        <f t="shared" si="34"/>
        <v>0</v>
      </c>
      <c r="K98" s="1226" t="s">
        <v>1576</v>
      </c>
      <c r="L98" s="534"/>
      <c r="M98" s="711">
        <f t="shared" si="35"/>
        <v>0</v>
      </c>
      <c r="N98" s="994">
        <f t="shared" si="36"/>
        <v>0</v>
      </c>
      <c r="O98" s="373">
        <v>2</v>
      </c>
    </row>
    <row r="99" spans="1:15">
      <c r="A99" s="955" t="s">
        <v>2000</v>
      </c>
      <c r="B99" s="992">
        <v>456</v>
      </c>
      <c r="C99" s="713" t="s">
        <v>2001</v>
      </c>
      <c r="D99" s="713" t="s">
        <v>2002</v>
      </c>
      <c r="E99" s="784"/>
      <c r="F99" s="847" t="s">
        <v>1774</v>
      </c>
      <c r="G99" s="994">
        <f t="shared" si="30"/>
        <v>0</v>
      </c>
      <c r="H99" s="711">
        <v>0</v>
      </c>
      <c r="I99" s="711">
        <f t="shared" si="33"/>
        <v>0</v>
      </c>
      <c r="J99" s="994">
        <f t="shared" si="34"/>
        <v>0</v>
      </c>
      <c r="K99" s="1226" t="s">
        <v>1576</v>
      </c>
      <c r="L99" s="534"/>
      <c r="M99" s="711">
        <f t="shared" si="35"/>
        <v>0</v>
      </c>
      <c r="N99" s="994">
        <f t="shared" si="36"/>
        <v>0</v>
      </c>
      <c r="O99" s="373">
        <v>2</v>
      </c>
    </row>
    <row r="100" spans="1:15">
      <c r="A100" s="714" t="s">
        <v>2003</v>
      </c>
      <c r="B100" s="992">
        <v>456</v>
      </c>
      <c r="C100" s="713" t="s">
        <v>2004</v>
      </c>
      <c r="D100" s="713" t="s">
        <v>2005</v>
      </c>
      <c r="E100" s="784">
        <v>84961.38</v>
      </c>
      <c r="F100" s="847" t="s">
        <v>1774</v>
      </c>
      <c r="G100" s="994">
        <f t="shared" si="30"/>
        <v>0</v>
      </c>
      <c r="H100" s="711">
        <v>0</v>
      </c>
      <c r="I100" s="711">
        <f t="shared" si="33"/>
        <v>0</v>
      </c>
      <c r="J100" s="994">
        <f t="shared" si="34"/>
        <v>84961.38</v>
      </c>
      <c r="K100" s="1226" t="s">
        <v>1576</v>
      </c>
      <c r="L100" s="785">
        <v>14792.5</v>
      </c>
      <c r="M100" s="711">
        <f t="shared" si="35"/>
        <v>70168.88</v>
      </c>
      <c r="N100" s="994">
        <f t="shared" si="36"/>
        <v>0</v>
      </c>
      <c r="O100" s="373">
        <v>2</v>
      </c>
    </row>
    <row r="101" spans="1:15">
      <c r="A101" s="714" t="s">
        <v>2006</v>
      </c>
      <c r="B101" s="992">
        <v>456</v>
      </c>
      <c r="C101" s="713" t="s">
        <v>2007</v>
      </c>
      <c r="D101" s="713" t="s">
        <v>2008</v>
      </c>
      <c r="E101" s="784"/>
      <c r="F101" s="847" t="s">
        <v>1775</v>
      </c>
      <c r="G101" s="994">
        <f t="shared" si="30"/>
        <v>0</v>
      </c>
      <c r="H101" s="711">
        <v>0</v>
      </c>
      <c r="I101" s="711">
        <f t="shared" ref="I101:I123" si="37">G101-H101</f>
        <v>0</v>
      </c>
      <c r="J101" s="994">
        <f t="shared" ref="J101:J123" si="38">IF(F101=$J$2,E101,0)</f>
        <v>0</v>
      </c>
      <c r="K101" s="994"/>
      <c r="L101" s="534"/>
      <c r="M101" s="711">
        <f t="shared" ref="M101:M123" si="39">J101-L101</f>
        <v>0</v>
      </c>
      <c r="N101" s="994">
        <f t="shared" ref="N101:N108" si="40">IF(F101=$N$2,E101,0)</f>
        <v>0</v>
      </c>
      <c r="O101" s="373">
        <v>6</v>
      </c>
    </row>
    <row r="102" spans="1:15">
      <c r="A102" s="714" t="s">
        <v>2009</v>
      </c>
      <c r="B102" s="992">
        <v>456</v>
      </c>
      <c r="C102" s="713" t="s">
        <v>2010</v>
      </c>
      <c r="D102" s="713" t="s">
        <v>2011</v>
      </c>
      <c r="E102" s="784">
        <v>22351298.77</v>
      </c>
      <c r="F102" s="847" t="s">
        <v>1773</v>
      </c>
      <c r="G102" s="994">
        <f t="shared" si="30"/>
        <v>22351298.77</v>
      </c>
      <c r="H102" s="711">
        <v>0</v>
      </c>
      <c r="I102" s="711">
        <f t="shared" si="37"/>
        <v>22351298.77</v>
      </c>
      <c r="J102" s="994">
        <f t="shared" si="38"/>
        <v>0</v>
      </c>
      <c r="K102" s="994"/>
      <c r="L102" s="534"/>
      <c r="M102" s="711">
        <f t="shared" si="39"/>
        <v>0</v>
      </c>
      <c r="N102" s="994">
        <f t="shared" si="40"/>
        <v>0</v>
      </c>
      <c r="O102" s="373">
        <v>4</v>
      </c>
    </row>
    <row r="103" spans="1:15">
      <c r="A103" s="714" t="s">
        <v>2012</v>
      </c>
      <c r="B103" s="992">
        <v>456</v>
      </c>
      <c r="C103" s="713" t="s">
        <v>2013</v>
      </c>
      <c r="D103" s="713" t="s">
        <v>2014</v>
      </c>
      <c r="E103" s="784">
        <v>-170677047.31</v>
      </c>
      <c r="F103" s="847" t="s">
        <v>1775</v>
      </c>
      <c r="G103" s="994">
        <f t="shared" si="30"/>
        <v>0</v>
      </c>
      <c r="H103" s="711">
        <v>0</v>
      </c>
      <c r="I103" s="711">
        <f t="shared" si="37"/>
        <v>0</v>
      </c>
      <c r="J103" s="994">
        <f t="shared" si="38"/>
        <v>0</v>
      </c>
      <c r="K103" s="994"/>
      <c r="L103" s="534"/>
      <c r="M103" s="711">
        <f t="shared" si="39"/>
        <v>0</v>
      </c>
      <c r="N103" s="994">
        <f t="shared" si="40"/>
        <v>-170677047.31</v>
      </c>
      <c r="O103" s="373">
        <v>6</v>
      </c>
    </row>
    <row r="104" spans="1:15">
      <c r="A104" s="714" t="s">
        <v>2015</v>
      </c>
      <c r="B104" s="992">
        <v>456</v>
      </c>
      <c r="C104" s="713" t="s">
        <v>2016</v>
      </c>
      <c r="D104" s="713" t="s">
        <v>2017</v>
      </c>
      <c r="E104" s="784">
        <v>-55037338.990000002</v>
      </c>
      <c r="F104" s="847" t="s">
        <v>1775</v>
      </c>
      <c r="G104" s="994">
        <f t="shared" si="30"/>
        <v>0</v>
      </c>
      <c r="H104" s="711">
        <v>0</v>
      </c>
      <c r="I104" s="711">
        <f t="shared" si="37"/>
        <v>0</v>
      </c>
      <c r="J104" s="994">
        <f t="shared" si="38"/>
        <v>0</v>
      </c>
      <c r="K104" s="994"/>
      <c r="L104" s="534"/>
      <c r="M104" s="711">
        <f t="shared" si="39"/>
        <v>0</v>
      </c>
      <c r="N104" s="994">
        <f t="shared" si="40"/>
        <v>-55037338.990000002</v>
      </c>
      <c r="O104" s="373">
        <v>6</v>
      </c>
    </row>
    <row r="105" spans="1:15">
      <c r="A105" s="714" t="s">
        <v>2018</v>
      </c>
      <c r="B105" s="992">
        <v>456</v>
      </c>
      <c r="C105" s="713" t="s">
        <v>2019</v>
      </c>
      <c r="D105" s="713" t="s">
        <v>2020</v>
      </c>
      <c r="E105" s="784">
        <v>170677047.31</v>
      </c>
      <c r="F105" s="847" t="s">
        <v>1775</v>
      </c>
      <c r="G105" s="994">
        <f t="shared" si="30"/>
        <v>0</v>
      </c>
      <c r="H105" s="711">
        <v>0</v>
      </c>
      <c r="I105" s="711">
        <f t="shared" si="37"/>
        <v>0</v>
      </c>
      <c r="J105" s="994">
        <f t="shared" si="38"/>
        <v>0</v>
      </c>
      <c r="K105" s="994"/>
      <c r="L105" s="534"/>
      <c r="M105" s="711">
        <f t="shared" si="39"/>
        <v>0</v>
      </c>
      <c r="N105" s="994">
        <f t="shared" si="40"/>
        <v>170677047.31</v>
      </c>
      <c r="O105" s="373">
        <v>6</v>
      </c>
    </row>
    <row r="106" spans="1:15">
      <c r="A106" s="714" t="s">
        <v>2021</v>
      </c>
      <c r="B106" s="992">
        <v>456</v>
      </c>
      <c r="C106" s="713" t="s">
        <v>2022</v>
      </c>
      <c r="D106" s="713" t="s">
        <v>2023</v>
      </c>
      <c r="E106" s="784">
        <v>55037338.990000002</v>
      </c>
      <c r="F106" s="847" t="s">
        <v>1775</v>
      </c>
      <c r="G106" s="994">
        <f t="shared" si="30"/>
        <v>0</v>
      </c>
      <c r="H106" s="711">
        <v>0</v>
      </c>
      <c r="I106" s="711">
        <f t="shared" si="37"/>
        <v>0</v>
      </c>
      <c r="J106" s="994">
        <f t="shared" si="38"/>
        <v>0</v>
      </c>
      <c r="K106" s="994"/>
      <c r="L106" s="534"/>
      <c r="M106" s="711">
        <f t="shared" si="39"/>
        <v>0</v>
      </c>
      <c r="N106" s="994">
        <f t="shared" si="40"/>
        <v>55037338.990000002</v>
      </c>
      <c r="O106" s="373">
        <v>6</v>
      </c>
    </row>
    <row r="107" spans="1:15">
      <c r="A107" s="714" t="s">
        <v>2024</v>
      </c>
      <c r="B107" s="992">
        <v>456</v>
      </c>
      <c r="C107" s="713" t="s">
        <v>2025</v>
      </c>
      <c r="D107" s="713" t="s">
        <v>2026</v>
      </c>
      <c r="E107" s="784"/>
      <c r="F107" s="847" t="s">
        <v>1775</v>
      </c>
      <c r="G107" s="994">
        <f t="shared" si="30"/>
        <v>0</v>
      </c>
      <c r="H107" s="711">
        <v>0</v>
      </c>
      <c r="I107" s="711">
        <f t="shared" si="37"/>
        <v>0</v>
      </c>
      <c r="J107" s="994">
        <f t="shared" si="38"/>
        <v>0</v>
      </c>
      <c r="K107" s="994"/>
      <c r="L107" s="534"/>
      <c r="M107" s="711">
        <f t="shared" si="39"/>
        <v>0</v>
      </c>
      <c r="N107" s="994">
        <f t="shared" si="40"/>
        <v>0</v>
      </c>
      <c r="O107" s="373">
        <v>6</v>
      </c>
    </row>
    <row r="108" spans="1:15">
      <c r="A108" s="714" t="s">
        <v>2027</v>
      </c>
      <c r="B108" s="992">
        <v>456</v>
      </c>
      <c r="C108" s="713" t="s">
        <v>2028</v>
      </c>
      <c r="D108" s="713" t="s">
        <v>2029</v>
      </c>
      <c r="E108" s="784"/>
      <c r="F108" s="847" t="s">
        <v>1775</v>
      </c>
      <c r="G108" s="994">
        <f t="shared" si="30"/>
        <v>0</v>
      </c>
      <c r="H108" s="711">
        <v>0</v>
      </c>
      <c r="I108" s="711">
        <f t="shared" si="37"/>
        <v>0</v>
      </c>
      <c r="J108" s="994">
        <f t="shared" si="38"/>
        <v>0</v>
      </c>
      <c r="K108" s="994"/>
      <c r="L108" s="534"/>
      <c r="M108" s="711">
        <f t="shared" si="39"/>
        <v>0</v>
      </c>
      <c r="N108" s="994">
        <f t="shared" si="40"/>
        <v>0</v>
      </c>
      <c r="O108" s="373">
        <v>6</v>
      </c>
    </row>
    <row r="109" spans="1:15">
      <c r="A109" s="714" t="s">
        <v>2030</v>
      </c>
      <c r="B109" s="992">
        <v>456</v>
      </c>
      <c r="C109" s="713" t="s">
        <v>2031</v>
      </c>
      <c r="D109" s="713" t="s">
        <v>2032</v>
      </c>
      <c r="E109" s="784"/>
      <c r="F109" s="847" t="s">
        <v>1774</v>
      </c>
      <c r="G109" s="994">
        <f t="shared" si="30"/>
        <v>0</v>
      </c>
      <c r="H109" s="711">
        <v>0</v>
      </c>
      <c r="I109" s="711">
        <f t="shared" si="37"/>
        <v>0</v>
      </c>
      <c r="J109" s="994">
        <f t="shared" si="38"/>
        <v>0</v>
      </c>
      <c r="K109" s="1226" t="s">
        <v>1576</v>
      </c>
      <c r="L109" s="534"/>
      <c r="M109" s="711">
        <f t="shared" si="39"/>
        <v>0</v>
      </c>
      <c r="N109" s="994">
        <f t="shared" ref="N109:N110" si="41">IF(F109=$N$2,E109,0)</f>
        <v>0</v>
      </c>
      <c r="O109" s="373">
        <v>2</v>
      </c>
    </row>
    <row r="110" spans="1:15">
      <c r="A110" s="714" t="s">
        <v>2033</v>
      </c>
      <c r="B110" s="992">
        <v>456</v>
      </c>
      <c r="C110" s="713" t="s">
        <v>2034</v>
      </c>
      <c r="D110" s="713" t="s">
        <v>2035</v>
      </c>
      <c r="E110" s="785"/>
      <c r="F110" s="847" t="s">
        <v>1774</v>
      </c>
      <c r="G110" s="994">
        <f t="shared" si="30"/>
        <v>0</v>
      </c>
      <c r="H110" s="711">
        <v>0</v>
      </c>
      <c r="I110" s="711">
        <f t="shared" si="37"/>
        <v>0</v>
      </c>
      <c r="J110" s="994">
        <f t="shared" si="38"/>
        <v>0</v>
      </c>
      <c r="K110" s="1226" t="s">
        <v>1576</v>
      </c>
      <c r="L110" s="785"/>
      <c r="M110" s="711">
        <f t="shared" si="39"/>
        <v>0</v>
      </c>
      <c r="N110" s="994">
        <f t="shared" si="41"/>
        <v>0</v>
      </c>
      <c r="O110" s="373">
        <v>2</v>
      </c>
    </row>
    <row r="111" spans="1:15">
      <c r="A111" s="714" t="s">
        <v>2036</v>
      </c>
      <c r="B111" s="992">
        <v>456</v>
      </c>
      <c r="C111" s="713" t="s">
        <v>2037</v>
      </c>
      <c r="D111" s="713" t="s">
        <v>2038</v>
      </c>
      <c r="E111" s="784">
        <v>174798.62</v>
      </c>
      <c r="F111" s="847" t="s">
        <v>1773</v>
      </c>
      <c r="G111" s="994">
        <f t="shared" si="30"/>
        <v>174798.62</v>
      </c>
      <c r="H111" s="711">
        <v>0</v>
      </c>
      <c r="I111" s="711">
        <f t="shared" si="37"/>
        <v>174798.62</v>
      </c>
      <c r="J111" s="994">
        <f t="shared" si="38"/>
        <v>0</v>
      </c>
      <c r="K111" s="994"/>
      <c r="L111" s="534"/>
      <c r="M111" s="711">
        <f t="shared" si="39"/>
        <v>0</v>
      </c>
      <c r="N111" s="994">
        <f t="shared" ref="N111:N126" si="42">IF(F111=$N$2,E111,0)</f>
        <v>0</v>
      </c>
      <c r="O111" s="373">
        <v>1</v>
      </c>
    </row>
    <row r="112" spans="1:15">
      <c r="A112" s="714" t="s">
        <v>2039</v>
      </c>
      <c r="B112" s="992">
        <v>456</v>
      </c>
      <c r="C112" s="713" t="s">
        <v>2040</v>
      </c>
      <c r="D112" s="713" t="s">
        <v>2041</v>
      </c>
      <c r="E112" s="784">
        <v>6007924.2599999998</v>
      </c>
      <c r="F112" s="847" t="s">
        <v>1773</v>
      </c>
      <c r="G112" s="994">
        <f t="shared" si="30"/>
        <v>6007924.2599999998</v>
      </c>
      <c r="H112" s="711">
        <v>0</v>
      </c>
      <c r="I112" s="711">
        <f t="shared" si="37"/>
        <v>6007924.2599999998</v>
      </c>
      <c r="J112" s="994">
        <f t="shared" si="38"/>
        <v>0</v>
      </c>
      <c r="K112" s="994"/>
      <c r="L112" s="534"/>
      <c r="M112" s="711">
        <f t="shared" si="39"/>
        <v>0</v>
      </c>
      <c r="N112" s="994">
        <f t="shared" si="42"/>
        <v>0</v>
      </c>
      <c r="O112" s="373">
        <v>4</v>
      </c>
    </row>
    <row r="113" spans="1:15">
      <c r="A113" s="714" t="s">
        <v>2042</v>
      </c>
      <c r="B113" s="992">
        <v>456</v>
      </c>
      <c r="C113" s="713" t="s">
        <v>2043</v>
      </c>
      <c r="D113" s="713" t="s">
        <v>2044</v>
      </c>
      <c r="E113" s="784">
        <v>133200</v>
      </c>
      <c r="F113" s="847" t="s">
        <v>1773</v>
      </c>
      <c r="G113" s="994">
        <f t="shared" si="30"/>
        <v>133200</v>
      </c>
      <c r="H113" s="711">
        <v>0</v>
      </c>
      <c r="I113" s="711">
        <f t="shared" si="37"/>
        <v>133200</v>
      </c>
      <c r="J113" s="994">
        <f t="shared" si="38"/>
        <v>0</v>
      </c>
      <c r="K113" s="994"/>
      <c r="L113" s="534"/>
      <c r="M113" s="711">
        <f t="shared" si="39"/>
        <v>0</v>
      </c>
      <c r="N113" s="994">
        <f t="shared" si="42"/>
        <v>0</v>
      </c>
      <c r="O113" s="373">
        <v>4</v>
      </c>
    </row>
    <row r="114" spans="1:15">
      <c r="A114" s="714" t="s">
        <v>2045</v>
      </c>
      <c r="B114" s="992">
        <v>456</v>
      </c>
      <c r="C114" s="713" t="s">
        <v>2046</v>
      </c>
      <c r="D114" s="713" t="s">
        <v>2047</v>
      </c>
      <c r="E114" s="784"/>
      <c r="F114" s="847" t="s">
        <v>1773</v>
      </c>
      <c r="G114" s="994">
        <f t="shared" si="30"/>
        <v>0</v>
      </c>
      <c r="H114" s="711">
        <v>0</v>
      </c>
      <c r="I114" s="711">
        <f t="shared" si="37"/>
        <v>0</v>
      </c>
      <c r="J114" s="994">
        <f t="shared" si="38"/>
        <v>0</v>
      </c>
      <c r="K114" s="994"/>
      <c r="L114" s="534"/>
      <c r="M114" s="711">
        <f t="shared" si="39"/>
        <v>0</v>
      </c>
      <c r="N114" s="994">
        <f t="shared" si="42"/>
        <v>0</v>
      </c>
      <c r="O114" s="373">
        <v>4</v>
      </c>
    </row>
    <row r="115" spans="1:15">
      <c r="A115" s="714" t="s">
        <v>2048</v>
      </c>
      <c r="B115" s="992">
        <v>456</v>
      </c>
      <c r="C115" s="713" t="s">
        <v>2049</v>
      </c>
      <c r="D115" s="713" t="s">
        <v>2050</v>
      </c>
      <c r="E115" s="784"/>
      <c r="F115" s="847" t="s">
        <v>1773</v>
      </c>
      <c r="G115" s="994">
        <f t="shared" si="30"/>
        <v>0</v>
      </c>
      <c r="H115" s="711">
        <v>0</v>
      </c>
      <c r="I115" s="711">
        <f t="shared" si="37"/>
        <v>0</v>
      </c>
      <c r="J115" s="994">
        <f t="shared" si="38"/>
        <v>0</v>
      </c>
      <c r="K115" s="994"/>
      <c r="L115" s="534"/>
      <c r="M115" s="711">
        <f t="shared" si="39"/>
        <v>0</v>
      </c>
      <c r="N115" s="994">
        <f t="shared" si="42"/>
        <v>0</v>
      </c>
      <c r="O115" s="373">
        <v>1</v>
      </c>
    </row>
    <row r="116" spans="1:15">
      <c r="A116" s="714" t="s">
        <v>2051</v>
      </c>
      <c r="B116" s="992">
        <v>456</v>
      </c>
      <c r="C116" s="713" t="s">
        <v>2052</v>
      </c>
      <c r="D116" s="713" t="s">
        <v>2053</v>
      </c>
      <c r="E116" s="784"/>
      <c r="F116" s="847" t="s">
        <v>1773</v>
      </c>
      <c r="G116" s="994">
        <f t="shared" si="30"/>
        <v>0</v>
      </c>
      <c r="H116" s="711">
        <v>0</v>
      </c>
      <c r="I116" s="711">
        <f t="shared" si="37"/>
        <v>0</v>
      </c>
      <c r="J116" s="994">
        <f t="shared" si="38"/>
        <v>0</v>
      </c>
      <c r="K116" s="994"/>
      <c r="L116" s="534"/>
      <c r="M116" s="711">
        <f t="shared" si="39"/>
        <v>0</v>
      </c>
      <c r="N116" s="994">
        <f t="shared" si="42"/>
        <v>0</v>
      </c>
      <c r="O116" s="373">
        <v>4</v>
      </c>
    </row>
    <row r="117" spans="1:15">
      <c r="A117" s="714" t="s">
        <v>2054</v>
      </c>
      <c r="B117" s="992">
        <v>456</v>
      </c>
      <c r="C117" s="713" t="s">
        <v>2055</v>
      </c>
      <c r="D117" s="713" t="s">
        <v>2056</v>
      </c>
      <c r="E117" s="784">
        <v>3847065.11</v>
      </c>
      <c r="F117" s="847" t="s">
        <v>1773</v>
      </c>
      <c r="G117" s="994">
        <f t="shared" si="30"/>
        <v>3847065.11</v>
      </c>
      <c r="H117" s="534">
        <v>43896.480000000003</v>
      </c>
      <c r="I117" s="711">
        <f t="shared" si="37"/>
        <v>3803168.63</v>
      </c>
      <c r="J117" s="994">
        <f t="shared" si="38"/>
        <v>0</v>
      </c>
      <c r="K117" s="994"/>
      <c r="L117" s="534"/>
      <c r="M117" s="711">
        <f t="shared" si="39"/>
        <v>0</v>
      </c>
      <c r="N117" s="994">
        <f t="shared" si="42"/>
        <v>0</v>
      </c>
      <c r="O117" s="373">
        <v>8</v>
      </c>
    </row>
    <row r="118" spans="1:15">
      <c r="A118" s="714" t="s">
        <v>2057</v>
      </c>
      <c r="B118" s="992">
        <v>456</v>
      </c>
      <c r="C118" s="713" t="s">
        <v>2058</v>
      </c>
      <c r="D118" s="713" t="s">
        <v>2059</v>
      </c>
      <c r="E118" s="784">
        <v>13584159.17</v>
      </c>
      <c r="F118" s="847" t="s">
        <v>1773</v>
      </c>
      <c r="G118" s="994">
        <f t="shared" si="30"/>
        <v>13584159.17</v>
      </c>
      <c r="H118" s="711">
        <v>0</v>
      </c>
      <c r="I118" s="711">
        <f t="shared" si="37"/>
        <v>13584159.17</v>
      </c>
      <c r="J118" s="994">
        <f t="shared" si="38"/>
        <v>0</v>
      </c>
      <c r="K118" s="994"/>
      <c r="L118" s="534"/>
      <c r="M118" s="711">
        <f t="shared" si="39"/>
        <v>0</v>
      </c>
      <c r="N118" s="994">
        <f t="shared" si="42"/>
        <v>0</v>
      </c>
      <c r="O118" s="373">
        <v>4</v>
      </c>
    </row>
    <row r="119" spans="1:15">
      <c r="A119" s="714" t="s">
        <v>2060</v>
      </c>
      <c r="B119" s="992">
        <v>456</v>
      </c>
      <c r="C119" s="713" t="s">
        <v>2061</v>
      </c>
      <c r="D119" s="713" t="s">
        <v>2062</v>
      </c>
      <c r="E119" s="784">
        <v>2968.05</v>
      </c>
      <c r="F119" s="847" t="s">
        <v>1773</v>
      </c>
      <c r="G119" s="994">
        <f t="shared" si="30"/>
        <v>2968.05</v>
      </c>
      <c r="H119" s="711">
        <v>0</v>
      </c>
      <c r="I119" s="711">
        <f t="shared" si="37"/>
        <v>2968.05</v>
      </c>
      <c r="J119" s="994">
        <f t="shared" si="38"/>
        <v>0</v>
      </c>
      <c r="K119" s="994"/>
      <c r="L119" s="534"/>
      <c r="M119" s="711">
        <f t="shared" si="39"/>
        <v>0</v>
      </c>
      <c r="N119" s="994">
        <f t="shared" si="42"/>
        <v>0</v>
      </c>
      <c r="O119" s="373">
        <v>4</v>
      </c>
    </row>
    <row r="120" spans="1:15">
      <c r="A120" s="714" t="s">
        <v>2063</v>
      </c>
      <c r="B120" s="992">
        <v>456</v>
      </c>
      <c r="C120" s="713" t="s">
        <v>2064</v>
      </c>
      <c r="D120" s="713" t="s">
        <v>2065</v>
      </c>
      <c r="E120" s="784">
        <v>390979.14</v>
      </c>
      <c r="F120" s="847" t="s">
        <v>1773</v>
      </c>
      <c r="G120" s="994">
        <f t="shared" si="30"/>
        <v>390979.14</v>
      </c>
      <c r="H120" s="711">
        <v>0</v>
      </c>
      <c r="I120" s="711">
        <f t="shared" si="37"/>
        <v>390979.14</v>
      </c>
      <c r="J120" s="994">
        <f t="shared" si="38"/>
        <v>0</v>
      </c>
      <c r="K120" s="994"/>
      <c r="L120" s="534"/>
      <c r="M120" s="711">
        <f t="shared" si="39"/>
        <v>0</v>
      </c>
      <c r="N120" s="994">
        <f t="shared" si="42"/>
        <v>0</v>
      </c>
      <c r="O120" s="373">
        <v>6</v>
      </c>
    </row>
    <row r="121" spans="1:15">
      <c r="A121" s="714" t="s">
        <v>2066</v>
      </c>
      <c r="B121" s="992">
        <v>456</v>
      </c>
      <c r="C121" s="714" t="s">
        <v>1905</v>
      </c>
      <c r="D121" s="713" t="s">
        <v>1906</v>
      </c>
      <c r="E121" s="784"/>
      <c r="F121" s="847" t="s">
        <v>1773</v>
      </c>
      <c r="G121" s="994">
        <f t="shared" si="30"/>
        <v>0</v>
      </c>
      <c r="H121" s="711">
        <v>0</v>
      </c>
      <c r="I121" s="711">
        <f t="shared" si="37"/>
        <v>0</v>
      </c>
      <c r="J121" s="994">
        <f t="shared" si="38"/>
        <v>0</v>
      </c>
      <c r="K121" s="994"/>
      <c r="L121" s="534"/>
      <c r="M121" s="711">
        <f t="shared" si="39"/>
        <v>0</v>
      </c>
      <c r="N121" s="994">
        <f t="shared" si="42"/>
        <v>0</v>
      </c>
      <c r="O121" s="373">
        <v>1</v>
      </c>
    </row>
    <row r="122" spans="1:15">
      <c r="A122" s="714" t="s">
        <v>2067</v>
      </c>
      <c r="B122" s="992">
        <v>456</v>
      </c>
      <c r="C122" s="992">
        <v>4186911</v>
      </c>
      <c r="D122" s="991" t="s">
        <v>2068</v>
      </c>
      <c r="E122" s="784">
        <v>3353918.92</v>
      </c>
      <c r="F122" s="847" t="s">
        <v>1775</v>
      </c>
      <c r="G122" s="994">
        <f t="shared" si="30"/>
        <v>0</v>
      </c>
      <c r="H122" s="711">
        <v>0</v>
      </c>
      <c r="I122" s="711">
        <f t="shared" si="37"/>
        <v>0</v>
      </c>
      <c r="J122" s="994">
        <f t="shared" si="38"/>
        <v>0</v>
      </c>
      <c r="K122" s="994"/>
      <c r="L122" s="534"/>
      <c r="M122" s="711">
        <f t="shared" si="39"/>
        <v>0</v>
      </c>
      <c r="N122" s="994">
        <f t="shared" si="42"/>
        <v>3353918.92</v>
      </c>
      <c r="O122" s="373">
        <v>6</v>
      </c>
    </row>
    <row r="123" spans="1:15">
      <c r="A123" s="714" t="s">
        <v>1994</v>
      </c>
      <c r="B123" s="992">
        <v>456</v>
      </c>
      <c r="C123" s="992">
        <v>4186925</v>
      </c>
      <c r="D123" s="991" t="s">
        <v>2069</v>
      </c>
      <c r="E123" s="784">
        <v>389316107.70999998</v>
      </c>
      <c r="F123" s="847" t="s">
        <v>1775</v>
      </c>
      <c r="G123" s="994">
        <f t="shared" si="30"/>
        <v>0</v>
      </c>
      <c r="H123" s="711">
        <v>0</v>
      </c>
      <c r="I123" s="711">
        <f t="shared" si="37"/>
        <v>0</v>
      </c>
      <c r="J123" s="994">
        <f t="shared" si="38"/>
        <v>0</v>
      </c>
      <c r="K123" s="994"/>
      <c r="L123" s="534"/>
      <c r="M123" s="711">
        <f t="shared" si="39"/>
        <v>0</v>
      </c>
      <c r="N123" s="994">
        <f t="shared" si="42"/>
        <v>389316107.70999998</v>
      </c>
      <c r="O123" s="373">
        <v>6</v>
      </c>
    </row>
    <row r="124" spans="1:15" s="768" customFormat="1">
      <c r="A124" s="714" t="s">
        <v>1997</v>
      </c>
      <c r="B124" s="992">
        <v>456</v>
      </c>
      <c r="C124" s="992">
        <v>4186132</v>
      </c>
      <c r="D124" s="991" t="s">
        <v>2070</v>
      </c>
      <c r="E124" s="784">
        <v>389495.27</v>
      </c>
      <c r="F124" s="784" t="s">
        <v>1773</v>
      </c>
      <c r="G124" s="994">
        <f t="shared" ref="G124:G129" si="43">IF(F124=$G$2,E124,0)</f>
        <v>389495.27</v>
      </c>
      <c r="H124" s="711">
        <v>0</v>
      </c>
      <c r="I124" s="711">
        <f t="shared" ref="I124:I129" si="44">G124-H124</f>
        <v>389495.27</v>
      </c>
      <c r="J124" s="994">
        <f t="shared" ref="J124:J129" si="45">IF(F124=$J$2,E124,0)</f>
        <v>0</v>
      </c>
      <c r="K124" s="994"/>
      <c r="L124" s="534"/>
      <c r="M124" s="711">
        <f t="shared" ref="M124:M129" si="46">J124-L124</f>
        <v>0</v>
      </c>
      <c r="N124" s="994">
        <f t="shared" si="42"/>
        <v>0</v>
      </c>
      <c r="O124" s="373">
        <v>4</v>
      </c>
    </row>
    <row r="125" spans="1:15" s="768" customFormat="1">
      <c r="A125" s="714" t="s">
        <v>2000</v>
      </c>
      <c r="B125" s="992">
        <v>456</v>
      </c>
      <c r="C125" s="992">
        <v>4186116</v>
      </c>
      <c r="D125" s="991" t="s">
        <v>2071</v>
      </c>
      <c r="E125" s="784"/>
      <c r="F125" s="784" t="s">
        <v>1773</v>
      </c>
      <c r="G125" s="994">
        <f t="shared" si="43"/>
        <v>0</v>
      </c>
      <c r="H125" s="711">
        <v>0</v>
      </c>
      <c r="I125" s="711">
        <f t="shared" si="44"/>
        <v>0</v>
      </c>
      <c r="J125" s="994">
        <f t="shared" si="45"/>
        <v>0</v>
      </c>
      <c r="K125" s="994"/>
      <c r="L125" s="534"/>
      <c r="M125" s="711">
        <f t="shared" si="46"/>
        <v>0</v>
      </c>
      <c r="N125" s="994">
        <f t="shared" si="42"/>
        <v>0</v>
      </c>
      <c r="O125" s="373">
        <v>4</v>
      </c>
    </row>
    <row r="126" spans="1:15" s="768" customFormat="1">
      <c r="A126" s="714" t="s">
        <v>2072</v>
      </c>
      <c r="B126" s="992">
        <v>456</v>
      </c>
      <c r="C126" s="992">
        <v>4186115</v>
      </c>
      <c r="D126" s="10" t="s">
        <v>2073</v>
      </c>
      <c r="E126" s="784">
        <v>1008639.47</v>
      </c>
      <c r="F126" s="784" t="s">
        <v>1773</v>
      </c>
      <c r="G126" s="994">
        <f t="shared" si="43"/>
        <v>1008639.47</v>
      </c>
      <c r="H126" s="711">
        <v>0</v>
      </c>
      <c r="I126" s="711">
        <f t="shared" si="44"/>
        <v>1008639.47</v>
      </c>
      <c r="J126" s="994">
        <f t="shared" si="45"/>
        <v>0</v>
      </c>
      <c r="K126" s="994"/>
      <c r="L126" s="534"/>
      <c r="M126" s="711">
        <f t="shared" si="46"/>
        <v>0</v>
      </c>
      <c r="N126" s="994">
        <f t="shared" si="42"/>
        <v>0</v>
      </c>
      <c r="O126" s="373">
        <v>4</v>
      </c>
    </row>
    <row r="127" spans="1:15" s="768" customFormat="1">
      <c r="A127" s="714" t="s">
        <v>2074</v>
      </c>
      <c r="B127" s="992">
        <v>456</v>
      </c>
      <c r="C127" s="992">
        <v>4186156</v>
      </c>
      <c r="D127" s="991" t="s">
        <v>2075</v>
      </c>
      <c r="E127" s="784">
        <v>114119.18</v>
      </c>
      <c r="F127" s="784" t="s">
        <v>1775</v>
      </c>
      <c r="G127" s="994">
        <f>H127+I127</f>
        <v>6949.8580620000002</v>
      </c>
      <c r="H127" s="711">
        <f>E127*D245</f>
        <v>6949.8580620000002</v>
      </c>
      <c r="I127" s="711">
        <v>0</v>
      </c>
      <c r="J127" s="994">
        <f t="shared" si="45"/>
        <v>0</v>
      </c>
      <c r="K127" s="994"/>
      <c r="L127" s="534"/>
      <c r="M127" s="711">
        <f>J127-L127</f>
        <v>0</v>
      </c>
      <c r="N127" s="994">
        <f>IF(F127=$N$2,E127-H127,0)</f>
        <v>107169.32193799999</v>
      </c>
      <c r="O127" s="373" t="s">
        <v>1873</v>
      </c>
    </row>
    <row r="128" spans="1:15" s="768" customFormat="1">
      <c r="A128" s="714" t="s">
        <v>2076</v>
      </c>
      <c r="B128" s="992">
        <v>456</v>
      </c>
      <c r="C128" s="713" t="s">
        <v>2077</v>
      </c>
      <c r="D128" s="991" t="s">
        <v>2078</v>
      </c>
      <c r="E128" s="784">
        <v>78366684.829999998</v>
      </c>
      <c r="F128" s="784" t="s">
        <v>1773</v>
      </c>
      <c r="G128" s="994">
        <f t="shared" si="43"/>
        <v>78366684.829999998</v>
      </c>
      <c r="H128" s="711">
        <v>0</v>
      </c>
      <c r="I128" s="711">
        <f t="shared" si="44"/>
        <v>78366684.829999998</v>
      </c>
      <c r="J128" s="994">
        <f t="shared" si="45"/>
        <v>0</v>
      </c>
      <c r="K128" s="994"/>
      <c r="L128" s="534"/>
      <c r="M128" s="711">
        <f t="shared" si="46"/>
        <v>0</v>
      </c>
      <c r="N128" s="994">
        <f>IF(F128=$N$2,E128,0)</f>
        <v>0</v>
      </c>
      <c r="O128" s="373">
        <v>4</v>
      </c>
    </row>
    <row r="129" spans="1:15" s="768" customFormat="1">
      <c r="A129" s="714" t="s">
        <v>2079</v>
      </c>
      <c r="B129" s="992">
        <v>456</v>
      </c>
      <c r="C129" s="713" t="s">
        <v>1942</v>
      </c>
      <c r="D129" s="991" t="s">
        <v>2080</v>
      </c>
      <c r="E129" s="784"/>
      <c r="F129" s="784" t="s">
        <v>1773</v>
      </c>
      <c r="G129" s="994">
        <f t="shared" si="43"/>
        <v>0</v>
      </c>
      <c r="H129" s="711">
        <f>G129</f>
        <v>0</v>
      </c>
      <c r="I129" s="711">
        <f t="shared" si="44"/>
        <v>0</v>
      </c>
      <c r="J129" s="994">
        <f t="shared" si="45"/>
        <v>0</v>
      </c>
      <c r="K129" s="994"/>
      <c r="L129" s="534"/>
      <c r="M129" s="711">
        <f t="shared" si="46"/>
        <v>0</v>
      </c>
      <c r="N129" s="994">
        <f>IF(F129=$N$2,E129,0)</f>
        <v>0</v>
      </c>
      <c r="O129" s="373">
        <v>5</v>
      </c>
    </row>
    <row r="130" spans="1:15" s="768" customFormat="1">
      <c r="A130" s="714" t="s">
        <v>2081</v>
      </c>
      <c r="B130" s="992">
        <v>456</v>
      </c>
      <c r="C130" s="992">
        <v>4186732</v>
      </c>
      <c r="D130" s="991" t="s">
        <v>2082</v>
      </c>
      <c r="E130" s="784"/>
      <c r="F130" s="784" t="s">
        <v>1774</v>
      </c>
      <c r="G130" s="994">
        <f>IF(F130=$G$2,E130,0)</f>
        <v>0</v>
      </c>
      <c r="H130" s="711">
        <v>0</v>
      </c>
      <c r="I130" s="711">
        <f t="shared" ref="I130" si="47">G130-H130</f>
        <v>0</v>
      </c>
      <c r="J130" s="994">
        <f t="shared" ref="J130" si="48">IF(F130=$J$2,E130,0)</f>
        <v>0</v>
      </c>
      <c r="K130" s="994" t="s">
        <v>1816</v>
      </c>
      <c r="L130" s="534">
        <v>0</v>
      </c>
      <c r="M130" s="711">
        <f t="shared" ref="M130" si="49">J130-L130</f>
        <v>0</v>
      </c>
      <c r="N130" s="994">
        <f>IF(F130=$N$2,E130,0)</f>
        <v>0</v>
      </c>
      <c r="O130" s="373">
        <v>2</v>
      </c>
    </row>
    <row r="131" spans="1:15" s="768" customFormat="1">
      <c r="A131" s="889" t="s">
        <v>2083</v>
      </c>
      <c r="B131" s="890">
        <v>456</v>
      </c>
      <c r="C131" s="890" t="s">
        <v>2084</v>
      </c>
      <c r="D131" s="891" t="s">
        <v>2085</v>
      </c>
      <c r="E131" s="784">
        <v>30908340.609999999</v>
      </c>
      <c r="F131" s="784" t="s">
        <v>1775</v>
      </c>
      <c r="G131" s="847">
        <v>0</v>
      </c>
      <c r="H131" s="534">
        <v>0</v>
      </c>
      <c r="I131" s="534">
        <v>0</v>
      </c>
      <c r="J131" s="847">
        <v>0</v>
      </c>
      <c r="K131" s="847"/>
      <c r="L131" s="534"/>
      <c r="M131" s="534">
        <v>0</v>
      </c>
      <c r="N131" s="847">
        <v>30908340.609999999</v>
      </c>
      <c r="O131" s="892">
        <v>6</v>
      </c>
    </row>
    <row r="132" spans="1:15" s="768" customFormat="1">
      <c r="A132" s="889" t="s">
        <v>2086</v>
      </c>
      <c r="B132" s="890">
        <v>456</v>
      </c>
      <c r="C132" s="890" t="s">
        <v>2087</v>
      </c>
      <c r="D132" s="891" t="s">
        <v>2088</v>
      </c>
      <c r="E132" s="784">
        <v>283960</v>
      </c>
      <c r="F132" s="784" t="s">
        <v>1775</v>
      </c>
      <c r="G132" s="847">
        <v>0</v>
      </c>
      <c r="H132" s="534">
        <v>0</v>
      </c>
      <c r="I132" s="534">
        <v>0</v>
      </c>
      <c r="J132" s="847">
        <v>0</v>
      </c>
      <c r="K132" s="847"/>
      <c r="L132" s="534"/>
      <c r="M132" s="534">
        <v>0</v>
      </c>
      <c r="N132" s="847">
        <v>283960</v>
      </c>
      <c r="O132" s="892">
        <v>6</v>
      </c>
    </row>
    <row r="133" spans="1:15">
      <c r="A133" s="889"/>
      <c r="B133" s="890"/>
      <c r="C133" s="893"/>
      <c r="D133" s="891"/>
      <c r="E133" s="847"/>
      <c r="F133" s="847"/>
      <c r="G133" s="1225"/>
      <c r="H133" s="534"/>
      <c r="I133" s="534"/>
      <c r="J133" s="847"/>
      <c r="K133" s="847"/>
      <c r="L133" s="534"/>
      <c r="M133" s="534"/>
      <c r="N133" s="847"/>
      <c r="O133" s="892"/>
    </row>
    <row r="134" spans="1:15">
      <c r="A134" s="889"/>
      <c r="B134" s="890"/>
      <c r="C134" s="893"/>
      <c r="D134" s="891"/>
      <c r="E134" s="847"/>
      <c r="F134" s="847"/>
      <c r="G134" s="1225"/>
      <c r="H134" s="534"/>
      <c r="I134" s="534"/>
      <c r="J134" s="847"/>
      <c r="K134" s="847"/>
      <c r="L134" s="534"/>
      <c r="M134" s="534"/>
      <c r="N134" s="847"/>
      <c r="O134" s="892"/>
    </row>
    <row r="135" spans="1:15">
      <c r="A135" s="956">
        <v>13</v>
      </c>
      <c r="B135" s="1157" t="s">
        <v>2089</v>
      </c>
      <c r="C135" s="1155"/>
      <c r="D135" s="1156"/>
      <c r="E135" s="175">
        <f>SUM(E74:E134)</f>
        <v>554711290.00999999</v>
      </c>
      <c r="F135" s="182"/>
      <c r="G135" s="175">
        <f>SUM(G74:G134)</f>
        <v>128174980.47913501</v>
      </c>
      <c r="H135" s="175">
        <f>SUM(H74:H134)</f>
        <v>51283.659135000002</v>
      </c>
      <c r="I135" s="175">
        <f>SUM(I74:I134)</f>
        <v>128123696.81999999</v>
      </c>
      <c r="J135" s="175">
        <f>SUM(J74:J134)</f>
        <v>2560069.3199999998</v>
      </c>
      <c r="K135" s="182"/>
      <c r="L135" s="175">
        <f>SUM(L74:L134)</f>
        <v>174222.11</v>
      </c>
      <c r="M135" s="175">
        <f>SUM(M74:M134)</f>
        <v>2385847.2099999995</v>
      </c>
      <c r="N135" s="175">
        <f>SUM(N74:N134)</f>
        <v>423976240.21086496</v>
      </c>
      <c r="O135" s="117"/>
    </row>
    <row r="136" spans="1:15" ht="25.5" customHeight="1">
      <c r="A136" s="956">
        <v>14</v>
      </c>
      <c r="B136" s="1149" t="s">
        <v>2090</v>
      </c>
      <c r="C136" s="1150"/>
      <c r="D136" s="1151"/>
      <c r="E136" s="888">
        <v>554711290</v>
      </c>
      <c r="F136" s="174"/>
      <c r="G136" s="188"/>
      <c r="H136" s="174"/>
      <c r="I136" s="174"/>
      <c r="J136" s="188"/>
      <c r="K136" s="174"/>
      <c r="L136" s="171"/>
      <c r="M136" s="171"/>
      <c r="N136" s="171"/>
      <c r="O136" s="116"/>
    </row>
    <row r="137" spans="1:15">
      <c r="A137" s="123"/>
      <c r="B137" s="124"/>
      <c r="C137" s="125"/>
      <c r="D137" s="126"/>
      <c r="E137" s="171"/>
      <c r="F137" s="171"/>
      <c r="G137" s="171"/>
      <c r="H137" s="174"/>
      <c r="I137" s="174"/>
      <c r="J137" s="171"/>
      <c r="K137" s="174"/>
      <c r="L137" s="171"/>
      <c r="M137" s="171"/>
      <c r="N137" s="171"/>
      <c r="O137" s="116"/>
    </row>
    <row r="138" spans="1:15">
      <c r="A138" s="956" t="s">
        <v>2091</v>
      </c>
      <c r="B138" s="992">
        <v>456.1</v>
      </c>
      <c r="C138" s="1223" t="s">
        <v>2092</v>
      </c>
      <c r="D138" s="713" t="s">
        <v>2093</v>
      </c>
      <c r="E138" s="785"/>
      <c r="F138" s="847" t="s">
        <v>1773</v>
      </c>
      <c r="G138" s="994">
        <f t="shared" ref="G138:G150" si="50">IF(F138=$G$2,E138,0)</f>
        <v>0</v>
      </c>
      <c r="H138" s="711">
        <f>G138</f>
        <v>0</v>
      </c>
      <c r="I138" s="711">
        <f t="shared" ref="I138:I159" si="51">G138-H138</f>
        <v>0</v>
      </c>
      <c r="J138" s="994">
        <f t="shared" ref="J138:J151" si="52">IF(F138=$J$2,E138,0)</f>
        <v>0</v>
      </c>
      <c r="K138" s="1226"/>
      <c r="L138" s="534"/>
      <c r="M138" s="711">
        <f>J138-L138</f>
        <v>0</v>
      </c>
      <c r="N138" s="994">
        <f t="shared" ref="N138:N159" si="53">IF(F138=$N$2,E138,0)</f>
        <v>0</v>
      </c>
      <c r="O138" s="373">
        <v>5</v>
      </c>
    </row>
    <row r="139" spans="1:15">
      <c r="A139" s="956" t="s">
        <v>2094</v>
      </c>
      <c r="B139" s="992">
        <v>456.1</v>
      </c>
      <c r="C139" s="1223" t="s">
        <v>2095</v>
      </c>
      <c r="D139" s="713" t="s">
        <v>2096</v>
      </c>
      <c r="E139" s="785">
        <v>296028</v>
      </c>
      <c r="F139" s="847" t="s">
        <v>1773</v>
      </c>
      <c r="G139" s="994">
        <f t="shared" si="50"/>
        <v>296028</v>
      </c>
      <c r="H139" s="711">
        <v>0</v>
      </c>
      <c r="I139" s="711">
        <f t="shared" si="51"/>
        <v>296028</v>
      </c>
      <c r="J139" s="994">
        <f t="shared" si="52"/>
        <v>0</v>
      </c>
      <c r="K139" s="1226"/>
      <c r="L139" s="534"/>
      <c r="M139" s="711">
        <f>J139-L139</f>
        <v>0</v>
      </c>
      <c r="N139" s="994">
        <f t="shared" si="53"/>
        <v>0</v>
      </c>
      <c r="O139" s="373">
        <v>4</v>
      </c>
    </row>
    <row r="140" spans="1:15">
      <c r="A140" s="956" t="s">
        <v>2097</v>
      </c>
      <c r="B140" s="992">
        <v>456.1</v>
      </c>
      <c r="C140" s="1223" t="s">
        <v>2098</v>
      </c>
      <c r="D140" s="713" t="s">
        <v>2099</v>
      </c>
      <c r="E140" s="785">
        <v>902562.96</v>
      </c>
      <c r="F140" s="847" t="s">
        <v>1773</v>
      </c>
      <c r="G140" s="994">
        <f t="shared" si="50"/>
        <v>902562.96</v>
      </c>
      <c r="H140" s="711">
        <v>0</v>
      </c>
      <c r="I140" s="711">
        <f t="shared" si="51"/>
        <v>902562.96</v>
      </c>
      <c r="J140" s="994">
        <f t="shared" si="52"/>
        <v>0</v>
      </c>
      <c r="K140" s="1226"/>
      <c r="L140" s="534"/>
      <c r="M140" s="711">
        <f>J140-L140</f>
        <v>0</v>
      </c>
      <c r="N140" s="994">
        <f t="shared" si="53"/>
        <v>0</v>
      </c>
      <c r="O140" s="373">
        <v>4</v>
      </c>
    </row>
    <row r="141" spans="1:15">
      <c r="A141" s="956" t="s">
        <v>2100</v>
      </c>
      <c r="B141" s="992">
        <v>456.1</v>
      </c>
      <c r="C141" s="1223" t="s">
        <v>2101</v>
      </c>
      <c r="D141" s="713" t="s">
        <v>2102</v>
      </c>
      <c r="E141" s="785">
        <v>123657.60000000001</v>
      </c>
      <c r="F141" s="847" t="s">
        <v>1775</v>
      </c>
      <c r="G141" s="994">
        <f t="shared" si="50"/>
        <v>0</v>
      </c>
      <c r="H141" s="711">
        <v>0</v>
      </c>
      <c r="I141" s="711">
        <f t="shared" si="51"/>
        <v>0</v>
      </c>
      <c r="J141" s="994">
        <f t="shared" si="52"/>
        <v>0</v>
      </c>
      <c r="K141" s="1226"/>
      <c r="L141" s="534"/>
      <c r="M141" s="711">
        <f>J141-L141</f>
        <v>0</v>
      </c>
      <c r="N141" s="994">
        <f t="shared" si="53"/>
        <v>123657.60000000001</v>
      </c>
      <c r="O141" s="373">
        <v>6</v>
      </c>
    </row>
    <row r="142" spans="1:15">
      <c r="A142" s="956" t="s">
        <v>2103</v>
      </c>
      <c r="B142" s="992">
        <v>456.1</v>
      </c>
      <c r="C142" s="1223" t="s">
        <v>2104</v>
      </c>
      <c r="D142" s="713" t="s">
        <v>2105</v>
      </c>
      <c r="E142" s="785">
        <v>54020890.700000003</v>
      </c>
      <c r="F142" s="847" t="s">
        <v>1775</v>
      </c>
      <c r="G142" s="994">
        <f t="shared" si="50"/>
        <v>0</v>
      </c>
      <c r="H142" s="711">
        <v>0</v>
      </c>
      <c r="I142" s="711">
        <f t="shared" si="51"/>
        <v>0</v>
      </c>
      <c r="J142" s="994">
        <f t="shared" si="52"/>
        <v>0</v>
      </c>
      <c r="K142" s="1226"/>
      <c r="L142" s="534"/>
      <c r="M142" s="711">
        <f>J142-L142</f>
        <v>0</v>
      </c>
      <c r="N142" s="994">
        <f t="shared" si="53"/>
        <v>54020890.700000003</v>
      </c>
      <c r="O142" s="373">
        <v>6</v>
      </c>
    </row>
    <row r="143" spans="1:15">
      <c r="A143" s="956" t="s">
        <v>2106</v>
      </c>
      <c r="B143" s="992">
        <v>456.1</v>
      </c>
      <c r="C143" s="1223" t="s">
        <v>2107</v>
      </c>
      <c r="D143" s="713" t="s">
        <v>2108</v>
      </c>
      <c r="E143" s="785"/>
      <c r="F143" s="847" t="s">
        <v>1775</v>
      </c>
      <c r="G143" s="994">
        <f t="shared" si="50"/>
        <v>0</v>
      </c>
      <c r="H143" s="711">
        <v>0</v>
      </c>
      <c r="I143" s="711">
        <f t="shared" si="51"/>
        <v>0</v>
      </c>
      <c r="J143" s="994">
        <f t="shared" si="52"/>
        <v>0</v>
      </c>
      <c r="K143" s="1226"/>
      <c r="L143" s="534"/>
      <c r="M143" s="711">
        <f t="shared" ref="M143" si="54">J143-L143</f>
        <v>0</v>
      </c>
      <c r="N143" s="994">
        <f t="shared" si="53"/>
        <v>0</v>
      </c>
      <c r="O143" s="373">
        <v>6</v>
      </c>
    </row>
    <row r="144" spans="1:15">
      <c r="A144" s="956" t="s">
        <v>2109</v>
      </c>
      <c r="B144" s="992">
        <v>456.1</v>
      </c>
      <c r="C144" s="1223" t="s">
        <v>2110</v>
      </c>
      <c r="D144" s="713" t="s">
        <v>2111</v>
      </c>
      <c r="E144" s="785">
        <v>45460120</v>
      </c>
      <c r="F144" s="847" t="s">
        <v>1773</v>
      </c>
      <c r="G144" s="994">
        <f t="shared" si="50"/>
        <v>45460120</v>
      </c>
      <c r="H144" s="711">
        <f>G144</f>
        <v>45460120</v>
      </c>
      <c r="I144" s="711">
        <f t="shared" si="51"/>
        <v>0</v>
      </c>
      <c r="J144" s="994">
        <f t="shared" si="52"/>
        <v>0</v>
      </c>
      <c r="K144" s="1226"/>
      <c r="L144" s="534"/>
      <c r="M144" s="711">
        <f t="shared" ref="M144:M159" si="55">J144-L144</f>
        <v>0</v>
      </c>
      <c r="N144" s="994">
        <f t="shared" si="53"/>
        <v>0</v>
      </c>
      <c r="O144" s="373">
        <v>5</v>
      </c>
    </row>
    <row r="145" spans="1:15">
      <c r="A145" s="956" t="s">
        <v>2112</v>
      </c>
      <c r="B145" s="992">
        <v>456.1</v>
      </c>
      <c r="C145" s="1223" t="s">
        <v>2113</v>
      </c>
      <c r="D145" s="713" t="s">
        <v>2114</v>
      </c>
      <c r="E145" s="785">
        <v>8277860.2800000003</v>
      </c>
      <c r="F145" s="847" t="s">
        <v>1773</v>
      </c>
      <c r="G145" s="994">
        <f t="shared" si="50"/>
        <v>8277860.2800000003</v>
      </c>
      <c r="H145" s="711">
        <v>0</v>
      </c>
      <c r="I145" s="711">
        <f t="shared" si="51"/>
        <v>8277860.2800000003</v>
      </c>
      <c r="J145" s="994">
        <f t="shared" si="52"/>
        <v>0</v>
      </c>
      <c r="K145" s="1226"/>
      <c r="L145" s="534"/>
      <c r="M145" s="711">
        <f t="shared" si="55"/>
        <v>0</v>
      </c>
      <c r="N145" s="994">
        <f t="shared" si="53"/>
        <v>0</v>
      </c>
      <c r="O145" s="373">
        <v>4</v>
      </c>
    </row>
    <row r="146" spans="1:15">
      <c r="A146" s="956" t="s">
        <v>2115</v>
      </c>
      <c r="B146" s="992">
        <v>456.1</v>
      </c>
      <c r="C146" s="1223" t="s">
        <v>2116</v>
      </c>
      <c r="D146" s="713" t="s">
        <v>2117</v>
      </c>
      <c r="E146" s="785">
        <v>3176.04</v>
      </c>
      <c r="F146" s="847" t="s">
        <v>1773</v>
      </c>
      <c r="G146" s="994">
        <f t="shared" si="50"/>
        <v>3176.04</v>
      </c>
      <c r="H146" s="711">
        <v>0</v>
      </c>
      <c r="I146" s="711">
        <f t="shared" si="51"/>
        <v>3176.04</v>
      </c>
      <c r="J146" s="994">
        <f t="shared" si="52"/>
        <v>0</v>
      </c>
      <c r="K146" s="1226"/>
      <c r="L146" s="534"/>
      <c r="M146" s="711">
        <f t="shared" si="55"/>
        <v>0</v>
      </c>
      <c r="N146" s="994">
        <f t="shared" si="53"/>
        <v>0</v>
      </c>
      <c r="O146" s="373">
        <v>4</v>
      </c>
    </row>
    <row r="147" spans="1:15">
      <c r="A147" s="956" t="s">
        <v>2118</v>
      </c>
      <c r="B147" s="992">
        <v>456.1</v>
      </c>
      <c r="C147" s="1223" t="s">
        <v>2119</v>
      </c>
      <c r="D147" s="713" t="s">
        <v>2120</v>
      </c>
      <c r="E147" s="785"/>
      <c r="F147" s="847" t="s">
        <v>1773</v>
      </c>
      <c r="G147" s="994">
        <f t="shared" si="50"/>
        <v>0</v>
      </c>
      <c r="H147" s="711">
        <v>0</v>
      </c>
      <c r="I147" s="711">
        <f t="shared" si="51"/>
        <v>0</v>
      </c>
      <c r="J147" s="994">
        <f t="shared" si="52"/>
        <v>0</v>
      </c>
      <c r="K147" s="1226"/>
      <c r="L147" s="534"/>
      <c r="M147" s="711">
        <f t="shared" si="55"/>
        <v>0</v>
      </c>
      <c r="N147" s="994">
        <f t="shared" si="53"/>
        <v>0</v>
      </c>
      <c r="O147" s="373">
        <v>4</v>
      </c>
    </row>
    <row r="148" spans="1:15">
      <c r="A148" s="956" t="s">
        <v>2121</v>
      </c>
      <c r="B148" s="992">
        <v>456.1</v>
      </c>
      <c r="C148" s="1223" t="s">
        <v>2122</v>
      </c>
      <c r="D148" s="713" t="s">
        <v>2123</v>
      </c>
      <c r="E148" s="785">
        <v>402147.6</v>
      </c>
      <c r="F148" s="847" t="s">
        <v>1773</v>
      </c>
      <c r="G148" s="994">
        <f t="shared" si="50"/>
        <v>402147.6</v>
      </c>
      <c r="H148" s="711">
        <v>0</v>
      </c>
      <c r="I148" s="711">
        <f t="shared" si="51"/>
        <v>402147.6</v>
      </c>
      <c r="J148" s="994">
        <f t="shared" si="52"/>
        <v>0</v>
      </c>
      <c r="K148" s="1226"/>
      <c r="L148" s="534"/>
      <c r="M148" s="711">
        <f t="shared" si="55"/>
        <v>0</v>
      </c>
      <c r="N148" s="994">
        <f t="shared" si="53"/>
        <v>0</v>
      </c>
      <c r="O148" s="373">
        <v>4</v>
      </c>
    </row>
    <row r="149" spans="1:15">
      <c r="A149" s="956" t="s">
        <v>2124</v>
      </c>
      <c r="B149" s="992">
        <v>456.1</v>
      </c>
      <c r="C149" s="1223" t="s">
        <v>2125</v>
      </c>
      <c r="D149" s="713" t="s">
        <v>2126</v>
      </c>
      <c r="E149" s="785">
        <v>209706</v>
      </c>
      <c r="F149" s="847" t="s">
        <v>1773</v>
      </c>
      <c r="G149" s="994">
        <f t="shared" si="50"/>
        <v>209706</v>
      </c>
      <c r="H149" s="711">
        <v>0</v>
      </c>
      <c r="I149" s="711">
        <f t="shared" si="51"/>
        <v>209706</v>
      </c>
      <c r="J149" s="994">
        <f t="shared" si="52"/>
        <v>0</v>
      </c>
      <c r="K149" s="1226"/>
      <c r="L149" s="534"/>
      <c r="M149" s="711">
        <f t="shared" si="55"/>
        <v>0</v>
      </c>
      <c r="N149" s="994">
        <f t="shared" si="53"/>
        <v>0</v>
      </c>
      <c r="O149" s="373">
        <v>4</v>
      </c>
    </row>
    <row r="150" spans="1:15">
      <c r="A150" s="956" t="s">
        <v>2127</v>
      </c>
      <c r="B150" s="992">
        <v>456.1</v>
      </c>
      <c r="C150" s="1223" t="s">
        <v>2128</v>
      </c>
      <c r="D150" s="713" t="s">
        <v>2129</v>
      </c>
      <c r="E150" s="785">
        <v>6551.23</v>
      </c>
      <c r="F150" s="847" t="s">
        <v>1773</v>
      </c>
      <c r="G150" s="994">
        <f t="shared" si="50"/>
        <v>6551.23</v>
      </c>
      <c r="H150" s="711">
        <v>0</v>
      </c>
      <c r="I150" s="711">
        <f t="shared" si="51"/>
        <v>6551.23</v>
      </c>
      <c r="J150" s="994">
        <f t="shared" si="52"/>
        <v>0</v>
      </c>
      <c r="K150" s="1226"/>
      <c r="L150" s="534"/>
      <c r="M150" s="711">
        <f t="shared" si="55"/>
        <v>0</v>
      </c>
      <c r="N150" s="994">
        <f t="shared" si="53"/>
        <v>0</v>
      </c>
      <c r="O150" s="373">
        <v>4</v>
      </c>
    </row>
    <row r="151" spans="1:15">
      <c r="A151" s="956" t="s">
        <v>2130</v>
      </c>
      <c r="B151" s="992">
        <v>456.1</v>
      </c>
      <c r="C151" s="1223" t="s">
        <v>2131</v>
      </c>
      <c r="D151" s="713" t="s">
        <v>2132</v>
      </c>
      <c r="E151" s="785">
        <v>651331.07999999996</v>
      </c>
      <c r="F151" s="847" t="s">
        <v>1773</v>
      </c>
      <c r="G151" s="994">
        <f t="shared" ref="G151" si="56">IF(F151=$G$2,E151,0)</f>
        <v>651331.07999999996</v>
      </c>
      <c r="H151" s="711">
        <v>0</v>
      </c>
      <c r="I151" s="711">
        <f t="shared" si="51"/>
        <v>651331.07999999996</v>
      </c>
      <c r="J151" s="994">
        <f t="shared" si="52"/>
        <v>0</v>
      </c>
      <c r="K151" s="1226"/>
      <c r="L151" s="534"/>
      <c r="M151" s="711">
        <f t="shared" si="55"/>
        <v>0</v>
      </c>
      <c r="N151" s="994">
        <f t="shared" si="53"/>
        <v>0</v>
      </c>
      <c r="O151" s="373">
        <v>4</v>
      </c>
    </row>
    <row r="152" spans="1:15">
      <c r="A152" s="956" t="s">
        <v>2133</v>
      </c>
      <c r="B152" s="992">
        <v>456.1</v>
      </c>
      <c r="C152" s="1223" t="s">
        <v>2134</v>
      </c>
      <c r="D152" s="713" t="s">
        <v>2135</v>
      </c>
      <c r="E152" s="785">
        <v>-665957.42000000004</v>
      </c>
      <c r="F152" s="847" t="s">
        <v>1773</v>
      </c>
      <c r="G152" s="994">
        <f t="shared" ref="G152:G159" si="57">IF(F152=$G$2,E152,0)</f>
        <v>-665957.42000000004</v>
      </c>
      <c r="H152" s="711">
        <v>0</v>
      </c>
      <c r="I152" s="711">
        <f t="shared" si="51"/>
        <v>-665957.42000000004</v>
      </c>
      <c r="J152" s="994">
        <f t="shared" ref="J152" si="58">IF(F152=$J$2,E152,0)</f>
        <v>0</v>
      </c>
      <c r="K152" s="1226"/>
      <c r="L152" s="534"/>
      <c r="M152" s="711">
        <f t="shared" si="55"/>
        <v>0</v>
      </c>
      <c r="N152" s="994">
        <f t="shared" si="53"/>
        <v>0</v>
      </c>
      <c r="O152" s="373">
        <v>4</v>
      </c>
    </row>
    <row r="153" spans="1:15">
      <c r="A153" s="956" t="s">
        <v>2136</v>
      </c>
      <c r="B153" s="992">
        <v>456.1</v>
      </c>
      <c r="C153" s="1223" t="s">
        <v>2137</v>
      </c>
      <c r="D153" s="713" t="s">
        <v>2138</v>
      </c>
      <c r="E153" s="785">
        <v>42492.12</v>
      </c>
      <c r="F153" s="847" t="s">
        <v>1773</v>
      </c>
      <c r="G153" s="994">
        <f t="shared" si="57"/>
        <v>42492.12</v>
      </c>
      <c r="H153" s="711">
        <v>0</v>
      </c>
      <c r="I153" s="711">
        <f t="shared" si="51"/>
        <v>42492.12</v>
      </c>
      <c r="J153" s="994">
        <f>IF(F153=$J$2,E153,0)</f>
        <v>0</v>
      </c>
      <c r="K153" s="1226"/>
      <c r="L153" s="534"/>
      <c r="M153" s="711">
        <f t="shared" si="55"/>
        <v>0</v>
      </c>
      <c r="N153" s="994">
        <f t="shared" si="53"/>
        <v>0</v>
      </c>
      <c r="O153" s="373">
        <v>4</v>
      </c>
    </row>
    <row r="154" spans="1:15">
      <c r="A154" s="956" t="s">
        <v>2139</v>
      </c>
      <c r="B154" s="992">
        <v>456.1</v>
      </c>
      <c r="C154" s="1223" t="s">
        <v>2140</v>
      </c>
      <c r="D154" s="713" t="s">
        <v>2141</v>
      </c>
      <c r="E154" s="785"/>
      <c r="F154" s="847" t="s">
        <v>1775</v>
      </c>
      <c r="G154" s="994">
        <f t="shared" si="57"/>
        <v>0</v>
      </c>
      <c r="H154" s="711">
        <v>0</v>
      </c>
      <c r="I154" s="711">
        <f t="shared" si="51"/>
        <v>0</v>
      </c>
      <c r="J154" s="994">
        <f>IF(F154=$J$2,E154,0)</f>
        <v>0</v>
      </c>
      <c r="K154" s="1226"/>
      <c r="L154" s="534"/>
      <c r="M154" s="711">
        <f t="shared" si="55"/>
        <v>0</v>
      </c>
      <c r="N154" s="994">
        <f t="shared" si="53"/>
        <v>0</v>
      </c>
      <c r="O154" s="373">
        <v>6</v>
      </c>
    </row>
    <row r="155" spans="1:15" s="768" customFormat="1">
      <c r="A155" s="714" t="s">
        <v>2142</v>
      </c>
      <c r="B155" s="992">
        <v>456.1</v>
      </c>
      <c r="C155" s="713" t="s">
        <v>2143</v>
      </c>
      <c r="D155" s="713" t="s">
        <v>2144</v>
      </c>
      <c r="E155" s="785">
        <v>109604.82</v>
      </c>
      <c r="F155" s="784" t="s">
        <v>1773</v>
      </c>
      <c r="G155" s="994">
        <f t="shared" si="57"/>
        <v>109604.82</v>
      </c>
      <c r="H155" s="711">
        <v>0</v>
      </c>
      <c r="I155" s="711">
        <f t="shared" si="51"/>
        <v>109604.82</v>
      </c>
      <c r="J155" s="994">
        <f>IF(F155=$J$2,E155,0)</f>
        <v>0</v>
      </c>
      <c r="K155" s="996"/>
      <c r="L155" s="534"/>
      <c r="M155" s="711">
        <f t="shared" si="55"/>
        <v>0</v>
      </c>
      <c r="N155" s="994">
        <f t="shared" si="53"/>
        <v>0</v>
      </c>
      <c r="O155" s="373">
        <v>4</v>
      </c>
    </row>
    <row r="156" spans="1:15" s="768" customFormat="1">
      <c r="A156" s="714" t="s">
        <v>2145</v>
      </c>
      <c r="B156" s="992">
        <v>456.1</v>
      </c>
      <c r="C156" s="713" t="s">
        <v>2146</v>
      </c>
      <c r="D156" s="713" t="s">
        <v>2147</v>
      </c>
      <c r="E156" s="785">
        <v>243122.93</v>
      </c>
      <c r="F156" s="784" t="s">
        <v>1773</v>
      </c>
      <c r="G156" s="994">
        <f t="shared" si="57"/>
        <v>243122.93</v>
      </c>
      <c r="H156" s="711">
        <v>0</v>
      </c>
      <c r="I156" s="711">
        <f t="shared" si="51"/>
        <v>243122.93</v>
      </c>
      <c r="J156" s="994">
        <f>IF(F156=$J$2,E156,0)</f>
        <v>0</v>
      </c>
      <c r="K156" s="996"/>
      <c r="L156" s="534"/>
      <c r="M156" s="711">
        <f t="shared" si="55"/>
        <v>0</v>
      </c>
      <c r="N156" s="994">
        <f t="shared" si="53"/>
        <v>0</v>
      </c>
      <c r="O156" s="373">
        <v>4</v>
      </c>
    </row>
    <row r="157" spans="1:15">
      <c r="A157" s="714" t="s">
        <v>2148</v>
      </c>
      <c r="B157" s="992">
        <v>456.1</v>
      </c>
      <c r="C157" s="713" t="s">
        <v>2149</v>
      </c>
      <c r="D157" s="991" t="s">
        <v>2150</v>
      </c>
      <c r="E157" s="785">
        <v>3148476.91</v>
      </c>
      <c r="F157" s="785" t="s">
        <v>1775</v>
      </c>
      <c r="G157" s="994">
        <f t="shared" si="57"/>
        <v>0</v>
      </c>
      <c r="H157" s="711">
        <v>0</v>
      </c>
      <c r="I157" s="711">
        <f t="shared" si="51"/>
        <v>0</v>
      </c>
      <c r="J157" s="994">
        <f>IF(F157=$J$2,E157,0)</f>
        <v>0</v>
      </c>
      <c r="K157" s="996"/>
      <c r="L157" s="534"/>
      <c r="M157" s="711">
        <f t="shared" si="55"/>
        <v>0</v>
      </c>
      <c r="N157" s="994">
        <f t="shared" si="53"/>
        <v>3148476.91</v>
      </c>
      <c r="O157" s="373">
        <v>6</v>
      </c>
    </row>
    <row r="158" spans="1:15" s="768" customFormat="1">
      <c r="A158" s="889" t="s">
        <v>2151</v>
      </c>
      <c r="B158" s="890">
        <v>456.1</v>
      </c>
      <c r="C158" s="890">
        <v>4198910</v>
      </c>
      <c r="D158" s="891" t="s">
        <v>2152</v>
      </c>
      <c r="E158" s="785">
        <v>279351.17</v>
      </c>
      <c r="F158" s="785" t="s">
        <v>1775</v>
      </c>
      <c r="G158" s="784">
        <f t="shared" si="57"/>
        <v>0</v>
      </c>
      <c r="H158" s="534">
        <v>0</v>
      </c>
      <c r="I158" s="534">
        <f t="shared" si="51"/>
        <v>0</v>
      </c>
      <c r="J158" s="784">
        <f t="shared" ref="J158:J159" si="59">IF(F158=$J$2,E158,0)</f>
        <v>0</v>
      </c>
      <c r="K158" s="785"/>
      <c r="L158" s="534"/>
      <c r="M158" s="534">
        <f t="shared" si="55"/>
        <v>0</v>
      </c>
      <c r="N158" s="784">
        <f t="shared" si="53"/>
        <v>279351.17</v>
      </c>
      <c r="O158" s="892">
        <v>6</v>
      </c>
    </row>
    <row r="159" spans="1:15" s="768" customFormat="1">
      <c r="A159" s="889" t="s">
        <v>2153</v>
      </c>
      <c r="B159" s="890">
        <v>456.1</v>
      </c>
      <c r="C159" s="890">
        <v>4171022</v>
      </c>
      <c r="D159" s="891" t="s">
        <v>2154</v>
      </c>
      <c r="E159" s="785">
        <v>7928432.25</v>
      </c>
      <c r="F159" s="785" t="s">
        <v>1775</v>
      </c>
      <c r="G159" s="784">
        <f t="shared" si="57"/>
        <v>0</v>
      </c>
      <c r="H159" s="534">
        <v>0</v>
      </c>
      <c r="I159" s="534">
        <f t="shared" si="51"/>
        <v>0</v>
      </c>
      <c r="J159" s="784">
        <f t="shared" si="59"/>
        <v>0</v>
      </c>
      <c r="K159" s="785"/>
      <c r="L159" s="534"/>
      <c r="M159" s="534">
        <f t="shared" si="55"/>
        <v>0</v>
      </c>
      <c r="N159" s="784">
        <f t="shared" si="53"/>
        <v>7928432.25</v>
      </c>
      <c r="O159" s="892">
        <v>6</v>
      </c>
    </row>
    <row r="160" spans="1:15" s="768" customFormat="1">
      <c r="A160" s="889"/>
      <c r="B160" s="890"/>
      <c r="C160" s="893"/>
      <c r="D160" s="891"/>
      <c r="E160" s="785"/>
      <c r="F160" s="785"/>
      <c r="G160" s="784"/>
      <c r="H160" s="534"/>
      <c r="I160" s="534"/>
      <c r="J160" s="784"/>
      <c r="K160" s="785"/>
      <c r="L160" s="534"/>
      <c r="M160" s="534"/>
      <c r="N160" s="784"/>
      <c r="O160" s="892"/>
    </row>
    <row r="161" spans="1:15">
      <c r="A161" s="889"/>
      <c r="B161" s="890"/>
      <c r="C161" s="893"/>
      <c r="D161" s="891"/>
      <c r="E161" s="1232"/>
      <c r="F161" s="1232"/>
      <c r="G161" s="1225"/>
      <c r="H161" s="534"/>
      <c r="I161" s="534"/>
      <c r="J161" s="847"/>
      <c r="K161" s="1232"/>
      <c r="L161" s="534"/>
      <c r="M161" s="534"/>
      <c r="N161" s="847"/>
      <c r="O161" s="892"/>
    </row>
    <row r="162" spans="1:15">
      <c r="A162" s="956">
        <v>16</v>
      </c>
      <c r="B162" s="1157" t="s">
        <v>2155</v>
      </c>
      <c r="C162" s="1155"/>
      <c r="D162" s="1156"/>
      <c r="E162" s="175">
        <f>SUM(E138:E161)</f>
        <v>121439554.27000001</v>
      </c>
      <c r="F162" s="182"/>
      <c r="G162" s="175">
        <f>SUM(G138:G161)</f>
        <v>55938745.639999993</v>
      </c>
      <c r="H162" s="175">
        <f>SUM(H138:H161)</f>
        <v>45460120</v>
      </c>
      <c r="I162" s="175">
        <f>SUM(I138:I161)</f>
        <v>10478625.639999999</v>
      </c>
      <c r="J162" s="175">
        <f>SUM(J138:J161)</f>
        <v>0</v>
      </c>
      <c r="K162" s="182"/>
      <c r="L162" s="175">
        <f>SUM(L138:L161)</f>
        <v>0</v>
      </c>
      <c r="M162" s="175">
        <f>SUM(M138:M161)</f>
        <v>0</v>
      </c>
      <c r="N162" s="175">
        <f>SUM(N138:N161)</f>
        <v>65500808.63000001</v>
      </c>
      <c r="O162" s="118"/>
    </row>
    <row r="163" spans="1:15" ht="25.5" customHeight="1">
      <c r="A163" s="956">
        <v>17</v>
      </c>
      <c r="B163" s="1149" t="s">
        <v>2156</v>
      </c>
      <c r="C163" s="1150"/>
      <c r="D163" s="1151"/>
      <c r="E163" s="888">
        <v>121439554</v>
      </c>
      <c r="F163" s="174"/>
      <c r="G163" s="184"/>
      <c r="H163" s="176"/>
      <c r="I163" s="176"/>
      <c r="J163" s="169"/>
      <c r="K163" s="176"/>
      <c r="L163" s="169"/>
      <c r="M163" s="169"/>
      <c r="N163" s="169"/>
      <c r="O163" s="116"/>
    </row>
    <row r="164" spans="1:15">
      <c r="A164" s="123"/>
      <c r="B164" s="124"/>
      <c r="C164" s="125"/>
      <c r="D164" s="126"/>
      <c r="E164" s="169"/>
      <c r="F164" s="169"/>
      <c r="G164" s="169"/>
      <c r="H164" s="176"/>
      <c r="I164" s="176"/>
      <c r="J164" s="169"/>
      <c r="K164" s="176"/>
      <c r="L164" s="169"/>
      <c r="M164" s="169"/>
      <c r="N164" s="169"/>
      <c r="O164" s="116"/>
    </row>
    <row r="165" spans="1:15">
      <c r="A165" s="889" t="s">
        <v>2157</v>
      </c>
      <c r="B165" s="1233"/>
      <c r="C165" s="191"/>
      <c r="D165" s="191"/>
      <c r="E165" s="192"/>
      <c r="F165" s="192"/>
      <c r="G165" s="192"/>
      <c r="H165" s="192"/>
      <c r="I165" s="192"/>
      <c r="J165" s="192"/>
      <c r="K165" s="192"/>
      <c r="L165" s="192"/>
      <c r="M165" s="192"/>
      <c r="N165" s="192"/>
      <c r="O165" s="892"/>
    </row>
    <row r="166" spans="1:15">
      <c r="A166" s="889"/>
      <c r="B166" s="193"/>
      <c r="C166" s="191"/>
      <c r="D166" s="191"/>
      <c r="E166" s="192"/>
      <c r="F166" s="192"/>
      <c r="G166" s="192"/>
      <c r="H166" s="192"/>
      <c r="I166" s="192"/>
      <c r="J166" s="192"/>
      <c r="K166" s="192"/>
      <c r="L166" s="192"/>
      <c r="M166" s="192"/>
      <c r="N166" s="192"/>
      <c r="O166" s="892"/>
    </row>
    <row r="167" spans="1:15">
      <c r="A167" s="714">
        <v>19</v>
      </c>
      <c r="B167" s="1157" t="s">
        <v>2158</v>
      </c>
      <c r="C167" s="1155"/>
      <c r="D167" s="1156"/>
      <c r="E167" s="170">
        <f>SUM(E165:E166)</f>
        <v>0</v>
      </c>
      <c r="F167" s="198"/>
      <c r="G167" s="170">
        <f>SUM(G165:G166)</f>
        <v>0</v>
      </c>
      <c r="H167" s="170">
        <f>SUM(H165:H166)</f>
        <v>0</v>
      </c>
      <c r="I167" s="170">
        <f>SUM(I165:I166)</f>
        <v>0</v>
      </c>
      <c r="J167" s="170">
        <f>SUM(J165:J166)</f>
        <v>0</v>
      </c>
      <c r="K167" s="182"/>
      <c r="L167" s="170">
        <f>SUM(L165:L166)</f>
        <v>0</v>
      </c>
      <c r="M167" s="170">
        <f>SUM(M165:M166)</f>
        <v>0</v>
      </c>
      <c r="N167" s="170">
        <f>SUM(N165:N166)</f>
        <v>0</v>
      </c>
      <c r="O167" s="170"/>
    </row>
    <row r="168" spans="1:15" ht="26.25" customHeight="1">
      <c r="A168" s="714">
        <v>20</v>
      </c>
      <c r="B168" s="1162" t="s">
        <v>2159</v>
      </c>
      <c r="C168" s="1163"/>
      <c r="D168" s="1164"/>
      <c r="E168" s="173">
        <v>0</v>
      </c>
      <c r="F168" s="169"/>
      <c r="G168" s="171"/>
      <c r="H168" s="174"/>
      <c r="I168" s="174"/>
      <c r="J168" s="171"/>
      <c r="K168" s="174"/>
      <c r="L168" s="171"/>
      <c r="M168" s="171"/>
      <c r="N168" s="171"/>
      <c r="O168" s="236"/>
    </row>
    <row r="169" spans="1:15">
      <c r="A169" s="123"/>
      <c r="B169" s="124"/>
      <c r="C169" s="125"/>
      <c r="D169" s="126"/>
      <c r="E169" s="169"/>
      <c r="F169" s="169"/>
      <c r="G169" s="171"/>
      <c r="H169" s="174"/>
      <c r="I169" s="174"/>
      <c r="J169" s="171"/>
      <c r="K169" s="174"/>
      <c r="L169" s="171"/>
      <c r="M169" s="171"/>
      <c r="N169" s="171"/>
      <c r="O169" s="236"/>
    </row>
    <row r="170" spans="1:15">
      <c r="A170" s="889" t="s">
        <v>2160</v>
      </c>
      <c r="B170" s="1233"/>
      <c r="C170" s="191"/>
      <c r="D170" s="191"/>
      <c r="E170" s="192"/>
      <c r="F170" s="192"/>
      <c r="G170" s="173"/>
      <c r="H170" s="173"/>
      <c r="I170" s="173"/>
      <c r="J170" s="173"/>
      <c r="K170" s="173"/>
      <c r="L170" s="173"/>
      <c r="M170" s="173"/>
      <c r="N170" s="173"/>
      <c r="O170" s="534"/>
    </row>
    <row r="171" spans="1:15">
      <c r="A171" s="889"/>
      <c r="B171" s="193"/>
      <c r="C171" s="191"/>
      <c r="D171" s="191"/>
      <c r="E171" s="192"/>
      <c r="F171" s="192"/>
      <c r="G171" s="173"/>
      <c r="H171" s="173"/>
      <c r="I171" s="173"/>
      <c r="J171" s="173"/>
      <c r="K171" s="173"/>
      <c r="L171" s="173"/>
      <c r="M171" s="173"/>
      <c r="N171" s="173"/>
      <c r="O171" s="534"/>
    </row>
    <row r="172" spans="1:15">
      <c r="A172" s="714">
        <v>22</v>
      </c>
      <c r="B172" s="1157" t="s">
        <v>2161</v>
      </c>
      <c r="C172" s="1155"/>
      <c r="D172" s="1156"/>
      <c r="E172" s="170">
        <f>SUM(E170:E171)</f>
        <v>0</v>
      </c>
      <c r="F172" s="198"/>
      <c r="G172" s="170">
        <f>SUM(G170:G171)</f>
        <v>0</v>
      </c>
      <c r="H172" s="170">
        <f>SUM(H170:H171)</f>
        <v>0</v>
      </c>
      <c r="I172" s="170">
        <f>SUM(I170:I171)</f>
        <v>0</v>
      </c>
      <c r="J172" s="170">
        <f>SUM(J170:J171)</f>
        <v>0</v>
      </c>
      <c r="K172" s="182"/>
      <c r="L172" s="170">
        <f>SUM(L170:L171)</f>
        <v>0</v>
      </c>
      <c r="M172" s="170">
        <f>SUM(M170:M171)</f>
        <v>0</v>
      </c>
      <c r="N172" s="170">
        <f>SUM(N170:N171)</f>
        <v>0</v>
      </c>
      <c r="O172" s="170"/>
    </row>
    <row r="173" spans="1:15" ht="26.25" customHeight="1">
      <c r="A173" s="714">
        <v>23</v>
      </c>
      <c r="B173" s="1162" t="s">
        <v>2162</v>
      </c>
      <c r="C173" s="1163"/>
      <c r="D173" s="1164"/>
      <c r="E173" s="173">
        <v>0</v>
      </c>
      <c r="F173" s="169"/>
      <c r="G173" s="169"/>
      <c r="H173" s="176"/>
      <c r="I173" s="176"/>
      <c r="J173" s="169"/>
      <c r="K173" s="176"/>
      <c r="L173" s="169"/>
      <c r="M173" s="169"/>
      <c r="N173" s="169"/>
      <c r="O173" s="116"/>
    </row>
    <row r="174" spans="1:15">
      <c r="A174" s="123"/>
      <c r="B174" s="124"/>
      <c r="C174" s="125"/>
      <c r="D174" s="126"/>
      <c r="E174" s="169"/>
      <c r="F174" s="169"/>
      <c r="G174" s="169"/>
      <c r="H174" s="176"/>
      <c r="I174" s="176"/>
      <c r="J174" s="169"/>
      <c r="K174" s="176"/>
      <c r="L174" s="169"/>
      <c r="M174" s="169"/>
      <c r="N174" s="169"/>
      <c r="O174" s="116"/>
    </row>
    <row r="175" spans="1:15">
      <c r="A175" s="123"/>
      <c r="B175" s="124" t="s">
        <v>2163</v>
      </c>
      <c r="C175" s="125"/>
      <c r="D175" s="126"/>
      <c r="E175" s="169"/>
      <c r="F175" s="169"/>
      <c r="G175" s="169"/>
      <c r="H175" s="176"/>
      <c r="I175" s="176"/>
      <c r="J175" s="169"/>
      <c r="K175" s="176"/>
      <c r="L175" s="169"/>
      <c r="M175" s="169"/>
      <c r="N175" s="169"/>
      <c r="O175" s="116"/>
    </row>
    <row r="176" spans="1:15">
      <c r="A176" s="956" t="s">
        <v>2164</v>
      </c>
      <c r="B176" s="989">
        <v>417</v>
      </c>
      <c r="C176" s="1234">
        <v>4863130</v>
      </c>
      <c r="D176" s="374" t="s">
        <v>2165</v>
      </c>
      <c r="E176" s="785">
        <v>520326.08</v>
      </c>
      <c r="F176" s="847" t="s">
        <v>1774</v>
      </c>
      <c r="G176" s="994">
        <f t="shared" ref="G176:G190" si="60">IF(F176=$G$2,E176,0)</f>
        <v>0</v>
      </c>
      <c r="H176" s="711">
        <v>0</v>
      </c>
      <c r="I176" s="711">
        <f t="shared" ref="I176:I190" si="61">G176-H176</f>
        <v>0</v>
      </c>
      <c r="J176" s="994">
        <f t="shared" ref="J176:J190" si="62">IF(F176=$J$2,E176,0)</f>
        <v>520326.08</v>
      </c>
      <c r="K176" s="373" t="s">
        <v>1816</v>
      </c>
      <c r="L176" s="784">
        <v>96265.64</v>
      </c>
      <c r="M176" s="994">
        <f t="shared" ref="M176:M190" si="63">J176-L176</f>
        <v>424060.44</v>
      </c>
      <c r="N176" s="994">
        <f>IF(F176=$N$2,E176,0)</f>
        <v>0</v>
      </c>
      <c r="O176" s="373">
        <v>2</v>
      </c>
    </row>
    <row r="177" spans="1:15">
      <c r="A177" s="956" t="s">
        <v>2166</v>
      </c>
      <c r="B177" s="989">
        <v>417</v>
      </c>
      <c r="C177" s="1234">
        <v>4862110</v>
      </c>
      <c r="D177" s="374" t="s">
        <v>2167</v>
      </c>
      <c r="E177" s="785">
        <v>6401078.8799999999</v>
      </c>
      <c r="F177" s="847" t="s">
        <v>1774</v>
      </c>
      <c r="G177" s="994">
        <f t="shared" si="60"/>
        <v>0</v>
      </c>
      <c r="H177" s="711">
        <v>0</v>
      </c>
      <c r="I177" s="711">
        <f t="shared" si="61"/>
        <v>0</v>
      </c>
      <c r="J177" s="994">
        <f t="shared" si="62"/>
        <v>6401078.8799999999</v>
      </c>
      <c r="K177" s="373" t="s">
        <v>1576</v>
      </c>
      <c r="L177" s="784">
        <v>1180370.03</v>
      </c>
      <c r="M177" s="994">
        <f t="shared" si="63"/>
        <v>5220708.8499999996</v>
      </c>
      <c r="N177" s="994">
        <f t="shared" ref="N177:N188" si="64">IF(F177=$N$2,E177,0)</f>
        <v>0</v>
      </c>
      <c r="O177" s="373">
        <v>2</v>
      </c>
    </row>
    <row r="178" spans="1:15">
      <c r="A178" s="956" t="s">
        <v>2168</v>
      </c>
      <c r="B178" s="989">
        <v>417</v>
      </c>
      <c r="C178" s="1234">
        <v>4862115</v>
      </c>
      <c r="D178" s="374" t="s">
        <v>2169</v>
      </c>
      <c r="E178" s="785">
        <v>3328620</v>
      </c>
      <c r="F178" s="847" t="s">
        <v>1774</v>
      </c>
      <c r="G178" s="994">
        <f t="shared" si="60"/>
        <v>0</v>
      </c>
      <c r="H178" s="711">
        <v>0</v>
      </c>
      <c r="I178" s="711">
        <f t="shared" si="61"/>
        <v>0</v>
      </c>
      <c r="J178" s="994">
        <f t="shared" si="62"/>
        <v>3328620</v>
      </c>
      <c r="K178" s="373" t="s">
        <v>1576</v>
      </c>
      <c r="L178" s="784">
        <v>628345.72</v>
      </c>
      <c r="M178" s="994">
        <f t="shared" si="63"/>
        <v>2700274.2800000003</v>
      </c>
      <c r="N178" s="994">
        <f t="shared" si="64"/>
        <v>0</v>
      </c>
      <c r="O178" s="373">
        <v>2</v>
      </c>
    </row>
    <row r="179" spans="1:15">
      <c r="A179" s="956" t="s">
        <v>2170</v>
      </c>
      <c r="B179" s="989">
        <v>417</v>
      </c>
      <c r="C179" s="1234">
        <v>4862120</v>
      </c>
      <c r="D179" s="374" t="s">
        <v>2171</v>
      </c>
      <c r="E179" s="785">
        <v>663926.39</v>
      </c>
      <c r="F179" s="847" t="s">
        <v>1774</v>
      </c>
      <c r="G179" s="994">
        <f t="shared" si="60"/>
        <v>0</v>
      </c>
      <c r="H179" s="711">
        <v>0</v>
      </c>
      <c r="I179" s="711">
        <f t="shared" si="61"/>
        <v>0</v>
      </c>
      <c r="J179" s="994">
        <f t="shared" si="62"/>
        <v>663926.39</v>
      </c>
      <c r="K179" s="373" t="s">
        <v>1576</v>
      </c>
      <c r="L179" s="784">
        <v>434000.21</v>
      </c>
      <c r="M179" s="994">
        <f t="shared" si="63"/>
        <v>229926.18</v>
      </c>
      <c r="N179" s="994">
        <f t="shared" si="64"/>
        <v>0</v>
      </c>
      <c r="O179" s="373">
        <v>2</v>
      </c>
    </row>
    <row r="180" spans="1:15">
      <c r="A180" s="956" t="s">
        <v>2172</v>
      </c>
      <c r="B180" s="989">
        <v>417</v>
      </c>
      <c r="C180" s="1234">
        <v>4862135</v>
      </c>
      <c r="D180" s="374" t="s">
        <v>2173</v>
      </c>
      <c r="E180" s="785">
        <v>18880233.199999999</v>
      </c>
      <c r="F180" s="847" t="s">
        <v>1774</v>
      </c>
      <c r="G180" s="994">
        <f t="shared" si="60"/>
        <v>0</v>
      </c>
      <c r="H180" s="711">
        <v>0</v>
      </c>
      <c r="I180" s="711">
        <f t="shared" si="61"/>
        <v>0</v>
      </c>
      <c r="J180" s="994">
        <f t="shared" si="62"/>
        <v>18880233.199999999</v>
      </c>
      <c r="K180" s="373" t="s">
        <v>1576</v>
      </c>
      <c r="L180" s="784">
        <v>3889355.63</v>
      </c>
      <c r="M180" s="994">
        <f t="shared" si="63"/>
        <v>14990877.57</v>
      </c>
      <c r="N180" s="994">
        <f t="shared" si="64"/>
        <v>0</v>
      </c>
      <c r="O180" s="373">
        <v>2</v>
      </c>
    </row>
    <row r="181" spans="1:15">
      <c r="A181" s="956" t="s">
        <v>2174</v>
      </c>
      <c r="B181" s="989">
        <v>417</v>
      </c>
      <c r="C181" s="1234">
        <v>4864115</v>
      </c>
      <c r="D181" s="374" t="s">
        <v>2175</v>
      </c>
      <c r="E181" s="785">
        <v>147510.75</v>
      </c>
      <c r="F181" s="847" t="s">
        <v>1774</v>
      </c>
      <c r="G181" s="994">
        <f t="shared" si="60"/>
        <v>0</v>
      </c>
      <c r="H181" s="711">
        <v>0</v>
      </c>
      <c r="I181" s="711">
        <f t="shared" si="61"/>
        <v>0</v>
      </c>
      <c r="J181" s="994">
        <f t="shared" si="62"/>
        <v>147510.75</v>
      </c>
      <c r="K181" s="373" t="s">
        <v>1576</v>
      </c>
      <c r="L181" s="784">
        <v>18371.03</v>
      </c>
      <c r="M181" s="994">
        <f t="shared" si="63"/>
        <v>129139.72</v>
      </c>
      <c r="N181" s="994">
        <f t="shared" si="64"/>
        <v>0</v>
      </c>
      <c r="O181" s="373">
        <v>2</v>
      </c>
    </row>
    <row r="182" spans="1:15">
      <c r="A182" s="956" t="s">
        <v>2176</v>
      </c>
      <c r="B182" s="989">
        <v>417</v>
      </c>
      <c r="C182" s="1234">
        <v>4862125</v>
      </c>
      <c r="D182" s="374" t="s">
        <v>2177</v>
      </c>
      <c r="E182" s="785">
        <v>13715064.07</v>
      </c>
      <c r="F182" s="847" t="s">
        <v>1774</v>
      </c>
      <c r="G182" s="994">
        <f t="shared" si="60"/>
        <v>0</v>
      </c>
      <c r="H182" s="711">
        <v>0</v>
      </c>
      <c r="I182" s="711">
        <f t="shared" si="61"/>
        <v>0</v>
      </c>
      <c r="J182" s="994">
        <f t="shared" si="62"/>
        <v>13715064.07</v>
      </c>
      <c r="K182" s="373" t="s">
        <v>1576</v>
      </c>
      <c r="L182" s="784">
        <v>2601282.2599999998</v>
      </c>
      <c r="M182" s="994">
        <f t="shared" si="63"/>
        <v>11113781.810000001</v>
      </c>
      <c r="N182" s="994">
        <f t="shared" si="64"/>
        <v>0</v>
      </c>
      <c r="O182" s="373">
        <v>2</v>
      </c>
    </row>
    <row r="183" spans="1:15">
      <c r="A183" s="956" t="s">
        <v>2178</v>
      </c>
      <c r="B183" s="989">
        <v>417</v>
      </c>
      <c r="C183" s="1234">
        <v>4862130</v>
      </c>
      <c r="D183" s="374" t="s">
        <v>2179</v>
      </c>
      <c r="E183" s="785">
        <v>1697874.12</v>
      </c>
      <c r="F183" s="847" t="s">
        <v>1774</v>
      </c>
      <c r="G183" s="994">
        <f t="shared" si="60"/>
        <v>0</v>
      </c>
      <c r="H183" s="711">
        <v>0</v>
      </c>
      <c r="I183" s="711">
        <f t="shared" si="61"/>
        <v>0</v>
      </c>
      <c r="J183" s="994">
        <f t="shared" si="62"/>
        <v>1697874.12</v>
      </c>
      <c r="K183" s="373" t="s">
        <v>1576</v>
      </c>
      <c r="L183" s="784">
        <v>35978.61</v>
      </c>
      <c r="M183" s="994">
        <f t="shared" si="63"/>
        <v>1661895.51</v>
      </c>
      <c r="N183" s="994">
        <f t="shared" si="64"/>
        <v>0</v>
      </c>
      <c r="O183" s="373">
        <v>2</v>
      </c>
    </row>
    <row r="184" spans="1:15">
      <c r="A184" s="956" t="s">
        <v>2180</v>
      </c>
      <c r="B184" s="989">
        <v>417</v>
      </c>
      <c r="C184" s="1234">
        <v>4863120</v>
      </c>
      <c r="D184" s="374" t="s">
        <v>2181</v>
      </c>
      <c r="E184" s="785">
        <v>363985.03</v>
      </c>
      <c r="F184" s="847" t="s">
        <v>1774</v>
      </c>
      <c r="G184" s="994">
        <f t="shared" si="60"/>
        <v>0</v>
      </c>
      <c r="H184" s="711">
        <v>0</v>
      </c>
      <c r="I184" s="711">
        <f t="shared" si="61"/>
        <v>0</v>
      </c>
      <c r="J184" s="994">
        <f t="shared" si="62"/>
        <v>363985.03</v>
      </c>
      <c r="K184" s="373" t="s">
        <v>1816</v>
      </c>
      <c r="L184" s="784">
        <v>73930.259999999995</v>
      </c>
      <c r="M184" s="994">
        <f t="shared" si="63"/>
        <v>290054.77</v>
      </c>
      <c r="N184" s="994">
        <f t="shared" si="64"/>
        <v>0</v>
      </c>
      <c r="O184" s="373">
        <v>2</v>
      </c>
    </row>
    <row r="185" spans="1:15">
      <c r="A185" s="956" t="s">
        <v>2182</v>
      </c>
      <c r="B185" s="989">
        <v>417</v>
      </c>
      <c r="C185" s="1234">
        <v>4863110</v>
      </c>
      <c r="D185" s="374" t="s">
        <v>2183</v>
      </c>
      <c r="E185" s="785">
        <v>3716959.09</v>
      </c>
      <c r="F185" s="847" t="s">
        <v>1774</v>
      </c>
      <c r="G185" s="994">
        <f t="shared" si="60"/>
        <v>0</v>
      </c>
      <c r="H185" s="711">
        <v>0</v>
      </c>
      <c r="I185" s="711">
        <f t="shared" si="61"/>
        <v>0</v>
      </c>
      <c r="J185" s="994">
        <f t="shared" si="62"/>
        <v>3716959.09</v>
      </c>
      <c r="K185" s="373" t="s">
        <v>1816</v>
      </c>
      <c r="L185" s="784">
        <v>689988.06</v>
      </c>
      <c r="M185" s="994">
        <f t="shared" si="63"/>
        <v>3026971.03</v>
      </c>
      <c r="N185" s="994">
        <f t="shared" si="64"/>
        <v>0</v>
      </c>
      <c r="O185" s="373">
        <v>2</v>
      </c>
    </row>
    <row r="186" spans="1:15">
      <c r="A186" s="956" t="s">
        <v>2184</v>
      </c>
      <c r="B186" s="989">
        <v>417</v>
      </c>
      <c r="C186" s="1234">
        <v>4863115</v>
      </c>
      <c r="D186" s="374" t="s">
        <v>2185</v>
      </c>
      <c r="E186" s="785">
        <v>232312.14</v>
      </c>
      <c r="F186" s="847" t="s">
        <v>1774</v>
      </c>
      <c r="G186" s="994">
        <f t="shared" si="60"/>
        <v>0</v>
      </c>
      <c r="H186" s="711">
        <v>0</v>
      </c>
      <c r="I186" s="711">
        <f t="shared" si="61"/>
        <v>0</v>
      </c>
      <c r="J186" s="994">
        <f t="shared" si="62"/>
        <v>232312.14</v>
      </c>
      <c r="K186" s="373" t="s">
        <v>1816</v>
      </c>
      <c r="L186" s="784">
        <v>8273.3700000000008</v>
      </c>
      <c r="M186" s="994">
        <f t="shared" si="63"/>
        <v>224038.77000000002</v>
      </c>
      <c r="N186" s="994">
        <f t="shared" si="64"/>
        <v>0</v>
      </c>
      <c r="O186" s="373">
        <v>2</v>
      </c>
    </row>
    <row r="187" spans="1:15">
      <c r="A187" s="956" t="s">
        <v>2186</v>
      </c>
      <c r="B187" s="989">
        <v>417</v>
      </c>
      <c r="C187" s="1234">
        <v>4863125</v>
      </c>
      <c r="D187" s="374" t="s">
        <v>2187</v>
      </c>
      <c r="E187" s="785">
        <v>2519629.75</v>
      </c>
      <c r="F187" s="847" t="s">
        <v>1774</v>
      </c>
      <c r="G187" s="994">
        <f t="shared" si="60"/>
        <v>0</v>
      </c>
      <c r="H187" s="711">
        <v>0</v>
      </c>
      <c r="I187" s="711">
        <f t="shared" si="61"/>
        <v>0</v>
      </c>
      <c r="J187" s="994">
        <f t="shared" si="62"/>
        <v>2519629.75</v>
      </c>
      <c r="K187" s="373" t="s">
        <v>1816</v>
      </c>
      <c r="L187" s="784">
        <v>510316.43</v>
      </c>
      <c r="M187" s="994">
        <f t="shared" si="63"/>
        <v>2009313.32</v>
      </c>
      <c r="N187" s="994">
        <f t="shared" si="64"/>
        <v>0</v>
      </c>
      <c r="O187" s="373">
        <v>2</v>
      </c>
    </row>
    <row r="188" spans="1:15">
      <c r="A188" s="956" t="s">
        <v>2188</v>
      </c>
      <c r="B188" s="989">
        <v>417</v>
      </c>
      <c r="C188" s="1234">
        <v>4864120</v>
      </c>
      <c r="D188" s="374" t="s">
        <v>2189</v>
      </c>
      <c r="E188" s="785">
        <v>39634.17</v>
      </c>
      <c r="F188" s="847" t="s">
        <v>1774</v>
      </c>
      <c r="G188" s="994">
        <f t="shared" si="60"/>
        <v>0</v>
      </c>
      <c r="H188" s="711">
        <v>0</v>
      </c>
      <c r="I188" s="711">
        <f t="shared" si="61"/>
        <v>0</v>
      </c>
      <c r="J188" s="994">
        <f t="shared" si="62"/>
        <v>39634.17</v>
      </c>
      <c r="K188" s="373" t="s">
        <v>1576</v>
      </c>
      <c r="L188" s="784">
        <v>5687.25</v>
      </c>
      <c r="M188" s="994">
        <f t="shared" si="63"/>
        <v>33946.92</v>
      </c>
      <c r="N188" s="994">
        <f t="shared" si="64"/>
        <v>0</v>
      </c>
      <c r="O188" s="373">
        <v>2</v>
      </c>
    </row>
    <row r="189" spans="1:15" s="768" customFormat="1">
      <c r="A189" s="714" t="s">
        <v>2190</v>
      </c>
      <c r="B189" s="989">
        <v>417</v>
      </c>
      <c r="C189" s="990">
        <v>4864116</v>
      </c>
      <c r="D189" s="991" t="s">
        <v>2191</v>
      </c>
      <c r="E189" s="894">
        <v>1892112.67</v>
      </c>
      <c r="F189" s="847" t="s">
        <v>1774</v>
      </c>
      <c r="G189" s="994">
        <f t="shared" si="60"/>
        <v>0</v>
      </c>
      <c r="H189" s="711">
        <v>0</v>
      </c>
      <c r="I189" s="711">
        <f t="shared" si="61"/>
        <v>0</v>
      </c>
      <c r="J189" s="994">
        <f t="shared" si="62"/>
        <v>1892112.67</v>
      </c>
      <c r="K189" s="373" t="s">
        <v>1576</v>
      </c>
      <c r="L189" s="784">
        <v>508145.58</v>
      </c>
      <c r="M189" s="994">
        <f t="shared" si="63"/>
        <v>1383967.0899999999</v>
      </c>
      <c r="N189" s="994">
        <f t="shared" ref="N189:N190" si="65">IF(F189=$N$2,E189,0)</f>
        <v>0</v>
      </c>
      <c r="O189" s="373">
        <v>2</v>
      </c>
    </row>
    <row r="190" spans="1:15" s="768" customFormat="1">
      <c r="A190" s="714" t="s">
        <v>2192</v>
      </c>
      <c r="B190" s="989">
        <v>417</v>
      </c>
      <c r="C190" s="990">
        <v>4864121</v>
      </c>
      <c r="D190" s="991" t="s">
        <v>2193</v>
      </c>
      <c r="E190" s="894">
        <v>155104.47</v>
      </c>
      <c r="F190" s="847" t="s">
        <v>1774</v>
      </c>
      <c r="G190" s="994">
        <f t="shared" si="60"/>
        <v>0</v>
      </c>
      <c r="H190" s="711">
        <v>0</v>
      </c>
      <c r="I190" s="711">
        <f t="shared" si="61"/>
        <v>0</v>
      </c>
      <c r="J190" s="994">
        <f t="shared" si="62"/>
        <v>155104.47</v>
      </c>
      <c r="K190" s="373" t="s">
        <v>1576</v>
      </c>
      <c r="L190" s="784">
        <v>41725.919999999998</v>
      </c>
      <c r="M190" s="994">
        <f t="shared" si="63"/>
        <v>113378.55</v>
      </c>
      <c r="N190" s="994">
        <f t="shared" si="65"/>
        <v>0</v>
      </c>
      <c r="O190" s="373">
        <v>2</v>
      </c>
    </row>
    <row r="191" spans="1:15">
      <c r="A191" s="889" t="s">
        <v>2194</v>
      </c>
      <c r="B191" s="1233">
        <v>417</v>
      </c>
      <c r="C191" s="1235">
        <v>4864117</v>
      </c>
      <c r="D191" s="891" t="s">
        <v>2195</v>
      </c>
      <c r="E191" s="1236">
        <v>183267.20000000001</v>
      </c>
      <c r="F191" s="847" t="s">
        <v>1774</v>
      </c>
      <c r="G191" s="847">
        <v>0</v>
      </c>
      <c r="H191" s="534">
        <v>0</v>
      </c>
      <c r="I191" s="534">
        <v>0</v>
      </c>
      <c r="J191" s="847">
        <v>183267.20000000001</v>
      </c>
      <c r="K191" s="892" t="s">
        <v>1576</v>
      </c>
      <c r="L191" s="847">
        <v>30850.39</v>
      </c>
      <c r="M191" s="847">
        <v>152416.81</v>
      </c>
      <c r="N191" s="847">
        <v>0</v>
      </c>
      <c r="O191" s="892">
        <v>2</v>
      </c>
    </row>
    <row r="192" spans="1:15" s="768" customFormat="1">
      <c r="A192" s="889" t="s">
        <v>2196</v>
      </c>
      <c r="B192" s="1233">
        <v>417</v>
      </c>
      <c r="C192" s="1235">
        <v>4864122</v>
      </c>
      <c r="D192" s="891" t="s">
        <v>2197</v>
      </c>
      <c r="E192" s="1236">
        <v>40753.65</v>
      </c>
      <c r="F192" s="847" t="s">
        <v>1774</v>
      </c>
      <c r="G192" s="847">
        <v>0</v>
      </c>
      <c r="H192" s="534">
        <v>0</v>
      </c>
      <c r="I192" s="534">
        <v>0</v>
      </c>
      <c r="J192" s="847">
        <v>40753.65</v>
      </c>
      <c r="K192" s="892" t="s">
        <v>1576</v>
      </c>
      <c r="L192" s="847">
        <v>28538.95</v>
      </c>
      <c r="M192" s="847">
        <v>12214.7</v>
      </c>
      <c r="N192" s="847">
        <v>0</v>
      </c>
      <c r="O192" s="892">
        <v>2</v>
      </c>
    </row>
    <row r="193" spans="1:16" s="768" customFormat="1">
      <c r="A193" s="889"/>
      <c r="B193" s="1233"/>
      <c r="C193" s="1235"/>
      <c r="D193" s="891"/>
      <c r="E193" s="1236"/>
      <c r="F193" s="1236"/>
      <c r="G193" s="1225"/>
      <c r="H193" s="534"/>
      <c r="I193" s="534"/>
      <c r="J193" s="847"/>
      <c r="K193" s="892"/>
      <c r="L193" s="847"/>
      <c r="M193" s="847"/>
      <c r="N193" s="847"/>
      <c r="O193" s="892"/>
    </row>
    <row r="194" spans="1:16" s="768" customFormat="1">
      <c r="A194" s="889"/>
      <c r="B194" s="1233"/>
      <c r="C194" s="1235"/>
      <c r="D194" s="891"/>
      <c r="E194" s="1236"/>
      <c r="F194" s="1236"/>
      <c r="G194" s="1225"/>
      <c r="H194" s="534"/>
      <c r="I194" s="534"/>
      <c r="J194" s="847"/>
      <c r="K194" s="892"/>
      <c r="L194" s="847"/>
      <c r="M194" s="847"/>
      <c r="N194" s="847"/>
      <c r="O194" s="892"/>
    </row>
    <row r="195" spans="1:16">
      <c r="A195" s="956">
        <v>25</v>
      </c>
      <c r="B195" s="1154" t="s">
        <v>2198</v>
      </c>
      <c r="C195" s="1155"/>
      <c r="D195" s="1156"/>
      <c r="E195" s="175">
        <f>SUM(E176:E194)</f>
        <v>54498391.660000004</v>
      </c>
      <c r="F195" s="182"/>
      <c r="G195" s="175">
        <f>SUM(G176:G194)</f>
        <v>0</v>
      </c>
      <c r="H195" s="175">
        <f>SUM(H176:H194)</f>
        <v>0</v>
      </c>
      <c r="I195" s="175">
        <f>SUM(I176:I194)</f>
        <v>0</v>
      </c>
      <c r="J195" s="175">
        <f>SUM(J176:J194)</f>
        <v>54498391.660000004</v>
      </c>
      <c r="K195" s="182"/>
      <c r="L195" s="175">
        <f>SUM(L176:L194)</f>
        <v>10781425.339999998</v>
      </c>
      <c r="M195" s="175">
        <f>SUM(M176:M194)</f>
        <v>43716966.320000008</v>
      </c>
      <c r="N195" s="175">
        <f>SUM(N176:N194)</f>
        <v>0</v>
      </c>
      <c r="O195" s="118"/>
      <c r="P195" s="768"/>
    </row>
    <row r="196" spans="1:16">
      <c r="A196" s="956">
        <v>26</v>
      </c>
      <c r="B196" s="1154" t="s">
        <v>2199</v>
      </c>
      <c r="C196" s="1155"/>
      <c r="D196" s="1156"/>
      <c r="E196" s="888">
        <f>E197-E195</f>
        <v>8497197.3399999961</v>
      </c>
      <c r="F196" s="171"/>
      <c r="G196" s="169"/>
      <c r="H196" s="176"/>
      <c r="I196" s="176"/>
      <c r="J196" s="169"/>
      <c r="K196" s="176"/>
      <c r="L196" s="169"/>
      <c r="M196" s="169"/>
      <c r="N196" s="169"/>
      <c r="O196" s="116"/>
      <c r="P196" s="768"/>
    </row>
    <row r="197" spans="1:16" ht="25.5" customHeight="1">
      <c r="A197" s="956">
        <v>27</v>
      </c>
      <c r="B197" s="1149" t="s">
        <v>2200</v>
      </c>
      <c r="C197" s="1150"/>
      <c r="D197" s="1151"/>
      <c r="E197" s="888">
        <v>62995589</v>
      </c>
      <c r="F197" s="194" t="s">
        <v>128</v>
      </c>
      <c r="G197" s="1237"/>
      <c r="H197" s="1238"/>
      <c r="I197" s="1238"/>
      <c r="J197" s="1237"/>
      <c r="K197" s="1239"/>
      <c r="L197" s="1240"/>
      <c r="M197" s="1229"/>
      <c r="N197" s="1237"/>
      <c r="O197" s="1229"/>
      <c r="P197" s="768"/>
    </row>
    <row r="198" spans="1:16">
      <c r="A198" s="1229"/>
      <c r="B198" s="361"/>
      <c r="C198" s="975"/>
      <c r="D198" s="361"/>
      <c r="E198" s="1237"/>
      <c r="F198" s="1237"/>
      <c r="G198" s="1237"/>
      <c r="H198" s="1238"/>
      <c r="I198" s="1238"/>
      <c r="J198" s="1237"/>
      <c r="K198" s="1239"/>
      <c r="L198" s="1240"/>
      <c r="M198" s="1229"/>
      <c r="N198" s="1237"/>
      <c r="O198" s="1229"/>
      <c r="P198" s="768"/>
    </row>
    <row r="199" spans="1:16">
      <c r="A199" s="975"/>
      <c r="B199" s="21" t="s">
        <v>2201</v>
      </c>
      <c r="C199" s="975"/>
      <c r="D199" s="361"/>
      <c r="E199" s="1237"/>
      <c r="F199" s="1237"/>
      <c r="G199" s="1237"/>
      <c r="H199" s="1238"/>
      <c r="I199" s="1238"/>
      <c r="J199" s="1237"/>
      <c r="K199" s="1239"/>
      <c r="L199" s="1240"/>
      <c r="M199" s="1229"/>
      <c r="N199" s="1237"/>
      <c r="O199" s="1229"/>
      <c r="P199" s="768"/>
    </row>
    <row r="200" spans="1:16">
      <c r="A200" s="373" t="s">
        <v>2202</v>
      </c>
      <c r="B200" s="1241">
        <v>418.1</v>
      </c>
      <c r="C200" s="1242"/>
      <c r="D200" s="374" t="s">
        <v>2203</v>
      </c>
      <c r="E200" s="785"/>
      <c r="F200" s="847" t="s">
        <v>1774</v>
      </c>
      <c r="G200" s="994">
        <f>IF(F200=$G$2,E200,0)</f>
        <v>0</v>
      </c>
      <c r="H200" s="373">
        <v>0</v>
      </c>
      <c r="I200" s="711">
        <f t="shared" ref="I200:I203" si="66">G200-H200</f>
        <v>0</v>
      </c>
      <c r="J200" s="994">
        <f>IF(F200=$J$2,E200,0)</f>
        <v>0</v>
      </c>
      <c r="K200" s="375" t="s">
        <v>1576</v>
      </c>
      <c r="L200" s="847"/>
      <c r="M200" s="711">
        <f>J200-L200</f>
        <v>0</v>
      </c>
      <c r="N200" s="994">
        <f>IF(F200=$N$2,E200,0)</f>
        <v>0</v>
      </c>
      <c r="O200" s="372" t="s">
        <v>2204</v>
      </c>
      <c r="P200" s="768"/>
    </row>
    <row r="201" spans="1:16">
      <c r="A201" s="373" t="s">
        <v>2205</v>
      </c>
      <c r="B201" s="1241">
        <v>418.1</v>
      </c>
      <c r="C201" s="1242"/>
      <c r="D201" s="374" t="s">
        <v>2206</v>
      </c>
      <c r="E201" s="785"/>
      <c r="F201" s="847" t="s">
        <v>1774</v>
      </c>
      <c r="G201" s="994">
        <f>IF(F201=$G$2,E201,0)</f>
        <v>0</v>
      </c>
      <c r="H201" s="373">
        <v>0</v>
      </c>
      <c r="I201" s="711">
        <f t="shared" si="66"/>
        <v>0</v>
      </c>
      <c r="J201" s="994">
        <f>IF(F201=$J$2,E201,0)</f>
        <v>0</v>
      </c>
      <c r="K201" s="375" t="s">
        <v>1816</v>
      </c>
      <c r="L201" s="847"/>
      <c r="M201" s="711">
        <f>J201-L201</f>
        <v>0</v>
      </c>
      <c r="N201" s="994">
        <f>IF(F201=$N$2,E201,0)</f>
        <v>0</v>
      </c>
      <c r="O201" s="372" t="s">
        <v>2204</v>
      </c>
      <c r="P201" s="768"/>
    </row>
    <row r="202" spans="1:16">
      <c r="A202" s="373" t="s">
        <v>2207</v>
      </c>
      <c r="B202" s="1241">
        <v>418.1</v>
      </c>
      <c r="C202" s="1242"/>
      <c r="D202" s="374" t="s">
        <v>2208</v>
      </c>
      <c r="E202" s="785"/>
      <c r="F202" s="847" t="s">
        <v>1774</v>
      </c>
      <c r="G202" s="994">
        <f>IF(F202=$G$2,E202,0)</f>
        <v>0</v>
      </c>
      <c r="H202" s="373">
        <v>0</v>
      </c>
      <c r="I202" s="711">
        <f t="shared" si="66"/>
        <v>0</v>
      </c>
      <c r="J202" s="994">
        <f>IF(F202=$J$2,E202,0)</f>
        <v>0</v>
      </c>
      <c r="K202" s="375" t="s">
        <v>1816</v>
      </c>
      <c r="L202" s="847"/>
      <c r="M202" s="711">
        <f>J202-L202</f>
        <v>0</v>
      </c>
      <c r="N202" s="994">
        <f>IF(F202=$N$2,E202,0)</f>
        <v>0</v>
      </c>
      <c r="O202" s="372" t="s">
        <v>2209</v>
      </c>
      <c r="P202" s="768"/>
    </row>
    <row r="203" spans="1:16">
      <c r="A203" s="373" t="s">
        <v>2210</v>
      </c>
      <c r="B203" s="1241">
        <v>418.1</v>
      </c>
      <c r="C203" s="1242"/>
      <c r="D203" s="374" t="s">
        <v>2211</v>
      </c>
      <c r="E203" s="785"/>
      <c r="F203" s="847" t="s">
        <v>1773</v>
      </c>
      <c r="G203" s="994">
        <f>IF(F203=$G$2,E203,0)</f>
        <v>0</v>
      </c>
      <c r="H203" s="373">
        <v>0</v>
      </c>
      <c r="I203" s="711">
        <f t="shared" si="66"/>
        <v>0</v>
      </c>
      <c r="J203" s="994">
        <f>IF(F203=$J$2,E203,0)</f>
        <v>0</v>
      </c>
      <c r="K203" s="375"/>
      <c r="L203" s="847"/>
      <c r="M203" s="711">
        <f>J203-L203</f>
        <v>0</v>
      </c>
      <c r="N203" s="994">
        <f>IF(F203=$N$2,E203,0)</f>
        <v>0</v>
      </c>
      <c r="O203" s="373">
        <v>13</v>
      </c>
      <c r="P203" s="768"/>
    </row>
    <row r="204" spans="1:16">
      <c r="A204" s="373" t="s">
        <v>2212</v>
      </c>
      <c r="B204" s="1243">
        <v>418.1</v>
      </c>
      <c r="C204" s="1244"/>
      <c r="D204" s="374" t="s">
        <v>2213</v>
      </c>
      <c r="E204" s="785">
        <v>-677299.97</v>
      </c>
      <c r="F204" s="847" t="s">
        <v>1773</v>
      </c>
      <c r="G204" s="994">
        <f>IF(F204=$G$2,E204,0)</f>
        <v>-677299.97</v>
      </c>
      <c r="H204" s="711">
        <f>E204*$D$245</f>
        <v>-41247.568173</v>
      </c>
      <c r="I204" s="711">
        <f>G204-H204</f>
        <v>-636052.40182699997</v>
      </c>
      <c r="J204" s="994">
        <f>IF(F204=$J$2,E204,0)</f>
        <v>0</v>
      </c>
      <c r="K204" s="375"/>
      <c r="L204" s="847"/>
      <c r="M204" s="711">
        <f>J204-L204</f>
        <v>0</v>
      </c>
      <c r="N204" s="994">
        <f>IF(F204=$N$2,E204,0)</f>
        <v>0</v>
      </c>
      <c r="O204" s="373" t="s">
        <v>2214</v>
      </c>
      <c r="P204" s="768"/>
    </row>
    <row r="205" spans="1:16">
      <c r="A205" s="892"/>
      <c r="B205" s="1245"/>
      <c r="C205" s="1246"/>
      <c r="D205" s="1247"/>
      <c r="E205" s="1232"/>
      <c r="F205" s="847"/>
      <c r="G205" s="1225"/>
      <c r="H205" s="892"/>
      <c r="I205" s="534"/>
      <c r="J205" s="847"/>
      <c r="K205" s="1248"/>
      <c r="L205" s="847"/>
      <c r="M205" s="1249"/>
      <c r="N205" s="847"/>
      <c r="O205" s="892"/>
      <c r="P205" s="768"/>
    </row>
    <row r="206" spans="1:16">
      <c r="A206" s="892"/>
      <c r="B206" s="1245"/>
      <c r="C206" s="1246"/>
      <c r="D206" s="1247"/>
      <c r="E206" s="1232"/>
      <c r="F206" s="847"/>
      <c r="G206" s="1225"/>
      <c r="H206" s="892"/>
      <c r="I206" s="534"/>
      <c r="J206" s="847"/>
      <c r="K206" s="1248"/>
      <c r="L206" s="847"/>
      <c r="M206" s="1249"/>
      <c r="N206" s="847"/>
      <c r="O206" s="892"/>
      <c r="P206" s="768"/>
    </row>
    <row r="207" spans="1:16">
      <c r="A207" s="372">
        <v>29</v>
      </c>
      <c r="B207" s="1154" t="s">
        <v>2215</v>
      </c>
      <c r="C207" s="1155"/>
      <c r="D207" s="1156"/>
      <c r="E207" s="233">
        <f>SUM(E200:E206)</f>
        <v>-677299.97</v>
      </c>
      <c r="F207" s="197"/>
      <c r="G207" s="233">
        <f>SUM(G200:G206)</f>
        <v>-677299.97</v>
      </c>
      <c r="H207" s="233">
        <f>SUM(H200:H206)</f>
        <v>-41247.568173</v>
      </c>
      <c r="I207" s="233">
        <f>SUM(I200:I206)</f>
        <v>-636052.40182699997</v>
      </c>
      <c r="J207" s="233">
        <f>SUM(J200:J206)</f>
        <v>0</v>
      </c>
      <c r="K207" s="183"/>
      <c r="L207" s="233">
        <f>SUM(L200:L206)</f>
        <v>0</v>
      </c>
      <c r="M207" s="233">
        <f>SUM(M200:M206)</f>
        <v>0</v>
      </c>
      <c r="N207" s="233">
        <f>SUM(N200:N206)</f>
        <v>0</v>
      </c>
      <c r="O207" s="118"/>
      <c r="P207" s="10"/>
    </row>
    <row r="208" spans="1:16">
      <c r="A208" s="372">
        <v>30</v>
      </c>
      <c r="B208" s="1154" t="s">
        <v>2216</v>
      </c>
      <c r="C208" s="1155"/>
      <c r="D208" s="1156"/>
      <c r="E208" s="895">
        <f>E209-E207</f>
        <v>676673.97</v>
      </c>
      <c r="F208" s="196"/>
      <c r="G208" s="196"/>
      <c r="H208" s="196"/>
      <c r="I208" s="196"/>
      <c r="J208" s="195"/>
      <c r="K208" s="196"/>
      <c r="L208" s="195"/>
      <c r="M208" s="195"/>
      <c r="N208" s="195"/>
      <c r="O208" s="116"/>
      <c r="P208" s="768"/>
    </row>
    <row r="209" spans="1:15" ht="25.5" customHeight="1">
      <c r="A209" s="372">
        <v>31</v>
      </c>
      <c r="B209" s="1160" t="s">
        <v>2217</v>
      </c>
      <c r="C209" s="1153"/>
      <c r="D209" s="1153"/>
      <c r="E209" s="895">
        <v>-626</v>
      </c>
      <c r="F209" s="196"/>
      <c r="G209" s="196"/>
      <c r="H209" s="196"/>
      <c r="I209" s="196"/>
      <c r="J209" s="195"/>
      <c r="K209" s="196"/>
      <c r="L209" s="195"/>
      <c r="M209" s="195"/>
      <c r="N209" s="195"/>
      <c r="O209" s="116"/>
    </row>
    <row r="210" spans="1:15">
      <c r="A210" s="1229"/>
      <c r="B210" s="361"/>
      <c r="C210" s="975"/>
      <c r="D210" s="361"/>
      <c r="E210" s="1237"/>
      <c r="F210" s="1237"/>
      <c r="G210" s="1237"/>
      <c r="H210" s="1238"/>
      <c r="I210" s="1238"/>
      <c r="J210" s="1237"/>
      <c r="K210" s="1239"/>
      <c r="L210" s="1240"/>
      <c r="M210" s="1229"/>
      <c r="N210" s="1237"/>
      <c r="O210" s="1229"/>
    </row>
    <row r="211" spans="1:15">
      <c r="A211" s="372">
        <v>32</v>
      </c>
      <c r="B211" s="187"/>
      <c r="C211" s="186"/>
      <c r="D211" s="131" t="s">
        <v>2218</v>
      </c>
      <c r="E211" s="995">
        <f>E8+E32+E37+E71+E135+E162+E167+E172+E195+E207</f>
        <v>879616484.98999989</v>
      </c>
      <c r="F211" s="235"/>
      <c r="G211" s="995">
        <f>G8+G32+G37+G71+G135+G162+G167+G172+G195+G207</f>
        <v>306661097.46123499</v>
      </c>
      <c r="H211" s="995">
        <f>H8+H32+H37+H71+H135+H162+H167+H172+H195+H207</f>
        <v>48966255.553061999</v>
      </c>
      <c r="I211" s="995">
        <f>I8+I32+I37+I71+I135+I162+I167+I172+I195+I207</f>
        <v>257694841.90817297</v>
      </c>
      <c r="J211" s="995">
        <f>J8+J32+J37+J71+J135+J162+J167+J172+J195+J207</f>
        <v>80624265.100000009</v>
      </c>
      <c r="K211" s="235"/>
      <c r="L211" s="995">
        <f>L8+L32+L37+L71+L135+L162+L167+L172+L195+L207</f>
        <v>16671389.359999999</v>
      </c>
      <c r="M211" s="234">
        <f>M8+M32+M37+M71+M135+M162+M167+M172+M195+M207</f>
        <v>63952875.74000001</v>
      </c>
      <c r="N211" s="234">
        <f>N8+N32+N37+N71+N135+N162+N167+N172+N195+N207</f>
        <v>492331122.42876494</v>
      </c>
      <c r="O211" s="117"/>
    </row>
    <row r="212" spans="1:15">
      <c r="A212" s="1250"/>
      <c r="B212" s="1251"/>
      <c r="C212" s="1250"/>
      <c r="D212" s="361"/>
      <c r="E212" s="1229"/>
      <c r="F212" s="1229"/>
      <c r="G212" s="1252"/>
      <c r="H212" s="1238"/>
      <c r="I212" s="1238"/>
      <c r="J212" s="179"/>
      <c r="K212" s="1253"/>
      <c r="L212" s="1240"/>
      <c r="M212" s="1229"/>
      <c r="N212" s="1252"/>
      <c r="O212" s="1229"/>
    </row>
    <row r="213" spans="1:15">
      <c r="A213" s="1250"/>
      <c r="B213" s="1251"/>
      <c r="C213" s="1250"/>
      <c r="D213" s="361"/>
      <c r="E213" s="1229"/>
      <c r="F213" s="1229" t="s">
        <v>441</v>
      </c>
      <c r="G213" s="1237"/>
      <c r="H213" s="1238"/>
      <c r="I213" s="1238"/>
      <c r="J213" s="179"/>
      <c r="K213" s="1253"/>
      <c r="L213" s="1240"/>
      <c r="M213" s="1229"/>
      <c r="N213" s="1252"/>
      <c r="O213" s="1229"/>
    </row>
    <row r="214" spans="1:15">
      <c r="A214" s="372">
        <v>33</v>
      </c>
      <c r="B214" s="1254"/>
      <c r="C214" s="1254"/>
      <c r="D214" s="1255" t="s">
        <v>2219</v>
      </c>
      <c r="E214" s="1226">
        <f>L211</f>
        <v>16671389.359999999</v>
      </c>
      <c r="F214" s="1256" t="s">
        <v>2220</v>
      </c>
      <c r="G214" s="1252"/>
      <c r="H214" s="1238"/>
      <c r="I214" s="1238"/>
      <c r="J214" s="1237"/>
      <c r="K214" s="1239"/>
      <c r="L214" s="1240"/>
      <c r="M214" s="1229"/>
      <c r="N214" s="1252"/>
      <c r="O214" s="1229"/>
    </row>
    <row r="215" spans="1:15">
      <c r="A215" s="373">
        <v>34</v>
      </c>
      <c r="B215" s="1254"/>
      <c r="C215" s="1254"/>
      <c r="D215" s="1255" t="s">
        <v>2221</v>
      </c>
      <c r="E215" s="1226">
        <f>E214*(5.425/16.671)</f>
        <v>5425126.7037370279</v>
      </c>
      <c r="F215" s="715" t="s">
        <v>2222</v>
      </c>
      <c r="G215" s="1253"/>
      <c r="H215" s="1238"/>
      <c r="I215" s="1238"/>
      <c r="J215" s="1237"/>
      <c r="K215" s="1239"/>
      <c r="L215" s="1240"/>
      <c r="M215" s="1229"/>
      <c r="N215" s="1252"/>
      <c r="O215" s="1229"/>
    </row>
    <row r="216" spans="1:15">
      <c r="A216" s="373">
        <v>35</v>
      </c>
      <c r="B216" s="1254"/>
      <c r="C216" s="1254"/>
      <c r="D216" s="1257"/>
      <c r="E216" s="1222"/>
      <c r="F216" s="1258"/>
      <c r="G216" s="1253"/>
      <c r="H216" s="1238"/>
      <c r="I216" s="1238"/>
      <c r="J216" s="1237"/>
      <c r="K216" s="1239"/>
      <c r="L216" s="1240"/>
      <c r="M216" s="1229"/>
      <c r="N216" s="1252"/>
      <c r="O216" s="1229"/>
    </row>
    <row r="217" spans="1:15">
      <c r="A217" s="373">
        <v>36</v>
      </c>
      <c r="B217" s="1254"/>
      <c r="C217" s="1254"/>
      <c r="D217" s="1255" t="s">
        <v>2223</v>
      </c>
      <c r="E217" s="1226">
        <f>SUMIF(K4:K206,"=A",M4:M206)</f>
        <v>37812696.870000005</v>
      </c>
      <c r="F217" s="715" t="s">
        <v>2224</v>
      </c>
      <c r="G217" s="1253"/>
      <c r="H217" s="1238"/>
      <c r="I217" s="1238"/>
      <c r="J217" s="1237"/>
      <c r="K217" s="1239"/>
      <c r="L217" s="1240"/>
      <c r="M217" s="1229"/>
      <c r="N217" s="1252"/>
      <c r="O217" s="1229"/>
    </row>
    <row r="218" spans="1:15">
      <c r="A218" s="373">
        <v>37</v>
      </c>
      <c r="B218" s="1216"/>
      <c r="C218" s="1216"/>
      <c r="D218" s="1255" t="s">
        <v>2225</v>
      </c>
      <c r="E218" s="1226">
        <f>0.1*E217</f>
        <v>3781269.6870000008</v>
      </c>
      <c r="F218" s="730" t="str">
        <f>"= Line "&amp;A217&amp;"D * 10%"</f>
        <v>= Line 36D * 10%</v>
      </c>
      <c r="G218" s="361"/>
      <c r="H218" s="180"/>
      <c r="I218" s="181"/>
      <c r="J218" s="1237"/>
      <c r="K218" s="1239"/>
      <c r="L218" s="1240"/>
      <c r="M218" s="1229"/>
      <c r="N218" s="1237"/>
      <c r="O218" s="1229"/>
    </row>
    <row r="219" spans="1:15">
      <c r="A219" s="373">
        <v>38</v>
      </c>
      <c r="B219" s="1216"/>
      <c r="C219" s="1216"/>
      <c r="D219" s="1255" t="s">
        <v>2226</v>
      </c>
      <c r="E219" s="1226">
        <f>SUMIF(K4:K206,"=P",M4:M206)</f>
        <v>26140178.870000005</v>
      </c>
      <c r="F219" s="1259" t="s">
        <v>2227</v>
      </c>
      <c r="G219" s="361"/>
      <c r="H219" s="1229"/>
      <c r="I219" s="181"/>
      <c r="J219" s="1237"/>
      <c r="K219" s="1239"/>
      <c r="L219" s="1240"/>
      <c r="M219" s="1229"/>
      <c r="N219" s="1237"/>
      <c r="O219" s="1229"/>
    </row>
    <row r="220" spans="1:15">
      <c r="A220" s="373">
        <v>39</v>
      </c>
      <c r="B220" s="1216"/>
      <c r="C220" s="1216"/>
      <c r="D220" s="1255" t="s">
        <v>2228</v>
      </c>
      <c r="E220" s="1226">
        <f>0.3*E219</f>
        <v>7842053.6610000012</v>
      </c>
      <c r="F220" s="730" t="str">
        <f>"= Line "&amp;A219&amp;"D * 30%"</f>
        <v>= Line 38D * 30%</v>
      </c>
      <c r="G220" s="361"/>
      <c r="H220" s="180"/>
      <c r="I220" s="181"/>
      <c r="J220" s="1237"/>
      <c r="K220" s="1239"/>
      <c r="L220" s="1240"/>
      <c r="M220" s="1229"/>
      <c r="N220" s="1237"/>
      <c r="O220" s="1229"/>
    </row>
    <row r="221" spans="1:15">
      <c r="A221" s="373">
        <v>40</v>
      </c>
      <c r="B221" s="1216"/>
      <c r="C221" s="1216"/>
      <c r="D221" s="1255" t="s">
        <v>2229</v>
      </c>
      <c r="E221" s="1226">
        <f>E218+E220</f>
        <v>11623323.348000001</v>
      </c>
      <c r="F221" s="730" t="str">
        <f>"= Line "&amp;A218&amp;"D + Line "&amp;A220&amp;"D"</f>
        <v>= Line 37D + Line 39D</v>
      </c>
      <c r="G221" s="1239"/>
      <c r="H221" s="1238"/>
      <c r="I221" s="1238"/>
      <c r="J221" s="1237"/>
      <c r="K221" s="1239"/>
      <c r="L221" s="1240"/>
      <c r="M221" s="1229"/>
      <c r="N221" s="1237"/>
      <c r="O221" s="1229"/>
    </row>
    <row r="222" spans="1:15">
      <c r="A222" s="373">
        <v>41</v>
      </c>
      <c r="B222" s="1216"/>
      <c r="C222" s="1216"/>
      <c r="D222" s="1255" t="s">
        <v>2230</v>
      </c>
      <c r="E222" s="1260">
        <f>5.425/16.671</f>
        <v>0.32541539199808051</v>
      </c>
      <c r="F222" s="715" t="s">
        <v>2231</v>
      </c>
      <c r="G222" s="1239"/>
      <c r="H222" s="1238"/>
      <c r="I222" s="1238"/>
      <c r="J222" s="1237"/>
      <c r="K222" s="1239"/>
      <c r="L222" s="1240"/>
      <c r="M222" s="1229"/>
      <c r="N222" s="1237"/>
      <c r="O222" s="1229"/>
    </row>
    <row r="223" spans="1:15">
      <c r="A223" s="373">
        <v>42</v>
      </c>
      <c r="B223" s="1216"/>
      <c r="C223" s="1216"/>
      <c r="D223" s="1255" t="s">
        <v>2232</v>
      </c>
      <c r="E223" s="1226">
        <f>E221*E222</f>
        <v>3782408.323609862</v>
      </c>
      <c r="F223" s="730" t="str">
        <f>"= Line "&amp;A221&amp;"D * Line "&amp;A222&amp;"D"</f>
        <v>= Line 40D * Line 41D</v>
      </c>
      <c r="G223" s="1239"/>
      <c r="H223" s="1238"/>
      <c r="I223" s="1238"/>
      <c r="J223" s="1237"/>
      <c r="K223" s="1239"/>
      <c r="L223" s="1240"/>
      <c r="M223" s="1229"/>
      <c r="N223" s="1237"/>
      <c r="O223" s="1229"/>
    </row>
    <row r="224" spans="1:15" ht="12.75" customHeight="1">
      <c r="A224" s="373">
        <v>43</v>
      </c>
      <c r="B224" s="1216"/>
      <c r="C224" s="1216"/>
      <c r="D224" s="190" t="s">
        <v>2233</v>
      </c>
      <c r="E224" s="233">
        <f>E223+E215</f>
        <v>9207535.0273468904</v>
      </c>
      <c r="F224" s="730" t="str">
        <f>"= Line "&amp;A215&amp;"D + Line "&amp;A223&amp;"D"</f>
        <v>= Line 34D + Line 42D</v>
      </c>
      <c r="G224" s="1239"/>
      <c r="H224" s="1238"/>
      <c r="I224" s="1238"/>
      <c r="J224" s="1237"/>
      <c r="K224" s="1239"/>
      <c r="L224" s="1240"/>
      <c r="M224" s="1229"/>
      <c r="N224" s="1237"/>
      <c r="O224" s="1229"/>
    </row>
    <row r="225" spans="1:254">
      <c r="A225" s="361"/>
      <c r="B225" s="361"/>
      <c r="C225" s="975"/>
      <c r="D225" s="1239"/>
      <c r="E225" s="1261"/>
      <c r="F225" s="715"/>
      <c r="G225" s="1239"/>
      <c r="H225" s="1238"/>
      <c r="I225" s="1238"/>
      <c r="J225" s="1237"/>
      <c r="K225" s="1239"/>
      <c r="L225" s="1240"/>
      <c r="M225" s="1229"/>
      <c r="N225" s="1237"/>
      <c r="O225" s="1229"/>
      <c r="P225" s="768"/>
      <c r="Q225" s="768"/>
      <c r="R225" s="768"/>
      <c r="S225" s="768"/>
      <c r="T225" s="768"/>
      <c r="U225" s="768"/>
      <c r="V225" s="768"/>
      <c r="W225" s="768"/>
      <c r="X225" s="768"/>
      <c r="Y225" s="768"/>
      <c r="Z225" s="768"/>
      <c r="AA225" s="768"/>
      <c r="AB225" s="768"/>
      <c r="AC225" s="768"/>
      <c r="AD225" s="768"/>
      <c r="AE225" s="768"/>
      <c r="AF225" s="768"/>
      <c r="AG225" s="768"/>
      <c r="AH225" s="768"/>
      <c r="AI225" s="768"/>
      <c r="AJ225" s="768"/>
      <c r="AK225" s="768"/>
      <c r="AL225" s="768"/>
      <c r="AM225" s="768"/>
      <c r="AN225" s="768"/>
      <c r="AO225" s="768"/>
      <c r="AP225" s="768"/>
      <c r="AQ225" s="768"/>
      <c r="AR225" s="768"/>
      <c r="AS225" s="768"/>
      <c r="AT225" s="768"/>
      <c r="AU225" s="768"/>
      <c r="AV225" s="768"/>
      <c r="AW225" s="768"/>
      <c r="AX225" s="768"/>
      <c r="AY225" s="768"/>
      <c r="AZ225" s="768"/>
      <c r="BA225" s="768"/>
      <c r="BB225" s="768"/>
      <c r="BC225" s="768"/>
      <c r="BD225" s="768"/>
      <c r="BE225" s="768"/>
      <c r="BF225" s="768"/>
      <c r="BG225" s="768"/>
      <c r="BH225" s="768"/>
      <c r="BI225" s="768"/>
      <c r="BJ225" s="768"/>
      <c r="BK225" s="768"/>
      <c r="BL225" s="768"/>
      <c r="BM225" s="768"/>
      <c r="BN225" s="768"/>
      <c r="BO225" s="768"/>
      <c r="BP225" s="768"/>
      <c r="BQ225" s="768"/>
      <c r="BR225" s="768"/>
      <c r="BS225" s="768"/>
      <c r="BT225" s="768"/>
      <c r="BU225" s="768"/>
      <c r="BV225" s="768"/>
      <c r="BW225" s="768"/>
      <c r="BX225" s="768"/>
      <c r="BY225" s="768"/>
      <c r="BZ225" s="768"/>
      <c r="CA225" s="768"/>
      <c r="CB225" s="768"/>
      <c r="CC225" s="768"/>
      <c r="CD225" s="768"/>
      <c r="CE225" s="768"/>
      <c r="CF225" s="768"/>
      <c r="CG225" s="768"/>
      <c r="CH225" s="768"/>
      <c r="CI225" s="768"/>
      <c r="CJ225" s="768"/>
      <c r="CK225" s="768"/>
      <c r="CL225" s="768"/>
      <c r="CM225" s="768"/>
      <c r="CN225" s="768"/>
      <c r="CO225" s="768"/>
      <c r="CP225" s="768"/>
      <c r="CQ225" s="768"/>
      <c r="CR225" s="768"/>
      <c r="CS225" s="768"/>
      <c r="CT225" s="768"/>
      <c r="CU225" s="768"/>
      <c r="CV225" s="768"/>
      <c r="CW225" s="768"/>
      <c r="CX225" s="768"/>
      <c r="CY225" s="768"/>
      <c r="CZ225" s="768"/>
      <c r="DA225" s="768"/>
      <c r="DB225" s="768"/>
      <c r="DC225" s="768"/>
      <c r="DD225" s="768"/>
      <c r="DE225" s="768"/>
      <c r="DF225" s="768"/>
      <c r="DG225" s="768"/>
      <c r="DH225" s="768"/>
      <c r="DI225" s="768"/>
      <c r="DJ225" s="768"/>
      <c r="DK225" s="768"/>
      <c r="DL225" s="768"/>
      <c r="DM225" s="768"/>
      <c r="DN225" s="768"/>
      <c r="DO225" s="768"/>
      <c r="DP225" s="768"/>
      <c r="DQ225" s="768"/>
      <c r="DR225" s="768"/>
      <c r="DS225" s="768"/>
      <c r="DT225" s="768"/>
      <c r="DU225" s="768"/>
      <c r="DV225" s="768"/>
      <c r="DW225" s="768"/>
      <c r="DX225" s="768"/>
      <c r="DY225" s="768"/>
      <c r="DZ225" s="768"/>
      <c r="EA225" s="768"/>
      <c r="EB225" s="768"/>
      <c r="EC225" s="768"/>
      <c r="ED225" s="768"/>
      <c r="EE225" s="768"/>
      <c r="EF225" s="768"/>
      <c r="EG225" s="768"/>
      <c r="EH225" s="768"/>
      <c r="EI225" s="768"/>
      <c r="EJ225" s="768"/>
      <c r="EK225" s="768"/>
      <c r="EL225" s="768"/>
      <c r="EM225" s="768"/>
      <c r="EN225" s="768"/>
      <c r="EO225" s="768"/>
      <c r="EP225" s="768"/>
      <c r="EQ225" s="768"/>
      <c r="ER225" s="768"/>
      <c r="ES225" s="768"/>
      <c r="ET225" s="768"/>
      <c r="EU225" s="768"/>
      <c r="EV225" s="768"/>
      <c r="EW225" s="768"/>
      <c r="EX225" s="768"/>
      <c r="EY225" s="768"/>
      <c r="EZ225" s="768"/>
      <c r="FA225" s="768"/>
      <c r="FB225" s="768"/>
      <c r="FC225" s="768"/>
      <c r="FD225" s="768"/>
      <c r="FE225" s="768"/>
      <c r="FF225" s="768"/>
      <c r="FG225" s="768"/>
      <c r="FH225" s="768"/>
      <c r="FI225" s="768"/>
      <c r="FJ225" s="768"/>
      <c r="FK225" s="768"/>
      <c r="FL225" s="768"/>
      <c r="FM225" s="768"/>
      <c r="FN225" s="768"/>
      <c r="FO225" s="768"/>
      <c r="FP225" s="768"/>
      <c r="FQ225" s="768"/>
      <c r="FR225" s="768"/>
      <c r="FS225" s="768"/>
      <c r="FT225" s="768"/>
      <c r="FU225" s="768"/>
      <c r="FV225" s="768"/>
      <c r="FW225" s="768"/>
      <c r="FX225" s="768"/>
      <c r="FY225" s="768"/>
      <c r="FZ225" s="768"/>
      <c r="GA225" s="768"/>
      <c r="GB225" s="768"/>
      <c r="GC225" s="768"/>
      <c r="GD225" s="768"/>
      <c r="GE225" s="768"/>
      <c r="GF225" s="768"/>
      <c r="GG225" s="768"/>
      <c r="GH225" s="768"/>
      <c r="GI225" s="768"/>
      <c r="GJ225" s="768"/>
      <c r="GK225" s="768"/>
      <c r="GL225" s="768"/>
      <c r="GM225" s="768"/>
      <c r="GN225" s="768"/>
      <c r="GO225" s="768"/>
      <c r="GP225" s="768"/>
      <c r="GQ225" s="768"/>
      <c r="GR225" s="768"/>
      <c r="GS225" s="768"/>
      <c r="GT225" s="768"/>
      <c r="GU225" s="768"/>
      <c r="GV225" s="768"/>
      <c r="GW225" s="768"/>
      <c r="GX225" s="768"/>
      <c r="GY225" s="768"/>
      <c r="GZ225" s="768"/>
      <c r="HA225" s="768"/>
      <c r="HB225" s="768"/>
      <c r="HC225" s="768"/>
      <c r="HD225" s="768"/>
      <c r="HE225" s="768"/>
      <c r="HF225" s="768"/>
      <c r="HG225" s="768"/>
      <c r="HH225" s="768"/>
      <c r="HI225" s="768"/>
      <c r="HJ225" s="768"/>
      <c r="HK225" s="768"/>
      <c r="HL225" s="768"/>
      <c r="HM225" s="768"/>
      <c r="HN225" s="768"/>
      <c r="HO225" s="768"/>
      <c r="HP225" s="768"/>
      <c r="HQ225" s="768"/>
      <c r="HR225" s="768"/>
      <c r="HS225" s="768"/>
      <c r="HT225" s="768"/>
      <c r="HU225" s="768"/>
      <c r="HV225" s="768"/>
      <c r="HW225" s="768"/>
      <c r="HX225" s="768"/>
      <c r="HY225" s="768"/>
      <c r="HZ225" s="768"/>
      <c r="IA225" s="768"/>
      <c r="IB225" s="768"/>
      <c r="IC225" s="768"/>
      <c r="ID225" s="768"/>
      <c r="IE225" s="768"/>
      <c r="IF225" s="768"/>
      <c r="IG225" s="768"/>
      <c r="IH225" s="768"/>
      <c r="II225" s="768"/>
      <c r="IJ225" s="768"/>
      <c r="IK225" s="768"/>
      <c r="IL225" s="768"/>
      <c r="IM225" s="768"/>
      <c r="IN225" s="768"/>
      <c r="IO225" s="768"/>
      <c r="IP225" s="768"/>
      <c r="IQ225" s="768"/>
      <c r="IR225" s="768"/>
      <c r="IS225" s="768"/>
      <c r="IT225" s="768"/>
    </row>
    <row r="226" spans="1:254">
      <c r="A226" s="361"/>
      <c r="B226" s="361"/>
      <c r="C226" s="975"/>
      <c r="D226" s="1262"/>
      <c r="E226" s="132" t="s">
        <v>79</v>
      </c>
      <c r="F226" s="132" t="s">
        <v>441</v>
      </c>
      <c r="G226" s="1263"/>
      <c r="H226" s="1238"/>
      <c r="I226" s="975"/>
      <c r="J226" s="361"/>
      <c r="K226" s="975"/>
      <c r="L226" s="1262"/>
      <c r="M226" s="132"/>
      <c r="N226" s="132"/>
      <c r="O226" s="1263"/>
      <c r="P226" s="1238"/>
      <c r="Q226" s="975"/>
      <c r="R226" s="1262"/>
      <c r="S226" s="132"/>
      <c r="T226" s="132"/>
      <c r="U226" s="1263"/>
      <c r="V226" s="1238"/>
      <c r="W226" s="975"/>
      <c r="X226" s="361"/>
      <c r="Y226" s="975"/>
      <c r="Z226" s="1262"/>
      <c r="AA226" s="132"/>
      <c r="AB226" s="132"/>
      <c r="AC226" s="1263"/>
      <c r="AD226" s="1238"/>
      <c r="AE226" s="975"/>
      <c r="AF226" s="361"/>
      <c r="AG226" s="975"/>
      <c r="AH226" s="1262"/>
      <c r="AI226" s="132"/>
      <c r="AJ226" s="132"/>
      <c r="AK226" s="1263"/>
      <c r="AL226" s="1238"/>
      <c r="AM226" s="975"/>
      <c r="AN226" s="361"/>
      <c r="AO226" s="975"/>
      <c r="AP226" s="1262"/>
      <c r="AQ226" s="132"/>
      <c r="AR226" s="132"/>
      <c r="AS226" s="1263"/>
      <c r="AT226" s="1238"/>
      <c r="AU226" s="975"/>
      <c r="AV226" s="361"/>
      <c r="AW226" s="975"/>
      <c r="AX226" s="1262"/>
      <c r="AY226" s="132"/>
      <c r="AZ226" s="132"/>
      <c r="BA226" s="1263"/>
      <c r="BB226" s="1238"/>
      <c r="BC226" s="975"/>
      <c r="BD226" s="361"/>
      <c r="BE226" s="975"/>
      <c r="BF226" s="1262"/>
      <c r="BG226" s="132"/>
      <c r="BH226" s="132"/>
      <c r="BI226" s="1263"/>
      <c r="BJ226" s="1238"/>
      <c r="BK226" s="975"/>
      <c r="BL226" s="361"/>
      <c r="BM226" s="975"/>
      <c r="BN226" s="1262"/>
      <c r="BO226" s="132"/>
      <c r="BP226" s="132"/>
      <c r="BQ226" s="1263"/>
      <c r="BR226" s="1238"/>
      <c r="BS226" s="975"/>
      <c r="BT226" s="361"/>
      <c r="BU226" s="975"/>
      <c r="BV226" s="1262"/>
      <c r="BW226" s="132"/>
      <c r="BX226" s="132"/>
      <c r="BY226" s="1263"/>
      <c r="BZ226" s="1238"/>
      <c r="CA226" s="975"/>
      <c r="CB226" s="361"/>
      <c r="CC226" s="975"/>
      <c r="CD226" s="1262"/>
      <c r="CE226" s="132"/>
      <c r="CF226" s="132"/>
      <c r="CG226" s="1263"/>
      <c r="CH226" s="1238"/>
      <c r="CI226" s="975"/>
      <c r="CJ226" s="361"/>
      <c r="CK226" s="975"/>
      <c r="CL226" s="1262"/>
      <c r="CM226" s="132"/>
      <c r="CN226" s="132"/>
      <c r="CO226" s="1263"/>
      <c r="CP226" s="1238"/>
      <c r="CQ226" s="975"/>
      <c r="CR226" s="361"/>
      <c r="CS226" s="975"/>
      <c r="CT226" s="1262"/>
      <c r="CU226" s="132"/>
      <c r="CV226" s="132"/>
      <c r="CW226" s="1263"/>
      <c r="CX226" s="1238"/>
      <c r="CY226" s="975"/>
      <c r="CZ226" s="361"/>
      <c r="DA226" s="975"/>
      <c r="DB226" s="1262"/>
      <c r="DC226" s="132"/>
      <c r="DD226" s="132"/>
      <c r="DE226" s="1263"/>
      <c r="DF226" s="1238"/>
      <c r="DG226" s="975"/>
      <c r="DH226" s="361"/>
      <c r="DI226" s="975"/>
      <c r="DJ226" s="1262"/>
      <c r="DK226" s="132"/>
      <c r="DL226" s="132"/>
      <c r="DM226" s="1263"/>
      <c r="DN226" s="1238"/>
      <c r="DO226" s="975"/>
      <c r="DP226" s="361"/>
      <c r="DQ226" s="975"/>
      <c r="DR226" s="1262"/>
      <c r="DS226" s="132"/>
      <c r="DT226" s="132"/>
      <c r="DU226" s="1263"/>
      <c r="DV226" s="1238"/>
      <c r="DW226" s="975"/>
      <c r="DX226" s="361"/>
      <c r="DY226" s="975"/>
      <c r="DZ226" s="1262"/>
      <c r="EA226" s="132"/>
      <c r="EB226" s="132"/>
      <c r="EC226" s="1263"/>
      <c r="ED226" s="1238"/>
      <c r="EE226" s="975"/>
      <c r="EF226" s="361"/>
      <c r="EG226" s="975"/>
      <c r="EH226" s="1262"/>
      <c r="EI226" s="132"/>
      <c r="EJ226" s="132"/>
      <c r="EK226" s="1263"/>
      <c r="EL226" s="1238"/>
      <c r="EM226" s="975"/>
      <c r="EN226" s="361"/>
      <c r="EO226" s="975"/>
      <c r="EP226" s="1262"/>
      <c r="EQ226" s="132"/>
      <c r="ER226" s="132"/>
      <c r="ES226" s="1263"/>
      <c r="ET226" s="1238"/>
      <c r="EU226" s="975"/>
      <c r="EV226" s="361"/>
      <c r="EW226" s="975"/>
      <c r="EX226" s="1262"/>
      <c r="EY226" s="132"/>
      <c r="EZ226" s="132"/>
      <c r="FA226" s="1263"/>
      <c r="FB226" s="1238"/>
      <c r="FC226" s="975"/>
      <c r="FD226" s="361"/>
      <c r="FE226" s="975"/>
      <c r="FF226" s="1262"/>
      <c r="FG226" s="132"/>
      <c r="FH226" s="132"/>
      <c r="FI226" s="1263"/>
      <c r="FJ226" s="1238"/>
      <c r="FK226" s="975"/>
      <c r="FL226" s="361"/>
      <c r="FM226" s="975"/>
      <c r="FN226" s="1262"/>
      <c r="FO226" s="132"/>
      <c r="FP226" s="132"/>
      <c r="FQ226" s="1263"/>
      <c r="FR226" s="1238"/>
      <c r="FS226" s="975"/>
      <c r="FT226" s="361"/>
      <c r="FU226" s="975"/>
      <c r="FV226" s="1262"/>
      <c r="FW226" s="132"/>
      <c r="FX226" s="132"/>
      <c r="FY226" s="1263"/>
      <c r="FZ226" s="1238"/>
      <c r="GA226" s="975"/>
      <c r="GB226" s="361"/>
      <c r="GC226" s="975"/>
      <c r="GD226" s="1262"/>
      <c r="GE226" s="132"/>
      <c r="GF226" s="132"/>
      <c r="GG226" s="1263"/>
      <c r="GH226" s="1238"/>
      <c r="GI226" s="975"/>
      <c r="GJ226" s="361"/>
      <c r="GK226" s="975"/>
      <c r="GL226" s="1262"/>
      <c r="GM226" s="132"/>
      <c r="GN226" s="132"/>
      <c r="GO226" s="1263"/>
      <c r="GP226" s="1238"/>
      <c r="GQ226" s="975"/>
      <c r="GR226" s="361"/>
      <c r="GS226" s="975"/>
      <c r="GT226" s="1262"/>
      <c r="GU226" s="132"/>
      <c r="GV226" s="132"/>
      <c r="GW226" s="1263"/>
      <c r="GX226" s="1238"/>
      <c r="GY226" s="975"/>
      <c r="GZ226" s="361"/>
      <c r="HA226" s="975"/>
      <c r="HB226" s="1262"/>
      <c r="HC226" s="132"/>
      <c r="HD226" s="132"/>
      <c r="HE226" s="1263"/>
      <c r="HF226" s="1238"/>
      <c r="HG226" s="975"/>
      <c r="HH226" s="361"/>
      <c r="HI226" s="975"/>
      <c r="HJ226" s="1262"/>
      <c r="HK226" s="132"/>
      <c r="HL226" s="132"/>
      <c r="HM226" s="1263"/>
      <c r="HN226" s="1238"/>
      <c r="HO226" s="975"/>
      <c r="HP226" s="361"/>
      <c r="HQ226" s="975"/>
      <c r="HR226" s="1262"/>
      <c r="HS226" s="132"/>
      <c r="HT226" s="132"/>
      <c r="HU226" s="1263"/>
      <c r="HV226" s="1238"/>
      <c r="HW226" s="975"/>
      <c r="HX226" s="361"/>
      <c r="HY226" s="975"/>
      <c r="HZ226" s="1262"/>
      <c r="IA226" s="132"/>
      <c r="IB226" s="132"/>
      <c r="IC226" s="1263"/>
      <c r="ID226" s="1238"/>
      <c r="IE226" s="975"/>
      <c r="IF226" s="361"/>
      <c r="IG226" s="975"/>
      <c r="IH226" s="1262"/>
      <c r="II226" s="132"/>
      <c r="IJ226" s="132"/>
      <c r="IK226" s="1263"/>
      <c r="IL226" s="1238"/>
      <c r="IM226" s="975"/>
      <c r="IN226" s="361"/>
      <c r="IO226" s="975"/>
      <c r="IP226" s="1262"/>
      <c r="IQ226" s="132"/>
      <c r="IR226" s="132"/>
      <c r="IS226" s="1263"/>
      <c r="IT226" s="1238"/>
    </row>
    <row r="227" spans="1:254">
      <c r="A227" s="373">
        <v>44</v>
      </c>
      <c r="B227" s="21" t="s">
        <v>2234</v>
      </c>
      <c r="C227" s="975"/>
      <c r="D227" s="1262"/>
      <c r="E227" s="1264">
        <f>H211+E224</f>
        <v>58173790.580408886</v>
      </c>
      <c r="F227" s="532" t="s">
        <v>2235</v>
      </c>
      <c r="G227" s="1263"/>
      <c r="H227" s="1238"/>
      <c r="I227" s="1238"/>
      <c r="J227" s="21"/>
      <c r="K227" s="975"/>
      <c r="L227" s="1262"/>
      <c r="M227" s="1265"/>
      <c r="N227" s="532"/>
      <c r="O227" s="1263"/>
      <c r="P227" s="1238"/>
      <c r="Q227" s="975"/>
      <c r="R227" s="1262"/>
      <c r="S227" s="1265"/>
      <c r="T227" s="532"/>
      <c r="U227" s="1263"/>
      <c r="V227" s="1238"/>
      <c r="W227" s="1229"/>
      <c r="X227" s="21"/>
      <c r="Y227" s="975"/>
      <c r="Z227" s="1262"/>
      <c r="AA227" s="1265"/>
      <c r="AB227" s="532"/>
      <c r="AC227" s="1263"/>
      <c r="AD227" s="1238"/>
      <c r="AE227" s="1229"/>
      <c r="AF227" s="21"/>
      <c r="AG227" s="975"/>
      <c r="AH227" s="1262"/>
      <c r="AI227" s="1265"/>
      <c r="AJ227" s="532"/>
      <c r="AK227" s="1263"/>
      <c r="AL227" s="1238"/>
      <c r="AM227" s="372"/>
      <c r="AN227" s="21"/>
      <c r="AO227" s="975"/>
      <c r="AP227" s="1262"/>
      <c r="AQ227" s="1265"/>
      <c r="AR227" s="532"/>
      <c r="AS227" s="1263"/>
      <c r="AT227" s="1238"/>
      <c r="AU227" s="372"/>
      <c r="AV227" s="21"/>
      <c r="AW227" s="975"/>
      <c r="AX227" s="1262"/>
      <c r="AY227" s="1265"/>
      <c r="AZ227" s="532"/>
      <c r="BA227" s="1263"/>
      <c r="BB227" s="1238"/>
      <c r="BC227" s="372"/>
      <c r="BD227" s="21"/>
      <c r="BE227" s="975"/>
      <c r="BF227" s="1262"/>
      <c r="BG227" s="1265"/>
      <c r="BH227" s="532"/>
      <c r="BI227" s="1263"/>
      <c r="BJ227" s="1238"/>
      <c r="BK227" s="372"/>
      <c r="BL227" s="21"/>
      <c r="BM227" s="975"/>
      <c r="BN227" s="1262"/>
      <c r="BO227" s="1265"/>
      <c r="BP227" s="532"/>
      <c r="BQ227" s="1263"/>
      <c r="BR227" s="1238"/>
      <c r="BS227" s="372"/>
      <c r="BT227" s="21"/>
      <c r="BU227" s="975"/>
      <c r="BV227" s="1262"/>
      <c r="BW227" s="1265"/>
      <c r="BX227" s="532"/>
      <c r="BY227" s="1263"/>
      <c r="BZ227" s="1238"/>
      <c r="CA227" s="372"/>
      <c r="CB227" s="21"/>
      <c r="CC227" s="975"/>
      <c r="CD227" s="1262"/>
      <c r="CE227" s="1265"/>
      <c r="CF227" s="532"/>
      <c r="CG227" s="1263"/>
      <c r="CH227" s="1238"/>
      <c r="CI227" s="372"/>
      <c r="CJ227" s="21"/>
      <c r="CK227" s="975"/>
      <c r="CL227" s="1262"/>
      <c r="CM227" s="1265"/>
      <c r="CN227" s="532"/>
      <c r="CO227" s="1263"/>
      <c r="CP227" s="1238"/>
      <c r="CQ227" s="372"/>
      <c r="CR227" s="21"/>
      <c r="CS227" s="975"/>
      <c r="CT227" s="1262"/>
      <c r="CU227" s="1265"/>
      <c r="CV227" s="532"/>
      <c r="CW227" s="1263"/>
      <c r="CX227" s="1238"/>
      <c r="CY227" s="372"/>
      <c r="CZ227" s="21"/>
      <c r="DA227" s="975"/>
      <c r="DB227" s="1262"/>
      <c r="DC227" s="1265"/>
      <c r="DD227" s="532"/>
      <c r="DE227" s="1263"/>
      <c r="DF227" s="1238"/>
      <c r="DG227" s="372"/>
      <c r="DH227" s="21"/>
      <c r="DI227" s="975"/>
      <c r="DJ227" s="1262"/>
      <c r="DK227" s="1265"/>
      <c r="DL227" s="532"/>
      <c r="DM227" s="1263"/>
      <c r="DN227" s="1238"/>
      <c r="DO227" s="372"/>
      <c r="DP227" s="21"/>
      <c r="DQ227" s="975"/>
      <c r="DR227" s="1262"/>
      <c r="DS227" s="1265"/>
      <c r="DT227" s="532"/>
      <c r="DU227" s="1263"/>
      <c r="DV227" s="1238"/>
      <c r="DW227" s="372"/>
      <c r="DX227" s="21"/>
      <c r="DY227" s="975"/>
      <c r="DZ227" s="1262"/>
      <c r="EA227" s="1265"/>
      <c r="EB227" s="532"/>
      <c r="EC227" s="1263"/>
      <c r="ED227" s="1238"/>
      <c r="EE227" s="372"/>
      <c r="EF227" s="21"/>
      <c r="EG227" s="975"/>
      <c r="EH227" s="1262"/>
      <c r="EI227" s="1265"/>
      <c r="EJ227" s="532"/>
      <c r="EK227" s="1263"/>
      <c r="EL227" s="1238"/>
      <c r="EM227" s="372"/>
      <c r="EN227" s="21"/>
      <c r="EO227" s="975"/>
      <c r="EP227" s="1262"/>
      <c r="EQ227" s="1265"/>
      <c r="ER227" s="532"/>
      <c r="ES227" s="1263"/>
      <c r="ET227" s="1238"/>
      <c r="EU227" s="372"/>
      <c r="EV227" s="21"/>
      <c r="EW227" s="975"/>
      <c r="EX227" s="1262"/>
      <c r="EY227" s="1265"/>
      <c r="EZ227" s="532"/>
      <c r="FA227" s="1263"/>
      <c r="FB227" s="1238"/>
      <c r="FC227" s="372"/>
      <c r="FD227" s="21"/>
      <c r="FE227" s="975"/>
      <c r="FF227" s="1262"/>
      <c r="FG227" s="1265"/>
      <c r="FH227" s="532"/>
      <c r="FI227" s="1263"/>
      <c r="FJ227" s="1238"/>
      <c r="FK227" s="372"/>
      <c r="FL227" s="21"/>
      <c r="FM227" s="975"/>
      <c r="FN227" s="1262"/>
      <c r="FO227" s="1265"/>
      <c r="FP227" s="532"/>
      <c r="FQ227" s="1263"/>
      <c r="FR227" s="1238"/>
      <c r="FS227" s="372"/>
      <c r="FT227" s="21"/>
      <c r="FU227" s="975"/>
      <c r="FV227" s="1262"/>
      <c r="FW227" s="1265"/>
      <c r="FX227" s="532"/>
      <c r="FY227" s="1263"/>
      <c r="FZ227" s="1238"/>
      <c r="GA227" s="372"/>
      <c r="GB227" s="21"/>
      <c r="GC227" s="975"/>
      <c r="GD227" s="1262"/>
      <c r="GE227" s="1265"/>
      <c r="GF227" s="532"/>
      <c r="GG227" s="1263"/>
      <c r="GH227" s="1238"/>
      <c r="GI227" s="372"/>
      <c r="GJ227" s="21"/>
      <c r="GK227" s="975"/>
      <c r="GL227" s="1262"/>
      <c r="GM227" s="1265"/>
      <c r="GN227" s="532"/>
      <c r="GO227" s="1263"/>
      <c r="GP227" s="1238"/>
      <c r="GQ227" s="372"/>
      <c r="GR227" s="21"/>
      <c r="GS227" s="975"/>
      <c r="GT227" s="1262"/>
      <c r="GU227" s="1265"/>
      <c r="GV227" s="532"/>
      <c r="GW227" s="1263"/>
      <c r="GX227" s="1238"/>
      <c r="GY227" s="372"/>
      <c r="GZ227" s="21"/>
      <c r="HA227" s="975"/>
      <c r="HB227" s="1262"/>
      <c r="HC227" s="1265"/>
      <c r="HD227" s="532"/>
      <c r="HE227" s="1263"/>
      <c r="HF227" s="1238"/>
      <c r="HG227" s="372"/>
      <c r="HH227" s="21"/>
      <c r="HI227" s="975"/>
      <c r="HJ227" s="1262"/>
      <c r="HK227" s="1265"/>
      <c r="HL227" s="532"/>
      <c r="HM227" s="1263"/>
      <c r="HN227" s="1238"/>
      <c r="HO227" s="372"/>
      <c r="HP227" s="21"/>
      <c r="HQ227" s="975"/>
      <c r="HR227" s="1262"/>
      <c r="HS227" s="1265"/>
      <c r="HT227" s="532"/>
      <c r="HU227" s="1263"/>
      <c r="HV227" s="1238"/>
      <c r="HW227" s="372"/>
      <c r="HX227" s="21"/>
      <c r="HY227" s="975"/>
      <c r="HZ227" s="1262"/>
      <c r="IA227" s="1265"/>
      <c r="IB227" s="532"/>
      <c r="IC227" s="1263"/>
      <c r="ID227" s="1238"/>
      <c r="IE227" s="372"/>
      <c r="IF227" s="21"/>
      <c r="IG227" s="975"/>
      <c r="IH227" s="1262"/>
      <c r="II227" s="1265"/>
      <c r="IJ227" s="532"/>
      <c r="IK227" s="1263"/>
      <c r="IL227" s="1238"/>
      <c r="IM227" s="372"/>
      <c r="IN227" s="21"/>
      <c r="IO227" s="975"/>
      <c r="IP227" s="1262"/>
      <c r="IQ227" s="1265"/>
      <c r="IR227" s="532"/>
      <c r="IS227" s="1263"/>
      <c r="IT227" s="1238"/>
    </row>
    <row r="228" spans="1:254">
      <c r="A228" s="975"/>
      <c r="B228" s="361"/>
      <c r="C228" s="975"/>
      <c r="D228" s="1239"/>
      <c r="E228" s="1240"/>
      <c r="F228" s="1256"/>
      <c r="G228" s="1237"/>
      <c r="H228" s="1238"/>
      <c r="I228" s="1238"/>
      <c r="J228" s="1237"/>
      <c r="K228" s="1239"/>
      <c r="L228" s="1240"/>
      <c r="M228" s="1229"/>
      <c r="N228" s="1237"/>
      <c r="O228" s="1229"/>
      <c r="P228" s="768"/>
      <c r="Q228" s="768"/>
      <c r="R228" s="768"/>
      <c r="S228" s="768"/>
      <c r="T228" s="768"/>
      <c r="U228" s="768"/>
      <c r="V228" s="768"/>
      <c r="W228" s="768"/>
      <c r="X228" s="768"/>
      <c r="Y228" s="768"/>
      <c r="Z228" s="768"/>
      <c r="AA228" s="768"/>
      <c r="AB228" s="768"/>
      <c r="AC228" s="768"/>
      <c r="AD228" s="768"/>
      <c r="AE228" s="768"/>
      <c r="AF228" s="768"/>
      <c r="AG228" s="768"/>
      <c r="AH228" s="768"/>
      <c r="AI228" s="768"/>
      <c r="AJ228" s="768"/>
      <c r="AK228" s="768"/>
      <c r="AL228" s="768"/>
      <c r="AM228" s="768"/>
      <c r="AN228" s="768"/>
      <c r="AO228" s="768"/>
      <c r="AP228" s="768"/>
      <c r="AQ228" s="768"/>
      <c r="AR228" s="768"/>
      <c r="AS228" s="768"/>
      <c r="AT228" s="768"/>
      <c r="AU228" s="768"/>
      <c r="AV228" s="768"/>
      <c r="AW228" s="768"/>
      <c r="AX228" s="768"/>
      <c r="AY228" s="768"/>
      <c r="AZ228" s="768"/>
      <c r="BA228" s="768"/>
      <c r="BB228" s="768"/>
      <c r="BC228" s="768"/>
      <c r="BD228" s="768"/>
      <c r="BE228" s="768"/>
      <c r="BF228" s="768"/>
      <c r="BG228" s="768"/>
      <c r="BH228" s="768"/>
      <c r="BI228" s="768"/>
      <c r="BJ228" s="768"/>
      <c r="BK228" s="768"/>
      <c r="BL228" s="768"/>
      <c r="BM228" s="768"/>
      <c r="BN228" s="768"/>
      <c r="BO228" s="768"/>
      <c r="BP228" s="768"/>
      <c r="BQ228" s="768"/>
      <c r="BR228" s="768"/>
      <c r="BS228" s="768"/>
      <c r="BT228" s="768"/>
      <c r="BU228" s="768"/>
      <c r="BV228" s="768"/>
      <c r="BW228" s="768"/>
      <c r="BX228" s="768"/>
      <c r="BY228" s="768"/>
      <c r="BZ228" s="768"/>
      <c r="CA228" s="768"/>
      <c r="CB228" s="768"/>
      <c r="CC228" s="768"/>
      <c r="CD228" s="768"/>
      <c r="CE228" s="768"/>
      <c r="CF228" s="768"/>
      <c r="CG228" s="768"/>
      <c r="CH228" s="768"/>
      <c r="CI228" s="768"/>
      <c r="CJ228" s="768"/>
      <c r="CK228" s="768"/>
      <c r="CL228" s="768"/>
      <c r="CM228" s="768"/>
      <c r="CN228" s="768"/>
      <c r="CO228" s="768"/>
      <c r="CP228" s="768"/>
      <c r="CQ228" s="768"/>
      <c r="CR228" s="768"/>
      <c r="CS228" s="768"/>
      <c r="CT228" s="768"/>
      <c r="CU228" s="768"/>
      <c r="CV228" s="768"/>
      <c r="CW228" s="768"/>
      <c r="CX228" s="768"/>
      <c r="CY228" s="768"/>
      <c r="CZ228" s="768"/>
      <c r="DA228" s="768"/>
      <c r="DB228" s="768"/>
      <c r="DC228" s="768"/>
      <c r="DD228" s="768"/>
      <c r="DE228" s="768"/>
      <c r="DF228" s="768"/>
      <c r="DG228" s="768"/>
      <c r="DH228" s="768"/>
      <c r="DI228" s="768"/>
      <c r="DJ228" s="768"/>
      <c r="DK228" s="768"/>
      <c r="DL228" s="768"/>
      <c r="DM228" s="768"/>
      <c r="DN228" s="768"/>
      <c r="DO228" s="768"/>
      <c r="DP228" s="768"/>
      <c r="DQ228" s="768"/>
      <c r="DR228" s="768"/>
      <c r="DS228" s="768"/>
      <c r="DT228" s="768"/>
      <c r="DU228" s="768"/>
      <c r="DV228" s="768"/>
      <c r="DW228" s="768"/>
      <c r="DX228" s="768"/>
      <c r="DY228" s="768"/>
      <c r="DZ228" s="768"/>
      <c r="EA228" s="768"/>
      <c r="EB228" s="768"/>
      <c r="EC228" s="768"/>
      <c r="ED228" s="768"/>
      <c r="EE228" s="768"/>
      <c r="EF228" s="768"/>
      <c r="EG228" s="768"/>
      <c r="EH228" s="768"/>
      <c r="EI228" s="768"/>
      <c r="EJ228" s="768"/>
      <c r="EK228" s="768"/>
      <c r="EL228" s="768"/>
      <c r="EM228" s="768"/>
      <c r="EN228" s="768"/>
      <c r="EO228" s="768"/>
      <c r="EP228" s="768"/>
      <c r="EQ228" s="768"/>
      <c r="ER228" s="768"/>
      <c r="ES228" s="768"/>
      <c r="ET228" s="768"/>
      <c r="EU228" s="768"/>
      <c r="EV228" s="768"/>
      <c r="EW228" s="768"/>
      <c r="EX228" s="768"/>
      <c r="EY228" s="768"/>
      <c r="EZ228" s="768"/>
      <c r="FA228" s="768"/>
      <c r="FB228" s="768"/>
      <c r="FC228" s="768"/>
      <c r="FD228" s="768"/>
      <c r="FE228" s="768"/>
      <c r="FF228" s="768"/>
      <c r="FG228" s="768"/>
      <c r="FH228" s="768"/>
      <c r="FI228" s="768"/>
      <c r="FJ228" s="768"/>
      <c r="FK228" s="768"/>
      <c r="FL228" s="768"/>
      <c r="FM228" s="768"/>
      <c r="FN228" s="768"/>
      <c r="FO228" s="768"/>
      <c r="FP228" s="768"/>
      <c r="FQ228" s="768"/>
      <c r="FR228" s="768"/>
      <c r="FS228" s="768"/>
      <c r="FT228" s="768"/>
      <c r="FU228" s="768"/>
      <c r="FV228" s="768"/>
      <c r="FW228" s="768"/>
      <c r="FX228" s="768"/>
      <c r="FY228" s="768"/>
      <c r="FZ228" s="768"/>
      <c r="GA228" s="768"/>
      <c r="GB228" s="768"/>
      <c r="GC228" s="768"/>
      <c r="GD228" s="768"/>
      <c r="GE228" s="768"/>
      <c r="GF228" s="768"/>
      <c r="GG228" s="768"/>
      <c r="GH228" s="768"/>
      <c r="GI228" s="768"/>
      <c r="GJ228" s="768"/>
      <c r="GK228" s="768"/>
      <c r="GL228" s="768"/>
      <c r="GM228" s="768"/>
      <c r="GN228" s="768"/>
      <c r="GO228" s="768"/>
      <c r="GP228" s="768"/>
      <c r="GQ228" s="768"/>
      <c r="GR228" s="768"/>
      <c r="GS228" s="768"/>
      <c r="GT228" s="768"/>
      <c r="GU228" s="768"/>
      <c r="GV228" s="768"/>
      <c r="GW228" s="768"/>
      <c r="GX228" s="768"/>
      <c r="GY228" s="768"/>
      <c r="GZ228" s="768"/>
      <c r="HA228" s="768"/>
      <c r="HB228" s="768"/>
      <c r="HC228" s="768"/>
      <c r="HD228" s="768"/>
      <c r="HE228" s="768"/>
      <c r="HF228" s="768"/>
      <c r="HG228" s="768"/>
      <c r="HH228" s="768"/>
      <c r="HI228" s="768"/>
      <c r="HJ228" s="768"/>
      <c r="HK228" s="768"/>
      <c r="HL228" s="768"/>
      <c r="HM228" s="768"/>
      <c r="HN228" s="768"/>
      <c r="HO228" s="768"/>
      <c r="HP228" s="768"/>
      <c r="HQ228" s="768"/>
      <c r="HR228" s="768"/>
      <c r="HS228" s="768"/>
      <c r="HT228" s="768"/>
      <c r="HU228" s="768"/>
      <c r="HV228" s="768"/>
      <c r="HW228" s="768"/>
      <c r="HX228" s="768"/>
      <c r="HY228" s="768"/>
      <c r="HZ228" s="768"/>
      <c r="IA228" s="768"/>
      <c r="IB228" s="768"/>
      <c r="IC228" s="768"/>
      <c r="ID228" s="768"/>
      <c r="IE228" s="768"/>
      <c r="IF228" s="768"/>
      <c r="IG228" s="768"/>
      <c r="IH228" s="768"/>
      <c r="II228" s="768"/>
      <c r="IJ228" s="768"/>
      <c r="IK228" s="768"/>
      <c r="IL228" s="768"/>
      <c r="IM228" s="768"/>
      <c r="IN228" s="768"/>
      <c r="IO228" s="768"/>
      <c r="IP228" s="768"/>
      <c r="IQ228" s="768"/>
      <c r="IR228" s="768"/>
      <c r="IS228" s="768"/>
      <c r="IT228" s="768"/>
    </row>
    <row r="230" spans="1:254">
      <c r="A230" s="975" t="s">
        <v>226</v>
      </c>
      <c r="B230" s="361"/>
      <c r="C230" s="975"/>
      <c r="D230" s="361"/>
      <c r="E230" s="1237"/>
      <c r="F230" s="1237"/>
      <c r="G230" s="1237"/>
      <c r="H230" s="1238"/>
      <c r="I230" s="1238"/>
      <c r="J230" s="1237"/>
      <c r="K230" s="1239"/>
      <c r="L230" s="1240"/>
      <c r="M230" s="1229"/>
      <c r="N230" s="1237"/>
      <c r="O230" s="1229"/>
      <c r="P230" s="768"/>
      <c r="Q230" s="768"/>
      <c r="R230" s="768"/>
      <c r="S230" s="768"/>
      <c r="T230" s="768"/>
      <c r="U230" s="768"/>
      <c r="V230" s="768"/>
      <c r="W230" s="768"/>
      <c r="X230" s="768"/>
      <c r="Y230" s="768"/>
      <c r="Z230" s="768"/>
      <c r="AA230" s="768"/>
      <c r="AB230" s="768"/>
      <c r="AC230" s="768"/>
      <c r="AD230" s="768"/>
      <c r="AE230" s="768"/>
      <c r="AF230" s="768"/>
      <c r="AG230" s="768"/>
      <c r="AH230" s="768"/>
      <c r="AI230" s="768"/>
      <c r="AJ230" s="768"/>
      <c r="AK230" s="768"/>
      <c r="AL230" s="768"/>
      <c r="AM230" s="768"/>
      <c r="AN230" s="768"/>
      <c r="AO230" s="768"/>
      <c r="AP230" s="768"/>
      <c r="AQ230" s="768"/>
      <c r="AR230" s="768"/>
      <c r="AS230" s="768"/>
      <c r="AT230" s="768"/>
      <c r="AU230" s="768"/>
      <c r="AV230" s="768"/>
      <c r="AW230" s="768"/>
      <c r="AX230" s="768"/>
      <c r="AY230" s="768"/>
      <c r="AZ230" s="768"/>
      <c r="BA230" s="768"/>
      <c r="BB230" s="768"/>
      <c r="BC230" s="768"/>
      <c r="BD230" s="768"/>
      <c r="BE230" s="768"/>
      <c r="BF230" s="768"/>
      <c r="BG230" s="768"/>
      <c r="BH230" s="768"/>
      <c r="BI230" s="768"/>
      <c r="BJ230" s="768"/>
      <c r="BK230" s="768"/>
      <c r="BL230" s="768"/>
      <c r="BM230" s="768"/>
      <c r="BN230" s="768"/>
      <c r="BO230" s="768"/>
      <c r="BP230" s="768"/>
      <c r="BQ230" s="768"/>
      <c r="BR230" s="768"/>
      <c r="BS230" s="768"/>
      <c r="BT230" s="768"/>
      <c r="BU230" s="768"/>
      <c r="BV230" s="768"/>
      <c r="BW230" s="768"/>
      <c r="BX230" s="768"/>
      <c r="BY230" s="768"/>
      <c r="BZ230" s="768"/>
      <c r="CA230" s="768"/>
      <c r="CB230" s="768"/>
      <c r="CC230" s="768"/>
      <c r="CD230" s="768"/>
      <c r="CE230" s="768"/>
      <c r="CF230" s="768"/>
      <c r="CG230" s="768"/>
      <c r="CH230" s="768"/>
      <c r="CI230" s="768"/>
      <c r="CJ230" s="768"/>
      <c r="CK230" s="768"/>
      <c r="CL230" s="768"/>
      <c r="CM230" s="768"/>
      <c r="CN230" s="768"/>
      <c r="CO230" s="768"/>
      <c r="CP230" s="768"/>
      <c r="CQ230" s="768"/>
      <c r="CR230" s="768"/>
      <c r="CS230" s="768"/>
      <c r="CT230" s="768"/>
      <c r="CU230" s="768"/>
      <c r="CV230" s="768"/>
      <c r="CW230" s="768"/>
      <c r="CX230" s="768"/>
      <c r="CY230" s="768"/>
      <c r="CZ230" s="768"/>
      <c r="DA230" s="768"/>
      <c r="DB230" s="768"/>
      <c r="DC230" s="768"/>
      <c r="DD230" s="768"/>
      <c r="DE230" s="768"/>
      <c r="DF230" s="768"/>
      <c r="DG230" s="768"/>
      <c r="DH230" s="768"/>
      <c r="DI230" s="768"/>
      <c r="DJ230" s="768"/>
      <c r="DK230" s="768"/>
      <c r="DL230" s="768"/>
      <c r="DM230" s="768"/>
      <c r="DN230" s="768"/>
      <c r="DO230" s="768"/>
      <c r="DP230" s="768"/>
      <c r="DQ230" s="768"/>
      <c r="DR230" s="768"/>
      <c r="DS230" s="768"/>
      <c r="DT230" s="768"/>
      <c r="DU230" s="768"/>
      <c r="DV230" s="768"/>
      <c r="DW230" s="768"/>
      <c r="DX230" s="768"/>
      <c r="DY230" s="768"/>
      <c r="DZ230" s="768"/>
      <c r="EA230" s="768"/>
      <c r="EB230" s="768"/>
      <c r="EC230" s="768"/>
      <c r="ED230" s="768"/>
      <c r="EE230" s="768"/>
      <c r="EF230" s="768"/>
      <c r="EG230" s="768"/>
      <c r="EH230" s="768"/>
      <c r="EI230" s="768"/>
      <c r="EJ230" s="768"/>
      <c r="EK230" s="768"/>
      <c r="EL230" s="768"/>
      <c r="EM230" s="768"/>
      <c r="EN230" s="768"/>
      <c r="EO230" s="768"/>
      <c r="EP230" s="768"/>
      <c r="EQ230" s="768"/>
      <c r="ER230" s="768"/>
      <c r="ES230" s="768"/>
      <c r="ET230" s="768"/>
      <c r="EU230" s="768"/>
      <c r="EV230" s="768"/>
      <c r="EW230" s="768"/>
      <c r="EX230" s="768"/>
      <c r="EY230" s="768"/>
      <c r="EZ230" s="768"/>
      <c r="FA230" s="768"/>
      <c r="FB230" s="768"/>
      <c r="FC230" s="768"/>
      <c r="FD230" s="768"/>
      <c r="FE230" s="768"/>
      <c r="FF230" s="768"/>
      <c r="FG230" s="768"/>
      <c r="FH230" s="768"/>
      <c r="FI230" s="768"/>
      <c r="FJ230" s="768"/>
      <c r="FK230" s="768"/>
      <c r="FL230" s="768"/>
      <c r="FM230" s="768"/>
      <c r="FN230" s="768"/>
      <c r="FO230" s="768"/>
      <c r="FP230" s="768"/>
      <c r="FQ230" s="768"/>
      <c r="FR230" s="768"/>
      <c r="FS230" s="768"/>
      <c r="FT230" s="768"/>
      <c r="FU230" s="768"/>
      <c r="FV230" s="768"/>
      <c r="FW230" s="768"/>
      <c r="FX230" s="768"/>
      <c r="FY230" s="768"/>
      <c r="FZ230" s="768"/>
      <c r="GA230" s="768"/>
      <c r="GB230" s="768"/>
      <c r="GC230" s="768"/>
      <c r="GD230" s="768"/>
      <c r="GE230" s="768"/>
      <c r="GF230" s="768"/>
      <c r="GG230" s="768"/>
      <c r="GH230" s="768"/>
      <c r="GI230" s="768"/>
      <c r="GJ230" s="768"/>
      <c r="GK230" s="768"/>
      <c r="GL230" s="768"/>
      <c r="GM230" s="768"/>
      <c r="GN230" s="768"/>
      <c r="GO230" s="768"/>
      <c r="GP230" s="768"/>
      <c r="GQ230" s="768"/>
      <c r="GR230" s="768"/>
      <c r="GS230" s="768"/>
      <c r="GT230" s="768"/>
      <c r="GU230" s="768"/>
      <c r="GV230" s="768"/>
      <c r="GW230" s="768"/>
      <c r="GX230" s="768"/>
      <c r="GY230" s="768"/>
      <c r="GZ230" s="768"/>
      <c r="HA230" s="768"/>
      <c r="HB230" s="768"/>
      <c r="HC230" s="768"/>
      <c r="HD230" s="768"/>
      <c r="HE230" s="768"/>
      <c r="HF230" s="768"/>
      <c r="HG230" s="768"/>
      <c r="HH230" s="768"/>
      <c r="HI230" s="768"/>
      <c r="HJ230" s="768"/>
      <c r="HK230" s="768"/>
      <c r="HL230" s="768"/>
      <c r="HM230" s="768"/>
      <c r="HN230" s="768"/>
      <c r="HO230" s="768"/>
      <c r="HP230" s="768"/>
      <c r="HQ230" s="768"/>
      <c r="HR230" s="768"/>
      <c r="HS230" s="768"/>
      <c r="HT230" s="768"/>
      <c r="HU230" s="768"/>
      <c r="HV230" s="768"/>
      <c r="HW230" s="768"/>
      <c r="HX230" s="768"/>
      <c r="HY230" s="768"/>
      <c r="HZ230" s="768"/>
      <c r="IA230" s="768"/>
      <c r="IB230" s="768"/>
      <c r="IC230" s="768"/>
      <c r="ID230" s="768"/>
      <c r="IE230" s="768"/>
      <c r="IF230" s="768"/>
      <c r="IG230" s="768"/>
      <c r="IH230" s="768"/>
      <c r="II230" s="768"/>
      <c r="IJ230" s="768"/>
      <c r="IK230" s="768"/>
      <c r="IL230" s="768"/>
      <c r="IM230" s="768"/>
      <c r="IN230" s="768"/>
      <c r="IO230" s="768"/>
      <c r="IP230" s="768"/>
      <c r="IQ230" s="768"/>
      <c r="IR230" s="768"/>
      <c r="IS230" s="768"/>
      <c r="IT230" s="768"/>
    </row>
    <row r="231" spans="1:254" ht="12.75" customHeight="1">
      <c r="A231" s="1266" t="s">
        <v>2236</v>
      </c>
      <c r="B231" s="1165" t="s">
        <v>2237</v>
      </c>
      <c r="C231" s="1166"/>
      <c r="D231" s="1166"/>
      <c r="E231" s="1237"/>
      <c r="F231" s="1237"/>
      <c r="G231" s="1237"/>
      <c r="H231" s="1238"/>
      <c r="I231" s="1238"/>
      <c r="J231" s="1237"/>
      <c r="K231" s="1239"/>
      <c r="L231" s="1240"/>
      <c r="M231" s="1229"/>
      <c r="N231" s="1237"/>
      <c r="O231" s="1229"/>
      <c r="P231" s="768"/>
      <c r="Q231" s="768"/>
      <c r="R231" s="768"/>
      <c r="S231" s="768"/>
      <c r="T231" s="768"/>
      <c r="U231" s="768"/>
      <c r="V231" s="768"/>
      <c r="W231" s="768"/>
      <c r="X231" s="768"/>
      <c r="Y231" s="768"/>
      <c r="Z231" s="768"/>
      <c r="AA231" s="768"/>
      <c r="AB231" s="768"/>
      <c r="AC231" s="768"/>
      <c r="AD231" s="768"/>
      <c r="AE231" s="768"/>
      <c r="AF231" s="768"/>
      <c r="AG231" s="768"/>
      <c r="AH231" s="768"/>
      <c r="AI231" s="768"/>
      <c r="AJ231" s="768"/>
      <c r="AK231" s="768"/>
      <c r="AL231" s="768"/>
      <c r="AM231" s="768"/>
      <c r="AN231" s="768"/>
      <c r="AO231" s="768"/>
      <c r="AP231" s="768"/>
      <c r="AQ231" s="768"/>
      <c r="AR231" s="768"/>
      <c r="AS231" s="768"/>
      <c r="AT231" s="768"/>
      <c r="AU231" s="768"/>
      <c r="AV231" s="768"/>
      <c r="AW231" s="768"/>
      <c r="AX231" s="768"/>
      <c r="AY231" s="768"/>
      <c r="AZ231" s="768"/>
      <c r="BA231" s="768"/>
      <c r="BB231" s="768"/>
      <c r="BC231" s="768"/>
      <c r="BD231" s="768"/>
      <c r="BE231" s="768"/>
      <c r="BF231" s="768"/>
      <c r="BG231" s="768"/>
      <c r="BH231" s="768"/>
      <c r="BI231" s="768"/>
      <c r="BJ231" s="768"/>
      <c r="BK231" s="768"/>
      <c r="BL231" s="768"/>
      <c r="BM231" s="768"/>
      <c r="BN231" s="768"/>
      <c r="BO231" s="768"/>
      <c r="BP231" s="768"/>
      <c r="BQ231" s="768"/>
      <c r="BR231" s="768"/>
      <c r="BS231" s="768"/>
      <c r="BT231" s="768"/>
      <c r="BU231" s="768"/>
      <c r="BV231" s="768"/>
      <c r="BW231" s="768"/>
      <c r="BX231" s="768"/>
      <c r="BY231" s="768"/>
      <c r="BZ231" s="768"/>
      <c r="CA231" s="768"/>
      <c r="CB231" s="768"/>
      <c r="CC231" s="768"/>
      <c r="CD231" s="768"/>
      <c r="CE231" s="768"/>
      <c r="CF231" s="768"/>
      <c r="CG231" s="768"/>
      <c r="CH231" s="768"/>
      <c r="CI231" s="768"/>
      <c r="CJ231" s="768"/>
      <c r="CK231" s="768"/>
      <c r="CL231" s="768"/>
      <c r="CM231" s="768"/>
      <c r="CN231" s="768"/>
      <c r="CO231" s="768"/>
      <c r="CP231" s="768"/>
      <c r="CQ231" s="768"/>
      <c r="CR231" s="768"/>
      <c r="CS231" s="768"/>
      <c r="CT231" s="768"/>
      <c r="CU231" s="768"/>
      <c r="CV231" s="768"/>
      <c r="CW231" s="768"/>
      <c r="CX231" s="768"/>
      <c r="CY231" s="768"/>
      <c r="CZ231" s="768"/>
      <c r="DA231" s="768"/>
      <c r="DB231" s="768"/>
      <c r="DC231" s="768"/>
      <c r="DD231" s="768"/>
      <c r="DE231" s="768"/>
      <c r="DF231" s="768"/>
      <c r="DG231" s="768"/>
      <c r="DH231" s="768"/>
      <c r="DI231" s="768"/>
      <c r="DJ231" s="768"/>
      <c r="DK231" s="768"/>
      <c r="DL231" s="768"/>
      <c r="DM231" s="768"/>
      <c r="DN231" s="768"/>
      <c r="DO231" s="768"/>
      <c r="DP231" s="768"/>
      <c r="DQ231" s="768"/>
      <c r="DR231" s="768"/>
      <c r="DS231" s="768"/>
      <c r="DT231" s="768"/>
      <c r="DU231" s="768"/>
      <c r="DV231" s="768"/>
      <c r="DW231" s="768"/>
      <c r="DX231" s="768"/>
      <c r="DY231" s="768"/>
      <c r="DZ231" s="768"/>
      <c r="EA231" s="768"/>
      <c r="EB231" s="768"/>
      <c r="EC231" s="768"/>
      <c r="ED231" s="768"/>
      <c r="EE231" s="768"/>
      <c r="EF231" s="768"/>
      <c r="EG231" s="768"/>
      <c r="EH231" s="768"/>
      <c r="EI231" s="768"/>
      <c r="EJ231" s="768"/>
      <c r="EK231" s="768"/>
      <c r="EL231" s="768"/>
      <c r="EM231" s="768"/>
      <c r="EN231" s="768"/>
      <c r="EO231" s="768"/>
      <c r="EP231" s="768"/>
      <c r="EQ231" s="768"/>
      <c r="ER231" s="768"/>
      <c r="ES231" s="768"/>
      <c r="ET231" s="768"/>
      <c r="EU231" s="768"/>
      <c r="EV231" s="768"/>
      <c r="EW231" s="768"/>
      <c r="EX231" s="768"/>
      <c r="EY231" s="768"/>
      <c r="EZ231" s="768"/>
      <c r="FA231" s="768"/>
      <c r="FB231" s="768"/>
      <c r="FC231" s="768"/>
      <c r="FD231" s="768"/>
      <c r="FE231" s="768"/>
      <c r="FF231" s="768"/>
      <c r="FG231" s="768"/>
      <c r="FH231" s="768"/>
      <c r="FI231" s="768"/>
      <c r="FJ231" s="768"/>
      <c r="FK231" s="768"/>
      <c r="FL231" s="768"/>
      <c r="FM231" s="768"/>
      <c r="FN231" s="768"/>
      <c r="FO231" s="768"/>
      <c r="FP231" s="768"/>
      <c r="FQ231" s="768"/>
      <c r="FR231" s="768"/>
      <c r="FS231" s="768"/>
      <c r="FT231" s="768"/>
      <c r="FU231" s="768"/>
      <c r="FV231" s="768"/>
      <c r="FW231" s="768"/>
      <c r="FX231" s="768"/>
      <c r="FY231" s="768"/>
      <c r="FZ231" s="768"/>
      <c r="GA231" s="768"/>
      <c r="GB231" s="768"/>
      <c r="GC231" s="768"/>
      <c r="GD231" s="768"/>
      <c r="GE231" s="768"/>
      <c r="GF231" s="768"/>
      <c r="GG231" s="768"/>
      <c r="GH231" s="768"/>
      <c r="GI231" s="768"/>
      <c r="GJ231" s="768"/>
      <c r="GK231" s="768"/>
      <c r="GL231" s="768"/>
      <c r="GM231" s="768"/>
      <c r="GN231" s="768"/>
      <c r="GO231" s="768"/>
      <c r="GP231" s="768"/>
      <c r="GQ231" s="768"/>
      <c r="GR231" s="768"/>
      <c r="GS231" s="768"/>
      <c r="GT231" s="768"/>
      <c r="GU231" s="768"/>
      <c r="GV231" s="768"/>
      <c r="GW231" s="768"/>
      <c r="GX231" s="768"/>
      <c r="GY231" s="768"/>
      <c r="GZ231" s="768"/>
      <c r="HA231" s="768"/>
      <c r="HB231" s="768"/>
      <c r="HC231" s="768"/>
      <c r="HD231" s="768"/>
      <c r="HE231" s="768"/>
      <c r="HF231" s="768"/>
      <c r="HG231" s="768"/>
      <c r="HH231" s="768"/>
      <c r="HI231" s="768"/>
      <c r="HJ231" s="768"/>
      <c r="HK231" s="768"/>
      <c r="HL231" s="768"/>
      <c r="HM231" s="768"/>
      <c r="HN231" s="768"/>
      <c r="HO231" s="768"/>
      <c r="HP231" s="768"/>
      <c r="HQ231" s="768"/>
      <c r="HR231" s="768"/>
      <c r="HS231" s="768"/>
      <c r="HT231" s="768"/>
      <c r="HU231" s="768"/>
      <c r="HV231" s="768"/>
      <c r="HW231" s="768"/>
      <c r="HX231" s="768"/>
      <c r="HY231" s="768"/>
      <c r="HZ231" s="768"/>
      <c r="IA231" s="768"/>
      <c r="IB231" s="768"/>
      <c r="IC231" s="768"/>
      <c r="ID231" s="768"/>
      <c r="IE231" s="768"/>
      <c r="IF231" s="768"/>
      <c r="IG231" s="768"/>
      <c r="IH231" s="768"/>
      <c r="II231" s="768"/>
      <c r="IJ231" s="768"/>
      <c r="IK231" s="768"/>
      <c r="IL231" s="768"/>
      <c r="IM231" s="768"/>
      <c r="IN231" s="768"/>
      <c r="IO231" s="768"/>
      <c r="IP231" s="768"/>
      <c r="IQ231" s="768"/>
      <c r="IR231" s="768"/>
      <c r="IS231" s="768"/>
      <c r="IT231" s="768"/>
    </row>
    <row r="232" spans="1:254" ht="77.25" customHeight="1">
      <c r="A232" s="1266" t="s">
        <v>2238</v>
      </c>
      <c r="B232" s="1146" t="s">
        <v>2239</v>
      </c>
      <c r="C232" s="1147"/>
      <c r="D232" s="1147"/>
      <c r="E232" s="1148"/>
      <c r="F232" s="1148"/>
      <c r="G232" s="1237"/>
      <c r="H232" s="1238"/>
      <c r="I232" s="1238"/>
      <c r="J232" s="1237"/>
      <c r="K232" s="1239"/>
      <c r="L232" s="1240"/>
      <c r="M232" s="1229"/>
      <c r="N232" s="1237"/>
      <c r="O232" s="1229"/>
      <c r="P232" s="768"/>
      <c r="Q232" s="768"/>
      <c r="R232" s="768"/>
      <c r="S232" s="768"/>
      <c r="T232" s="768"/>
      <c r="U232" s="768"/>
      <c r="V232" s="768"/>
      <c r="W232" s="768"/>
      <c r="X232" s="768"/>
      <c r="Y232" s="768"/>
      <c r="Z232" s="768"/>
      <c r="AA232" s="768"/>
      <c r="AB232" s="768"/>
      <c r="AC232" s="768"/>
      <c r="AD232" s="768"/>
      <c r="AE232" s="768"/>
      <c r="AF232" s="768"/>
      <c r="AG232" s="768"/>
      <c r="AH232" s="768"/>
      <c r="AI232" s="768"/>
      <c r="AJ232" s="768"/>
      <c r="AK232" s="768"/>
      <c r="AL232" s="768"/>
      <c r="AM232" s="768"/>
      <c r="AN232" s="768"/>
      <c r="AO232" s="768"/>
      <c r="AP232" s="768"/>
      <c r="AQ232" s="768"/>
      <c r="AR232" s="768"/>
      <c r="AS232" s="768"/>
      <c r="AT232" s="768"/>
      <c r="AU232" s="768"/>
      <c r="AV232" s="768"/>
      <c r="AW232" s="768"/>
      <c r="AX232" s="768"/>
      <c r="AY232" s="768"/>
      <c r="AZ232" s="768"/>
      <c r="BA232" s="768"/>
      <c r="BB232" s="768"/>
      <c r="BC232" s="768"/>
      <c r="BD232" s="768"/>
      <c r="BE232" s="768"/>
      <c r="BF232" s="768"/>
      <c r="BG232" s="768"/>
      <c r="BH232" s="768"/>
      <c r="BI232" s="768"/>
      <c r="BJ232" s="768"/>
      <c r="BK232" s="768"/>
      <c r="BL232" s="768"/>
      <c r="BM232" s="768"/>
      <c r="BN232" s="768"/>
      <c r="BO232" s="768"/>
      <c r="BP232" s="768"/>
      <c r="BQ232" s="768"/>
      <c r="BR232" s="768"/>
      <c r="BS232" s="768"/>
      <c r="BT232" s="768"/>
      <c r="BU232" s="768"/>
      <c r="BV232" s="768"/>
      <c r="BW232" s="768"/>
      <c r="BX232" s="768"/>
      <c r="BY232" s="768"/>
      <c r="BZ232" s="768"/>
      <c r="CA232" s="768"/>
      <c r="CB232" s="768"/>
      <c r="CC232" s="768"/>
      <c r="CD232" s="768"/>
      <c r="CE232" s="768"/>
      <c r="CF232" s="768"/>
      <c r="CG232" s="768"/>
      <c r="CH232" s="768"/>
      <c r="CI232" s="768"/>
      <c r="CJ232" s="768"/>
      <c r="CK232" s="768"/>
      <c r="CL232" s="768"/>
      <c r="CM232" s="768"/>
      <c r="CN232" s="768"/>
      <c r="CO232" s="768"/>
      <c r="CP232" s="768"/>
      <c r="CQ232" s="768"/>
      <c r="CR232" s="768"/>
      <c r="CS232" s="768"/>
      <c r="CT232" s="768"/>
      <c r="CU232" s="768"/>
      <c r="CV232" s="768"/>
      <c r="CW232" s="768"/>
      <c r="CX232" s="768"/>
      <c r="CY232" s="768"/>
      <c r="CZ232" s="768"/>
      <c r="DA232" s="768"/>
      <c r="DB232" s="768"/>
      <c r="DC232" s="768"/>
      <c r="DD232" s="768"/>
      <c r="DE232" s="768"/>
      <c r="DF232" s="768"/>
      <c r="DG232" s="768"/>
      <c r="DH232" s="768"/>
      <c r="DI232" s="768"/>
      <c r="DJ232" s="768"/>
      <c r="DK232" s="768"/>
      <c r="DL232" s="768"/>
      <c r="DM232" s="768"/>
      <c r="DN232" s="768"/>
      <c r="DO232" s="768"/>
      <c r="DP232" s="768"/>
      <c r="DQ232" s="768"/>
      <c r="DR232" s="768"/>
      <c r="DS232" s="768"/>
      <c r="DT232" s="768"/>
      <c r="DU232" s="768"/>
      <c r="DV232" s="768"/>
      <c r="DW232" s="768"/>
      <c r="DX232" s="768"/>
      <c r="DY232" s="768"/>
      <c r="DZ232" s="768"/>
      <c r="EA232" s="768"/>
      <c r="EB232" s="768"/>
      <c r="EC232" s="768"/>
      <c r="ED232" s="768"/>
      <c r="EE232" s="768"/>
      <c r="EF232" s="768"/>
      <c r="EG232" s="768"/>
      <c r="EH232" s="768"/>
      <c r="EI232" s="768"/>
      <c r="EJ232" s="768"/>
      <c r="EK232" s="768"/>
      <c r="EL232" s="768"/>
      <c r="EM232" s="768"/>
      <c r="EN232" s="768"/>
      <c r="EO232" s="768"/>
      <c r="EP232" s="768"/>
      <c r="EQ232" s="768"/>
      <c r="ER232" s="768"/>
      <c r="ES232" s="768"/>
      <c r="ET232" s="768"/>
      <c r="EU232" s="768"/>
      <c r="EV232" s="768"/>
      <c r="EW232" s="768"/>
      <c r="EX232" s="768"/>
      <c r="EY232" s="768"/>
      <c r="EZ232" s="768"/>
      <c r="FA232" s="768"/>
      <c r="FB232" s="768"/>
      <c r="FC232" s="768"/>
      <c r="FD232" s="768"/>
      <c r="FE232" s="768"/>
      <c r="FF232" s="768"/>
      <c r="FG232" s="768"/>
      <c r="FH232" s="768"/>
      <c r="FI232" s="768"/>
      <c r="FJ232" s="768"/>
      <c r="FK232" s="768"/>
      <c r="FL232" s="768"/>
      <c r="FM232" s="768"/>
      <c r="FN232" s="768"/>
      <c r="FO232" s="768"/>
      <c r="FP232" s="768"/>
      <c r="FQ232" s="768"/>
      <c r="FR232" s="768"/>
      <c r="FS232" s="768"/>
      <c r="FT232" s="768"/>
      <c r="FU232" s="768"/>
      <c r="FV232" s="768"/>
      <c r="FW232" s="768"/>
      <c r="FX232" s="768"/>
      <c r="FY232" s="768"/>
      <c r="FZ232" s="768"/>
      <c r="GA232" s="768"/>
      <c r="GB232" s="768"/>
      <c r="GC232" s="768"/>
      <c r="GD232" s="768"/>
      <c r="GE232" s="768"/>
      <c r="GF232" s="768"/>
      <c r="GG232" s="768"/>
      <c r="GH232" s="768"/>
      <c r="GI232" s="768"/>
      <c r="GJ232" s="768"/>
      <c r="GK232" s="768"/>
      <c r="GL232" s="768"/>
      <c r="GM232" s="768"/>
      <c r="GN232" s="768"/>
      <c r="GO232" s="768"/>
      <c r="GP232" s="768"/>
      <c r="GQ232" s="768"/>
      <c r="GR232" s="768"/>
      <c r="GS232" s="768"/>
      <c r="GT232" s="768"/>
      <c r="GU232" s="768"/>
      <c r="GV232" s="768"/>
      <c r="GW232" s="768"/>
      <c r="GX232" s="768"/>
      <c r="GY232" s="768"/>
      <c r="GZ232" s="768"/>
      <c r="HA232" s="768"/>
      <c r="HB232" s="768"/>
      <c r="HC232" s="768"/>
      <c r="HD232" s="768"/>
      <c r="HE232" s="768"/>
      <c r="HF232" s="768"/>
      <c r="HG232" s="768"/>
      <c r="HH232" s="768"/>
      <c r="HI232" s="768"/>
      <c r="HJ232" s="768"/>
      <c r="HK232" s="768"/>
      <c r="HL232" s="768"/>
      <c r="HM232" s="768"/>
      <c r="HN232" s="768"/>
      <c r="HO232" s="768"/>
      <c r="HP232" s="768"/>
      <c r="HQ232" s="768"/>
      <c r="HR232" s="768"/>
      <c r="HS232" s="768"/>
      <c r="HT232" s="768"/>
      <c r="HU232" s="768"/>
      <c r="HV232" s="768"/>
      <c r="HW232" s="768"/>
      <c r="HX232" s="768"/>
      <c r="HY232" s="768"/>
      <c r="HZ232" s="768"/>
      <c r="IA232" s="768"/>
      <c r="IB232" s="768"/>
      <c r="IC232" s="768"/>
      <c r="ID232" s="768"/>
      <c r="IE232" s="768"/>
      <c r="IF232" s="768"/>
      <c r="IG232" s="768"/>
      <c r="IH232" s="768"/>
      <c r="II232" s="768"/>
      <c r="IJ232" s="768"/>
      <c r="IK232" s="768"/>
      <c r="IL232" s="768"/>
      <c r="IM232" s="768"/>
      <c r="IN232" s="768"/>
      <c r="IO232" s="768"/>
      <c r="IP232" s="768"/>
      <c r="IQ232" s="768"/>
      <c r="IR232" s="768"/>
      <c r="IS232" s="768"/>
      <c r="IT232" s="768"/>
    </row>
    <row r="233" spans="1:254" ht="12.75" customHeight="1">
      <c r="A233" s="1266" t="s">
        <v>2240</v>
      </c>
      <c r="B233" s="1146" t="s">
        <v>2241</v>
      </c>
      <c r="C233" s="1158"/>
      <c r="D233" s="1158"/>
      <c r="E233" s="1159"/>
      <c r="F233" s="1159"/>
      <c r="G233" s="1237"/>
      <c r="H233" s="1238"/>
      <c r="I233" s="1238"/>
      <c r="J233" s="1237"/>
      <c r="K233" s="1239"/>
      <c r="L233" s="1240"/>
      <c r="M233" s="1229"/>
      <c r="N233" s="1237"/>
      <c r="O233" s="1229"/>
      <c r="P233" s="768"/>
      <c r="Q233" s="768"/>
      <c r="R233" s="768"/>
      <c r="S233" s="768"/>
      <c r="T233" s="768"/>
      <c r="U233" s="768"/>
      <c r="V233" s="768"/>
      <c r="W233" s="768"/>
      <c r="X233" s="768"/>
      <c r="Y233" s="768"/>
      <c r="Z233" s="768"/>
      <c r="AA233" s="768"/>
      <c r="AB233" s="768"/>
      <c r="AC233" s="768"/>
      <c r="AD233" s="768"/>
      <c r="AE233" s="768"/>
      <c r="AF233" s="768"/>
      <c r="AG233" s="768"/>
      <c r="AH233" s="768"/>
      <c r="AI233" s="768"/>
      <c r="AJ233" s="768"/>
      <c r="AK233" s="768"/>
      <c r="AL233" s="768"/>
      <c r="AM233" s="768"/>
      <c r="AN233" s="768"/>
      <c r="AO233" s="768"/>
      <c r="AP233" s="768"/>
      <c r="AQ233" s="768"/>
      <c r="AR233" s="768"/>
      <c r="AS233" s="768"/>
      <c r="AT233" s="768"/>
      <c r="AU233" s="768"/>
      <c r="AV233" s="768"/>
      <c r="AW233" s="768"/>
      <c r="AX233" s="768"/>
      <c r="AY233" s="768"/>
      <c r="AZ233" s="768"/>
      <c r="BA233" s="768"/>
      <c r="BB233" s="768"/>
      <c r="BC233" s="768"/>
      <c r="BD233" s="768"/>
      <c r="BE233" s="768"/>
      <c r="BF233" s="768"/>
      <c r="BG233" s="768"/>
      <c r="BH233" s="768"/>
      <c r="BI233" s="768"/>
      <c r="BJ233" s="768"/>
      <c r="BK233" s="768"/>
      <c r="BL233" s="768"/>
      <c r="BM233" s="768"/>
      <c r="BN233" s="768"/>
      <c r="BO233" s="768"/>
      <c r="BP233" s="768"/>
      <c r="BQ233" s="768"/>
      <c r="BR233" s="768"/>
      <c r="BS233" s="768"/>
      <c r="BT233" s="768"/>
      <c r="BU233" s="768"/>
      <c r="BV233" s="768"/>
      <c r="BW233" s="768"/>
      <c r="BX233" s="768"/>
      <c r="BY233" s="768"/>
      <c r="BZ233" s="768"/>
      <c r="CA233" s="768"/>
      <c r="CB233" s="768"/>
      <c r="CC233" s="768"/>
      <c r="CD233" s="768"/>
      <c r="CE233" s="768"/>
      <c r="CF233" s="768"/>
      <c r="CG233" s="768"/>
      <c r="CH233" s="768"/>
      <c r="CI233" s="768"/>
      <c r="CJ233" s="768"/>
      <c r="CK233" s="768"/>
      <c r="CL233" s="768"/>
      <c r="CM233" s="768"/>
      <c r="CN233" s="768"/>
      <c r="CO233" s="768"/>
      <c r="CP233" s="768"/>
      <c r="CQ233" s="768"/>
      <c r="CR233" s="768"/>
      <c r="CS233" s="768"/>
      <c r="CT233" s="768"/>
      <c r="CU233" s="768"/>
      <c r="CV233" s="768"/>
      <c r="CW233" s="768"/>
      <c r="CX233" s="768"/>
      <c r="CY233" s="768"/>
      <c r="CZ233" s="768"/>
      <c r="DA233" s="768"/>
      <c r="DB233" s="768"/>
      <c r="DC233" s="768"/>
      <c r="DD233" s="768"/>
      <c r="DE233" s="768"/>
      <c r="DF233" s="768"/>
      <c r="DG233" s="768"/>
      <c r="DH233" s="768"/>
      <c r="DI233" s="768"/>
      <c r="DJ233" s="768"/>
      <c r="DK233" s="768"/>
      <c r="DL233" s="768"/>
      <c r="DM233" s="768"/>
      <c r="DN233" s="768"/>
      <c r="DO233" s="768"/>
      <c r="DP233" s="768"/>
      <c r="DQ233" s="768"/>
      <c r="DR233" s="768"/>
      <c r="DS233" s="768"/>
      <c r="DT233" s="768"/>
      <c r="DU233" s="768"/>
      <c r="DV233" s="768"/>
      <c r="DW233" s="768"/>
      <c r="DX233" s="768"/>
      <c r="DY233" s="768"/>
      <c r="DZ233" s="768"/>
      <c r="EA233" s="768"/>
      <c r="EB233" s="768"/>
      <c r="EC233" s="768"/>
      <c r="ED233" s="768"/>
      <c r="EE233" s="768"/>
      <c r="EF233" s="768"/>
      <c r="EG233" s="768"/>
      <c r="EH233" s="768"/>
      <c r="EI233" s="768"/>
      <c r="EJ233" s="768"/>
      <c r="EK233" s="768"/>
      <c r="EL233" s="768"/>
      <c r="EM233" s="768"/>
      <c r="EN233" s="768"/>
      <c r="EO233" s="768"/>
      <c r="EP233" s="768"/>
      <c r="EQ233" s="768"/>
      <c r="ER233" s="768"/>
      <c r="ES233" s="768"/>
      <c r="ET233" s="768"/>
      <c r="EU233" s="768"/>
      <c r="EV233" s="768"/>
      <c r="EW233" s="768"/>
      <c r="EX233" s="768"/>
      <c r="EY233" s="768"/>
      <c r="EZ233" s="768"/>
      <c r="FA233" s="768"/>
      <c r="FB233" s="768"/>
      <c r="FC233" s="768"/>
      <c r="FD233" s="768"/>
      <c r="FE233" s="768"/>
      <c r="FF233" s="768"/>
      <c r="FG233" s="768"/>
      <c r="FH233" s="768"/>
      <c r="FI233" s="768"/>
      <c r="FJ233" s="768"/>
      <c r="FK233" s="768"/>
      <c r="FL233" s="768"/>
      <c r="FM233" s="768"/>
      <c r="FN233" s="768"/>
      <c r="FO233" s="768"/>
      <c r="FP233" s="768"/>
      <c r="FQ233" s="768"/>
      <c r="FR233" s="768"/>
      <c r="FS233" s="768"/>
      <c r="FT233" s="768"/>
      <c r="FU233" s="768"/>
      <c r="FV233" s="768"/>
      <c r="FW233" s="768"/>
      <c r="FX233" s="768"/>
      <c r="FY233" s="768"/>
      <c r="FZ233" s="768"/>
      <c r="GA233" s="768"/>
      <c r="GB233" s="768"/>
      <c r="GC233" s="768"/>
      <c r="GD233" s="768"/>
      <c r="GE233" s="768"/>
      <c r="GF233" s="768"/>
      <c r="GG233" s="768"/>
      <c r="GH233" s="768"/>
      <c r="GI233" s="768"/>
      <c r="GJ233" s="768"/>
      <c r="GK233" s="768"/>
      <c r="GL233" s="768"/>
      <c r="GM233" s="768"/>
      <c r="GN233" s="768"/>
      <c r="GO233" s="768"/>
      <c r="GP233" s="768"/>
      <c r="GQ233" s="768"/>
      <c r="GR233" s="768"/>
      <c r="GS233" s="768"/>
      <c r="GT233" s="768"/>
      <c r="GU233" s="768"/>
      <c r="GV233" s="768"/>
      <c r="GW233" s="768"/>
      <c r="GX233" s="768"/>
      <c r="GY233" s="768"/>
      <c r="GZ233" s="768"/>
      <c r="HA233" s="768"/>
      <c r="HB233" s="768"/>
      <c r="HC233" s="768"/>
      <c r="HD233" s="768"/>
      <c r="HE233" s="768"/>
      <c r="HF233" s="768"/>
      <c r="HG233" s="768"/>
      <c r="HH233" s="768"/>
      <c r="HI233" s="768"/>
      <c r="HJ233" s="768"/>
      <c r="HK233" s="768"/>
      <c r="HL233" s="768"/>
      <c r="HM233" s="768"/>
      <c r="HN233" s="768"/>
      <c r="HO233" s="768"/>
      <c r="HP233" s="768"/>
      <c r="HQ233" s="768"/>
      <c r="HR233" s="768"/>
      <c r="HS233" s="768"/>
      <c r="HT233" s="768"/>
      <c r="HU233" s="768"/>
      <c r="HV233" s="768"/>
      <c r="HW233" s="768"/>
      <c r="HX233" s="768"/>
      <c r="HY233" s="768"/>
      <c r="HZ233" s="768"/>
      <c r="IA233" s="768"/>
      <c r="IB233" s="768"/>
      <c r="IC233" s="768"/>
      <c r="ID233" s="768"/>
      <c r="IE233" s="768"/>
      <c r="IF233" s="768"/>
      <c r="IG233" s="768"/>
      <c r="IH233" s="768"/>
      <c r="II233" s="768"/>
      <c r="IJ233" s="768"/>
      <c r="IK233" s="768"/>
      <c r="IL233" s="768"/>
      <c r="IM233" s="768"/>
      <c r="IN233" s="768"/>
      <c r="IO233" s="768"/>
      <c r="IP233" s="768"/>
      <c r="IQ233" s="768"/>
      <c r="IR233" s="768"/>
      <c r="IS233" s="768"/>
      <c r="IT233" s="768"/>
    </row>
    <row r="234" spans="1:254" ht="12.75" customHeight="1">
      <c r="A234" s="376" t="s">
        <v>2242</v>
      </c>
      <c r="B234" s="1146" t="s">
        <v>2243</v>
      </c>
      <c r="C234" s="1158"/>
      <c r="D234" s="1158"/>
      <c r="E234" s="1159"/>
      <c r="F234" s="1159"/>
      <c r="G234" s="1237"/>
      <c r="H234" s="1238"/>
      <c r="I234" s="1238"/>
      <c r="J234" s="1237"/>
      <c r="K234" s="1239"/>
      <c r="L234" s="1240"/>
      <c r="M234" s="1229"/>
      <c r="N234" s="1237"/>
      <c r="O234" s="1229"/>
      <c r="P234" s="768"/>
      <c r="Q234" s="768"/>
      <c r="R234" s="768"/>
      <c r="S234" s="768"/>
      <c r="T234" s="768"/>
      <c r="U234" s="768"/>
      <c r="V234" s="768"/>
      <c r="W234" s="768"/>
      <c r="X234" s="768"/>
      <c r="Y234" s="768"/>
      <c r="Z234" s="768"/>
      <c r="AA234" s="768"/>
      <c r="AB234" s="768"/>
      <c r="AC234" s="768"/>
      <c r="AD234" s="768"/>
      <c r="AE234" s="768"/>
      <c r="AF234" s="768"/>
      <c r="AG234" s="768"/>
      <c r="AH234" s="768"/>
      <c r="AI234" s="768"/>
      <c r="AJ234" s="768"/>
      <c r="AK234" s="768"/>
      <c r="AL234" s="768"/>
      <c r="AM234" s="768"/>
      <c r="AN234" s="768"/>
      <c r="AO234" s="768"/>
      <c r="AP234" s="768"/>
      <c r="AQ234" s="768"/>
      <c r="AR234" s="768"/>
      <c r="AS234" s="768"/>
      <c r="AT234" s="768"/>
      <c r="AU234" s="768"/>
      <c r="AV234" s="768"/>
      <c r="AW234" s="768"/>
      <c r="AX234" s="768"/>
      <c r="AY234" s="768"/>
      <c r="AZ234" s="768"/>
      <c r="BA234" s="768"/>
      <c r="BB234" s="768"/>
      <c r="BC234" s="768"/>
      <c r="BD234" s="768"/>
      <c r="BE234" s="768"/>
      <c r="BF234" s="768"/>
      <c r="BG234" s="768"/>
      <c r="BH234" s="768"/>
      <c r="BI234" s="768"/>
      <c r="BJ234" s="768"/>
      <c r="BK234" s="768"/>
      <c r="BL234" s="768"/>
      <c r="BM234" s="768"/>
      <c r="BN234" s="768"/>
      <c r="BO234" s="768"/>
      <c r="BP234" s="768"/>
      <c r="BQ234" s="768"/>
      <c r="BR234" s="768"/>
      <c r="BS234" s="768"/>
      <c r="BT234" s="768"/>
      <c r="BU234" s="768"/>
      <c r="BV234" s="768"/>
      <c r="BW234" s="768"/>
      <c r="BX234" s="768"/>
      <c r="BY234" s="768"/>
      <c r="BZ234" s="768"/>
      <c r="CA234" s="768"/>
      <c r="CB234" s="768"/>
      <c r="CC234" s="768"/>
      <c r="CD234" s="768"/>
      <c r="CE234" s="768"/>
      <c r="CF234" s="768"/>
      <c r="CG234" s="768"/>
      <c r="CH234" s="768"/>
      <c r="CI234" s="768"/>
      <c r="CJ234" s="768"/>
      <c r="CK234" s="768"/>
      <c r="CL234" s="768"/>
      <c r="CM234" s="768"/>
      <c r="CN234" s="768"/>
      <c r="CO234" s="768"/>
      <c r="CP234" s="768"/>
      <c r="CQ234" s="768"/>
      <c r="CR234" s="768"/>
      <c r="CS234" s="768"/>
      <c r="CT234" s="768"/>
      <c r="CU234" s="768"/>
      <c r="CV234" s="768"/>
      <c r="CW234" s="768"/>
      <c r="CX234" s="768"/>
      <c r="CY234" s="768"/>
      <c r="CZ234" s="768"/>
      <c r="DA234" s="768"/>
      <c r="DB234" s="768"/>
      <c r="DC234" s="768"/>
      <c r="DD234" s="768"/>
      <c r="DE234" s="768"/>
      <c r="DF234" s="768"/>
      <c r="DG234" s="768"/>
      <c r="DH234" s="768"/>
      <c r="DI234" s="768"/>
      <c r="DJ234" s="768"/>
      <c r="DK234" s="768"/>
      <c r="DL234" s="768"/>
      <c r="DM234" s="768"/>
      <c r="DN234" s="768"/>
      <c r="DO234" s="768"/>
      <c r="DP234" s="768"/>
      <c r="DQ234" s="768"/>
      <c r="DR234" s="768"/>
      <c r="DS234" s="768"/>
      <c r="DT234" s="768"/>
      <c r="DU234" s="768"/>
      <c r="DV234" s="768"/>
      <c r="DW234" s="768"/>
      <c r="DX234" s="768"/>
      <c r="DY234" s="768"/>
      <c r="DZ234" s="768"/>
      <c r="EA234" s="768"/>
      <c r="EB234" s="768"/>
      <c r="EC234" s="768"/>
      <c r="ED234" s="768"/>
      <c r="EE234" s="768"/>
      <c r="EF234" s="768"/>
      <c r="EG234" s="768"/>
      <c r="EH234" s="768"/>
      <c r="EI234" s="768"/>
      <c r="EJ234" s="768"/>
      <c r="EK234" s="768"/>
      <c r="EL234" s="768"/>
      <c r="EM234" s="768"/>
      <c r="EN234" s="768"/>
      <c r="EO234" s="768"/>
      <c r="EP234" s="768"/>
      <c r="EQ234" s="768"/>
      <c r="ER234" s="768"/>
      <c r="ES234" s="768"/>
      <c r="ET234" s="768"/>
      <c r="EU234" s="768"/>
      <c r="EV234" s="768"/>
      <c r="EW234" s="768"/>
      <c r="EX234" s="768"/>
      <c r="EY234" s="768"/>
      <c r="EZ234" s="768"/>
      <c r="FA234" s="768"/>
      <c r="FB234" s="768"/>
      <c r="FC234" s="768"/>
      <c r="FD234" s="768"/>
      <c r="FE234" s="768"/>
      <c r="FF234" s="768"/>
      <c r="FG234" s="768"/>
      <c r="FH234" s="768"/>
      <c r="FI234" s="768"/>
      <c r="FJ234" s="768"/>
      <c r="FK234" s="768"/>
      <c r="FL234" s="768"/>
      <c r="FM234" s="768"/>
      <c r="FN234" s="768"/>
      <c r="FO234" s="768"/>
      <c r="FP234" s="768"/>
      <c r="FQ234" s="768"/>
      <c r="FR234" s="768"/>
      <c r="FS234" s="768"/>
      <c r="FT234" s="768"/>
      <c r="FU234" s="768"/>
      <c r="FV234" s="768"/>
      <c r="FW234" s="768"/>
      <c r="FX234" s="768"/>
      <c r="FY234" s="768"/>
      <c r="FZ234" s="768"/>
      <c r="GA234" s="768"/>
      <c r="GB234" s="768"/>
      <c r="GC234" s="768"/>
      <c r="GD234" s="768"/>
      <c r="GE234" s="768"/>
      <c r="GF234" s="768"/>
      <c r="GG234" s="768"/>
      <c r="GH234" s="768"/>
      <c r="GI234" s="768"/>
      <c r="GJ234" s="768"/>
      <c r="GK234" s="768"/>
      <c r="GL234" s="768"/>
      <c r="GM234" s="768"/>
      <c r="GN234" s="768"/>
      <c r="GO234" s="768"/>
      <c r="GP234" s="768"/>
      <c r="GQ234" s="768"/>
      <c r="GR234" s="768"/>
      <c r="GS234" s="768"/>
      <c r="GT234" s="768"/>
      <c r="GU234" s="768"/>
      <c r="GV234" s="768"/>
      <c r="GW234" s="768"/>
      <c r="GX234" s="768"/>
      <c r="GY234" s="768"/>
      <c r="GZ234" s="768"/>
      <c r="HA234" s="768"/>
      <c r="HB234" s="768"/>
      <c r="HC234" s="768"/>
      <c r="HD234" s="768"/>
      <c r="HE234" s="768"/>
      <c r="HF234" s="768"/>
      <c r="HG234" s="768"/>
      <c r="HH234" s="768"/>
      <c r="HI234" s="768"/>
      <c r="HJ234" s="768"/>
      <c r="HK234" s="768"/>
      <c r="HL234" s="768"/>
      <c r="HM234" s="768"/>
      <c r="HN234" s="768"/>
      <c r="HO234" s="768"/>
      <c r="HP234" s="768"/>
      <c r="HQ234" s="768"/>
      <c r="HR234" s="768"/>
      <c r="HS234" s="768"/>
      <c r="HT234" s="768"/>
      <c r="HU234" s="768"/>
      <c r="HV234" s="768"/>
      <c r="HW234" s="768"/>
      <c r="HX234" s="768"/>
      <c r="HY234" s="768"/>
      <c r="HZ234" s="768"/>
      <c r="IA234" s="768"/>
      <c r="IB234" s="768"/>
      <c r="IC234" s="768"/>
      <c r="ID234" s="768"/>
      <c r="IE234" s="768"/>
      <c r="IF234" s="768"/>
      <c r="IG234" s="768"/>
      <c r="IH234" s="768"/>
      <c r="II234" s="768"/>
      <c r="IJ234" s="768"/>
      <c r="IK234" s="768"/>
      <c r="IL234" s="768"/>
      <c r="IM234" s="768"/>
      <c r="IN234" s="768"/>
      <c r="IO234" s="768"/>
      <c r="IP234" s="768"/>
      <c r="IQ234" s="768"/>
      <c r="IR234" s="768"/>
      <c r="IS234" s="768"/>
      <c r="IT234" s="768"/>
    </row>
    <row r="235" spans="1:254" ht="12.75" customHeight="1">
      <c r="A235" s="1266" t="s">
        <v>2244</v>
      </c>
      <c r="B235" s="1146" t="s">
        <v>2245</v>
      </c>
      <c r="C235" s="1158"/>
      <c r="D235" s="1158"/>
      <c r="E235" s="1159"/>
      <c r="F235" s="1159"/>
      <c r="G235" s="1237"/>
      <c r="H235" s="1238"/>
      <c r="I235" s="1238"/>
      <c r="J235" s="1237"/>
      <c r="K235" s="1239"/>
      <c r="L235" s="1240"/>
      <c r="M235" s="1229"/>
      <c r="N235" s="1237"/>
      <c r="O235" s="1229"/>
      <c r="P235" s="768"/>
      <c r="Q235" s="768"/>
      <c r="R235" s="768"/>
      <c r="S235" s="768"/>
      <c r="T235" s="768"/>
      <c r="U235" s="768"/>
      <c r="V235" s="768"/>
      <c r="W235" s="768"/>
      <c r="X235" s="768"/>
      <c r="Y235" s="768"/>
      <c r="Z235" s="768"/>
      <c r="AA235" s="768"/>
      <c r="AB235" s="768"/>
      <c r="AC235" s="768"/>
      <c r="AD235" s="768"/>
      <c r="AE235" s="768"/>
      <c r="AF235" s="768"/>
      <c r="AG235" s="768"/>
      <c r="AH235" s="768"/>
      <c r="AI235" s="768"/>
      <c r="AJ235" s="768"/>
      <c r="AK235" s="768"/>
      <c r="AL235" s="768"/>
      <c r="AM235" s="768"/>
      <c r="AN235" s="768"/>
      <c r="AO235" s="768"/>
      <c r="AP235" s="768"/>
      <c r="AQ235" s="768"/>
      <c r="AR235" s="768"/>
      <c r="AS235" s="768"/>
      <c r="AT235" s="768"/>
      <c r="AU235" s="768"/>
      <c r="AV235" s="768"/>
      <c r="AW235" s="768"/>
      <c r="AX235" s="768"/>
      <c r="AY235" s="768"/>
      <c r="AZ235" s="768"/>
      <c r="BA235" s="768"/>
      <c r="BB235" s="768"/>
      <c r="BC235" s="768"/>
      <c r="BD235" s="768"/>
      <c r="BE235" s="768"/>
      <c r="BF235" s="768"/>
      <c r="BG235" s="768"/>
      <c r="BH235" s="768"/>
      <c r="BI235" s="768"/>
      <c r="BJ235" s="768"/>
      <c r="BK235" s="768"/>
      <c r="BL235" s="768"/>
      <c r="BM235" s="768"/>
      <c r="BN235" s="768"/>
      <c r="BO235" s="768"/>
      <c r="BP235" s="768"/>
      <c r="BQ235" s="768"/>
      <c r="BR235" s="768"/>
      <c r="BS235" s="768"/>
      <c r="BT235" s="768"/>
      <c r="BU235" s="768"/>
      <c r="BV235" s="768"/>
      <c r="BW235" s="768"/>
      <c r="BX235" s="768"/>
      <c r="BY235" s="768"/>
      <c r="BZ235" s="768"/>
      <c r="CA235" s="768"/>
      <c r="CB235" s="768"/>
      <c r="CC235" s="768"/>
      <c r="CD235" s="768"/>
      <c r="CE235" s="768"/>
      <c r="CF235" s="768"/>
      <c r="CG235" s="768"/>
      <c r="CH235" s="768"/>
      <c r="CI235" s="768"/>
      <c r="CJ235" s="768"/>
      <c r="CK235" s="768"/>
      <c r="CL235" s="768"/>
      <c r="CM235" s="768"/>
      <c r="CN235" s="768"/>
      <c r="CO235" s="768"/>
      <c r="CP235" s="768"/>
      <c r="CQ235" s="768"/>
      <c r="CR235" s="768"/>
      <c r="CS235" s="768"/>
      <c r="CT235" s="768"/>
      <c r="CU235" s="768"/>
      <c r="CV235" s="768"/>
      <c r="CW235" s="768"/>
      <c r="CX235" s="768"/>
      <c r="CY235" s="768"/>
      <c r="CZ235" s="768"/>
      <c r="DA235" s="768"/>
      <c r="DB235" s="768"/>
      <c r="DC235" s="768"/>
      <c r="DD235" s="768"/>
      <c r="DE235" s="768"/>
      <c r="DF235" s="768"/>
      <c r="DG235" s="768"/>
      <c r="DH235" s="768"/>
      <c r="DI235" s="768"/>
      <c r="DJ235" s="768"/>
      <c r="DK235" s="768"/>
      <c r="DL235" s="768"/>
      <c r="DM235" s="768"/>
      <c r="DN235" s="768"/>
      <c r="DO235" s="768"/>
      <c r="DP235" s="768"/>
      <c r="DQ235" s="768"/>
      <c r="DR235" s="768"/>
      <c r="DS235" s="768"/>
      <c r="DT235" s="768"/>
      <c r="DU235" s="768"/>
      <c r="DV235" s="768"/>
      <c r="DW235" s="768"/>
      <c r="DX235" s="768"/>
      <c r="DY235" s="768"/>
      <c r="DZ235" s="768"/>
      <c r="EA235" s="768"/>
      <c r="EB235" s="768"/>
      <c r="EC235" s="768"/>
      <c r="ED235" s="768"/>
      <c r="EE235" s="768"/>
      <c r="EF235" s="768"/>
      <c r="EG235" s="768"/>
      <c r="EH235" s="768"/>
      <c r="EI235" s="768"/>
      <c r="EJ235" s="768"/>
      <c r="EK235" s="768"/>
      <c r="EL235" s="768"/>
      <c r="EM235" s="768"/>
      <c r="EN235" s="768"/>
      <c r="EO235" s="768"/>
      <c r="EP235" s="768"/>
      <c r="EQ235" s="768"/>
      <c r="ER235" s="768"/>
      <c r="ES235" s="768"/>
      <c r="ET235" s="768"/>
      <c r="EU235" s="768"/>
      <c r="EV235" s="768"/>
      <c r="EW235" s="768"/>
      <c r="EX235" s="768"/>
      <c r="EY235" s="768"/>
      <c r="EZ235" s="768"/>
      <c r="FA235" s="768"/>
      <c r="FB235" s="768"/>
      <c r="FC235" s="768"/>
      <c r="FD235" s="768"/>
      <c r="FE235" s="768"/>
      <c r="FF235" s="768"/>
      <c r="FG235" s="768"/>
      <c r="FH235" s="768"/>
      <c r="FI235" s="768"/>
      <c r="FJ235" s="768"/>
      <c r="FK235" s="768"/>
      <c r="FL235" s="768"/>
      <c r="FM235" s="768"/>
      <c r="FN235" s="768"/>
      <c r="FO235" s="768"/>
      <c r="FP235" s="768"/>
      <c r="FQ235" s="768"/>
      <c r="FR235" s="768"/>
      <c r="FS235" s="768"/>
      <c r="FT235" s="768"/>
      <c r="FU235" s="768"/>
      <c r="FV235" s="768"/>
      <c r="FW235" s="768"/>
      <c r="FX235" s="768"/>
      <c r="FY235" s="768"/>
      <c r="FZ235" s="768"/>
      <c r="GA235" s="768"/>
      <c r="GB235" s="768"/>
      <c r="GC235" s="768"/>
      <c r="GD235" s="768"/>
      <c r="GE235" s="768"/>
      <c r="GF235" s="768"/>
      <c r="GG235" s="768"/>
      <c r="GH235" s="768"/>
      <c r="GI235" s="768"/>
      <c r="GJ235" s="768"/>
      <c r="GK235" s="768"/>
      <c r="GL235" s="768"/>
      <c r="GM235" s="768"/>
      <c r="GN235" s="768"/>
      <c r="GO235" s="768"/>
      <c r="GP235" s="768"/>
      <c r="GQ235" s="768"/>
      <c r="GR235" s="768"/>
      <c r="GS235" s="768"/>
      <c r="GT235" s="768"/>
      <c r="GU235" s="768"/>
      <c r="GV235" s="768"/>
      <c r="GW235" s="768"/>
      <c r="GX235" s="768"/>
      <c r="GY235" s="768"/>
      <c r="GZ235" s="768"/>
      <c r="HA235" s="768"/>
      <c r="HB235" s="768"/>
      <c r="HC235" s="768"/>
      <c r="HD235" s="768"/>
      <c r="HE235" s="768"/>
      <c r="HF235" s="768"/>
      <c r="HG235" s="768"/>
      <c r="HH235" s="768"/>
      <c r="HI235" s="768"/>
      <c r="HJ235" s="768"/>
      <c r="HK235" s="768"/>
      <c r="HL235" s="768"/>
      <c r="HM235" s="768"/>
      <c r="HN235" s="768"/>
      <c r="HO235" s="768"/>
      <c r="HP235" s="768"/>
      <c r="HQ235" s="768"/>
      <c r="HR235" s="768"/>
      <c r="HS235" s="768"/>
      <c r="HT235" s="768"/>
      <c r="HU235" s="768"/>
      <c r="HV235" s="768"/>
      <c r="HW235" s="768"/>
      <c r="HX235" s="768"/>
      <c r="HY235" s="768"/>
      <c r="HZ235" s="768"/>
      <c r="IA235" s="768"/>
      <c r="IB235" s="768"/>
      <c r="IC235" s="768"/>
      <c r="ID235" s="768"/>
      <c r="IE235" s="768"/>
      <c r="IF235" s="768"/>
      <c r="IG235" s="768"/>
      <c r="IH235" s="768"/>
      <c r="II235" s="768"/>
      <c r="IJ235" s="768"/>
      <c r="IK235" s="768"/>
      <c r="IL235" s="768"/>
      <c r="IM235" s="768"/>
      <c r="IN235" s="768"/>
      <c r="IO235" s="768"/>
      <c r="IP235" s="768"/>
      <c r="IQ235" s="768"/>
      <c r="IR235" s="768"/>
      <c r="IS235" s="768"/>
      <c r="IT235" s="768"/>
    </row>
    <row r="236" spans="1:254" ht="12.75" customHeight="1">
      <c r="A236" s="376" t="s">
        <v>2246</v>
      </c>
      <c r="B236" s="1146" t="s">
        <v>2247</v>
      </c>
      <c r="C236" s="1158"/>
      <c r="D236" s="1158"/>
      <c r="E236" s="1159"/>
      <c r="F236" s="1159"/>
      <c r="G236" s="1237"/>
      <c r="H236" s="1238"/>
      <c r="I236" s="1238"/>
      <c r="J236" s="1237"/>
      <c r="K236" s="1239"/>
      <c r="L236" s="1240"/>
      <c r="M236" s="1229"/>
      <c r="N236" s="1237"/>
      <c r="O236" s="1229"/>
      <c r="P236" s="768"/>
      <c r="Q236" s="768"/>
      <c r="R236" s="768"/>
      <c r="S236" s="768"/>
      <c r="T236" s="768"/>
      <c r="U236" s="768"/>
      <c r="V236" s="768"/>
      <c r="W236" s="768"/>
      <c r="X236" s="768"/>
      <c r="Y236" s="768"/>
      <c r="Z236" s="768"/>
      <c r="AA236" s="768"/>
      <c r="AB236" s="768"/>
      <c r="AC236" s="768"/>
      <c r="AD236" s="768"/>
      <c r="AE236" s="768"/>
      <c r="AF236" s="768"/>
      <c r="AG236" s="768"/>
      <c r="AH236" s="768"/>
      <c r="AI236" s="768"/>
      <c r="AJ236" s="768"/>
      <c r="AK236" s="768"/>
      <c r="AL236" s="768"/>
      <c r="AM236" s="768"/>
      <c r="AN236" s="768"/>
      <c r="AO236" s="768"/>
      <c r="AP236" s="768"/>
      <c r="AQ236" s="768"/>
      <c r="AR236" s="768"/>
      <c r="AS236" s="768"/>
      <c r="AT236" s="768"/>
      <c r="AU236" s="768"/>
      <c r="AV236" s="768"/>
      <c r="AW236" s="768"/>
      <c r="AX236" s="768"/>
      <c r="AY236" s="768"/>
      <c r="AZ236" s="768"/>
      <c r="BA236" s="768"/>
      <c r="BB236" s="768"/>
      <c r="BC236" s="768"/>
      <c r="BD236" s="768"/>
      <c r="BE236" s="768"/>
      <c r="BF236" s="768"/>
      <c r="BG236" s="768"/>
      <c r="BH236" s="768"/>
      <c r="BI236" s="768"/>
      <c r="BJ236" s="768"/>
      <c r="BK236" s="768"/>
      <c r="BL236" s="768"/>
      <c r="BM236" s="768"/>
      <c r="BN236" s="768"/>
      <c r="BO236" s="768"/>
      <c r="BP236" s="768"/>
      <c r="BQ236" s="768"/>
      <c r="BR236" s="768"/>
      <c r="BS236" s="768"/>
      <c r="BT236" s="768"/>
      <c r="BU236" s="768"/>
      <c r="BV236" s="768"/>
      <c r="BW236" s="768"/>
      <c r="BX236" s="768"/>
      <c r="BY236" s="768"/>
      <c r="BZ236" s="768"/>
      <c r="CA236" s="768"/>
      <c r="CB236" s="768"/>
      <c r="CC236" s="768"/>
      <c r="CD236" s="768"/>
      <c r="CE236" s="768"/>
      <c r="CF236" s="768"/>
      <c r="CG236" s="768"/>
      <c r="CH236" s="768"/>
      <c r="CI236" s="768"/>
      <c r="CJ236" s="768"/>
      <c r="CK236" s="768"/>
      <c r="CL236" s="768"/>
      <c r="CM236" s="768"/>
      <c r="CN236" s="768"/>
      <c r="CO236" s="768"/>
      <c r="CP236" s="768"/>
      <c r="CQ236" s="768"/>
      <c r="CR236" s="768"/>
      <c r="CS236" s="768"/>
      <c r="CT236" s="768"/>
      <c r="CU236" s="768"/>
      <c r="CV236" s="768"/>
      <c r="CW236" s="768"/>
      <c r="CX236" s="768"/>
      <c r="CY236" s="768"/>
      <c r="CZ236" s="768"/>
      <c r="DA236" s="768"/>
      <c r="DB236" s="768"/>
      <c r="DC236" s="768"/>
      <c r="DD236" s="768"/>
      <c r="DE236" s="768"/>
      <c r="DF236" s="768"/>
      <c r="DG236" s="768"/>
      <c r="DH236" s="768"/>
      <c r="DI236" s="768"/>
      <c r="DJ236" s="768"/>
      <c r="DK236" s="768"/>
      <c r="DL236" s="768"/>
      <c r="DM236" s="768"/>
      <c r="DN236" s="768"/>
      <c r="DO236" s="768"/>
      <c r="DP236" s="768"/>
      <c r="DQ236" s="768"/>
      <c r="DR236" s="768"/>
      <c r="DS236" s="768"/>
      <c r="DT236" s="768"/>
      <c r="DU236" s="768"/>
      <c r="DV236" s="768"/>
      <c r="DW236" s="768"/>
      <c r="DX236" s="768"/>
      <c r="DY236" s="768"/>
      <c r="DZ236" s="768"/>
      <c r="EA236" s="768"/>
      <c r="EB236" s="768"/>
      <c r="EC236" s="768"/>
      <c r="ED236" s="768"/>
      <c r="EE236" s="768"/>
      <c r="EF236" s="768"/>
      <c r="EG236" s="768"/>
      <c r="EH236" s="768"/>
      <c r="EI236" s="768"/>
      <c r="EJ236" s="768"/>
      <c r="EK236" s="768"/>
      <c r="EL236" s="768"/>
      <c r="EM236" s="768"/>
      <c r="EN236" s="768"/>
      <c r="EO236" s="768"/>
      <c r="EP236" s="768"/>
      <c r="EQ236" s="768"/>
      <c r="ER236" s="768"/>
      <c r="ES236" s="768"/>
      <c r="ET236" s="768"/>
      <c r="EU236" s="768"/>
      <c r="EV236" s="768"/>
      <c r="EW236" s="768"/>
      <c r="EX236" s="768"/>
      <c r="EY236" s="768"/>
      <c r="EZ236" s="768"/>
      <c r="FA236" s="768"/>
      <c r="FB236" s="768"/>
      <c r="FC236" s="768"/>
      <c r="FD236" s="768"/>
      <c r="FE236" s="768"/>
      <c r="FF236" s="768"/>
      <c r="FG236" s="768"/>
      <c r="FH236" s="768"/>
      <c r="FI236" s="768"/>
      <c r="FJ236" s="768"/>
      <c r="FK236" s="768"/>
      <c r="FL236" s="768"/>
      <c r="FM236" s="768"/>
      <c r="FN236" s="768"/>
      <c r="FO236" s="768"/>
      <c r="FP236" s="768"/>
      <c r="FQ236" s="768"/>
      <c r="FR236" s="768"/>
      <c r="FS236" s="768"/>
      <c r="FT236" s="768"/>
      <c r="FU236" s="768"/>
      <c r="FV236" s="768"/>
      <c r="FW236" s="768"/>
      <c r="FX236" s="768"/>
      <c r="FY236" s="768"/>
      <c r="FZ236" s="768"/>
      <c r="GA236" s="768"/>
      <c r="GB236" s="768"/>
      <c r="GC236" s="768"/>
      <c r="GD236" s="768"/>
      <c r="GE236" s="768"/>
      <c r="GF236" s="768"/>
      <c r="GG236" s="768"/>
      <c r="GH236" s="768"/>
      <c r="GI236" s="768"/>
      <c r="GJ236" s="768"/>
      <c r="GK236" s="768"/>
      <c r="GL236" s="768"/>
      <c r="GM236" s="768"/>
      <c r="GN236" s="768"/>
      <c r="GO236" s="768"/>
      <c r="GP236" s="768"/>
      <c r="GQ236" s="768"/>
      <c r="GR236" s="768"/>
      <c r="GS236" s="768"/>
      <c r="GT236" s="768"/>
      <c r="GU236" s="768"/>
      <c r="GV236" s="768"/>
      <c r="GW236" s="768"/>
      <c r="GX236" s="768"/>
      <c r="GY236" s="768"/>
      <c r="GZ236" s="768"/>
      <c r="HA236" s="768"/>
      <c r="HB236" s="768"/>
      <c r="HC236" s="768"/>
      <c r="HD236" s="768"/>
      <c r="HE236" s="768"/>
      <c r="HF236" s="768"/>
      <c r="HG236" s="768"/>
      <c r="HH236" s="768"/>
      <c r="HI236" s="768"/>
      <c r="HJ236" s="768"/>
      <c r="HK236" s="768"/>
      <c r="HL236" s="768"/>
      <c r="HM236" s="768"/>
      <c r="HN236" s="768"/>
      <c r="HO236" s="768"/>
      <c r="HP236" s="768"/>
      <c r="HQ236" s="768"/>
      <c r="HR236" s="768"/>
      <c r="HS236" s="768"/>
      <c r="HT236" s="768"/>
      <c r="HU236" s="768"/>
      <c r="HV236" s="768"/>
      <c r="HW236" s="768"/>
      <c r="HX236" s="768"/>
      <c r="HY236" s="768"/>
      <c r="HZ236" s="768"/>
      <c r="IA236" s="768"/>
      <c r="IB236" s="768"/>
      <c r="IC236" s="768"/>
      <c r="ID236" s="768"/>
      <c r="IE236" s="768"/>
      <c r="IF236" s="768"/>
      <c r="IG236" s="768"/>
      <c r="IH236" s="768"/>
      <c r="II236" s="768"/>
      <c r="IJ236" s="768"/>
      <c r="IK236" s="768"/>
      <c r="IL236" s="768"/>
      <c r="IM236" s="768"/>
      <c r="IN236" s="768"/>
      <c r="IO236" s="768"/>
      <c r="IP236" s="768"/>
      <c r="IQ236" s="768"/>
      <c r="IR236" s="768"/>
      <c r="IS236" s="768"/>
      <c r="IT236" s="768"/>
    </row>
    <row r="237" spans="1:254" ht="12.75" customHeight="1">
      <c r="A237" s="376" t="s">
        <v>2248</v>
      </c>
      <c r="B237" s="1146" t="s">
        <v>2249</v>
      </c>
      <c r="C237" s="1147"/>
      <c r="D237" s="1147"/>
      <c r="E237" s="1161"/>
      <c r="F237" s="1161"/>
      <c r="G237" s="1237"/>
      <c r="H237" s="1238"/>
      <c r="I237" s="1238"/>
      <c r="J237" s="1237"/>
      <c r="K237" s="1239"/>
      <c r="L237" s="1240"/>
      <c r="M237" s="1229"/>
      <c r="N237" s="1237"/>
      <c r="O237" s="1229"/>
      <c r="P237" s="768"/>
      <c r="Q237" s="768"/>
      <c r="R237" s="768"/>
      <c r="S237" s="768"/>
      <c r="T237" s="768"/>
      <c r="U237" s="768"/>
      <c r="V237" s="768"/>
      <c r="W237" s="768"/>
      <c r="X237" s="768"/>
      <c r="Y237" s="768"/>
      <c r="Z237" s="768"/>
      <c r="AA237" s="768"/>
      <c r="AB237" s="768"/>
      <c r="AC237" s="768"/>
      <c r="AD237" s="768"/>
      <c r="AE237" s="768"/>
      <c r="AF237" s="768"/>
      <c r="AG237" s="768"/>
      <c r="AH237" s="768"/>
      <c r="AI237" s="768"/>
      <c r="AJ237" s="768"/>
      <c r="AK237" s="768"/>
      <c r="AL237" s="768"/>
      <c r="AM237" s="768"/>
      <c r="AN237" s="768"/>
      <c r="AO237" s="768"/>
      <c r="AP237" s="768"/>
      <c r="AQ237" s="768"/>
      <c r="AR237" s="768"/>
      <c r="AS237" s="768"/>
      <c r="AT237" s="768"/>
      <c r="AU237" s="768"/>
      <c r="AV237" s="768"/>
      <c r="AW237" s="768"/>
      <c r="AX237" s="768"/>
      <c r="AY237" s="768"/>
      <c r="AZ237" s="768"/>
      <c r="BA237" s="768"/>
      <c r="BB237" s="768"/>
      <c r="BC237" s="768"/>
      <c r="BD237" s="768"/>
      <c r="BE237" s="768"/>
      <c r="BF237" s="768"/>
      <c r="BG237" s="768"/>
      <c r="BH237" s="768"/>
      <c r="BI237" s="768"/>
      <c r="BJ237" s="768"/>
      <c r="BK237" s="768"/>
      <c r="BL237" s="768"/>
      <c r="BM237" s="768"/>
      <c r="BN237" s="768"/>
      <c r="BO237" s="768"/>
      <c r="BP237" s="768"/>
      <c r="BQ237" s="768"/>
      <c r="BR237" s="768"/>
      <c r="BS237" s="768"/>
      <c r="BT237" s="768"/>
      <c r="BU237" s="768"/>
      <c r="BV237" s="768"/>
      <c r="BW237" s="768"/>
      <c r="BX237" s="768"/>
      <c r="BY237" s="768"/>
      <c r="BZ237" s="768"/>
      <c r="CA237" s="768"/>
      <c r="CB237" s="768"/>
      <c r="CC237" s="768"/>
      <c r="CD237" s="768"/>
      <c r="CE237" s="768"/>
      <c r="CF237" s="768"/>
      <c r="CG237" s="768"/>
      <c r="CH237" s="768"/>
      <c r="CI237" s="768"/>
      <c r="CJ237" s="768"/>
      <c r="CK237" s="768"/>
      <c r="CL237" s="768"/>
      <c r="CM237" s="768"/>
      <c r="CN237" s="768"/>
      <c r="CO237" s="768"/>
      <c r="CP237" s="768"/>
      <c r="CQ237" s="768"/>
      <c r="CR237" s="768"/>
      <c r="CS237" s="768"/>
      <c r="CT237" s="768"/>
      <c r="CU237" s="768"/>
      <c r="CV237" s="768"/>
      <c r="CW237" s="768"/>
      <c r="CX237" s="768"/>
      <c r="CY237" s="768"/>
      <c r="CZ237" s="768"/>
      <c r="DA237" s="768"/>
      <c r="DB237" s="768"/>
      <c r="DC237" s="768"/>
      <c r="DD237" s="768"/>
      <c r="DE237" s="768"/>
      <c r="DF237" s="768"/>
      <c r="DG237" s="768"/>
      <c r="DH237" s="768"/>
      <c r="DI237" s="768"/>
      <c r="DJ237" s="768"/>
      <c r="DK237" s="768"/>
      <c r="DL237" s="768"/>
      <c r="DM237" s="768"/>
      <c r="DN237" s="768"/>
      <c r="DO237" s="768"/>
      <c r="DP237" s="768"/>
      <c r="DQ237" s="768"/>
      <c r="DR237" s="768"/>
      <c r="DS237" s="768"/>
      <c r="DT237" s="768"/>
      <c r="DU237" s="768"/>
      <c r="DV237" s="768"/>
      <c r="DW237" s="768"/>
      <c r="DX237" s="768"/>
      <c r="DY237" s="768"/>
      <c r="DZ237" s="768"/>
      <c r="EA237" s="768"/>
      <c r="EB237" s="768"/>
      <c r="EC237" s="768"/>
      <c r="ED237" s="768"/>
      <c r="EE237" s="768"/>
      <c r="EF237" s="768"/>
      <c r="EG237" s="768"/>
      <c r="EH237" s="768"/>
      <c r="EI237" s="768"/>
      <c r="EJ237" s="768"/>
      <c r="EK237" s="768"/>
      <c r="EL237" s="768"/>
      <c r="EM237" s="768"/>
      <c r="EN237" s="768"/>
      <c r="EO237" s="768"/>
      <c r="EP237" s="768"/>
      <c r="EQ237" s="768"/>
      <c r="ER237" s="768"/>
      <c r="ES237" s="768"/>
      <c r="ET237" s="768"/>
      <c r="EU237" s="768"/>
      <c r="EV237" s="768"/>
      <c r="EW237" s="768"/>
      <c r="EX237" s="768"/>
      <c r="EY237" s="768"/>
      <c r="EZ237" s="768"/>
      <c r="FA237" s="768"/>
      <c r="FB237" s="768"/>
      <c r="FC237" s="768"/>
      <c r="FD237" s="768"/>
      <c r="FE237" s="768"/>
      <c r="FF237" s="768"/>
      <c r="FG237" s="768"/>
      <c r="FH237" s="768"/>
      <c r="FI237" s="768"/>
      <c r="FJ237" s="768"/>
      <c r="FK237" s="768"/>
      <c r="FL237" s="768"/>
      <c r="FM237" s="768"/>
      <c r="FN237" s="768"/>
      <c r="FO237" s="768"/>
      <c r="FP237" s="768"/>
      <c r="FQ237" s="768"/>
      <c r="FR237" s="768"/>
      <c r="FS237" s="768"/>
      <c r="FT237" s="768"/>
      <c r="FU237" s="768"/>
      <c r="FV237" s="768"/>
      <c r="FW237" s="768"/>
      <c r="FX237" s="768"/>
      <c r="FY237" s="768"/>
      <c r="FZ237" s="768"/>
      <c r="GA237" s="768"/>
      <c r="GB237" s="768"/>
      <c r="GC237" s="768"/>
      <c r="GD237" s="768"/>
      <c r="GE237" s="768"/>
      <c r="GF237" s="768"/>
      <c r="GG237" s="768"/>
      <c r="GH237" s="768"/>
      <c r="GI237" s="768"/>
      <c r="GJ237" s="768"/>
      <c r="GK237" s="768"/>
      <c r="GL237" s="768"/>
      <c r="GM237" s="768"/>
      <c r="GN237" s="768"/>
      <c r="GO237" s="768"/>
      <c r="GP237" s="768"/>
      <c r="GQ237" s="768"/>
      <c r="GR237" s="768"/>
      <c r="GS237" s="768"/>
      <c r="GT237" s="768"/>
      <c r="GU237" s="768"/>
      <c r="GV237" s="768"/>
      <c r="GW237" s="768"/>
      <c r="GX237" s="768"/>
      <c r="GY237" s="768"/>
      <c r="GZ237" s="768"/>
      <c r="HA237" s="768"/>
      <c r="HB237" s="768"/>
      <c r="HC237" s="768"/>
      <c r="HD237" s="768"/>
      <c r="HE237" s="768"/>
      <c r="HF237" s="768"/>
      <c r="HG237" s="768"/>
      <c r="HH237" s="768"/>
      <c r="HI237" s="768"/>
      <c r="HJ237" s="768"/>
      <c r="HK237" s="768"/>
      <c r="HL237" s="768"/>
      <c r="HM237" s="768"/>
      <c r="HN237" s="768"/>
      <c r="HO237" s="768"/>
      <c r="HP237" s="768"/>
      <c r="HQ237" s="768"/>
      <c r="HR237" s="768"/>
      <c r="HS237" s="768"/>
      <c r="HT237" s="768"/>
      <c r="HU237" s="768"/>
      <c r="HV237" s="768"/>
      <c r="HW237" s="768"/>
      <c r="HX237" s="768"/>
      <c r="HY237" s="768"/>
      <c r="HZ237" s="768"/>
      <c r="IA237" s="768"/>
      <c r="IB237" s="768"/>
      <c r="IC237" s="768"/>
      <c r="ID237" s="768"/>
      <c r="IE237" s="768"/>
      <c r="IF237" s="768"/>
      <c r="IG237" s="768"/>
      <c r="IH237" s="768"/>
      <c r="II237" s="768"/>
      <c r="IJ237" s="768"/>
      <c r="IK237" s="768"/>
      <c r="IL237" s="768"/>
      <c r="IM237" s="768"/>
      <c r="IN237" s="768"/>
      <c r="IO237" s="768"/>
      <c r="IP237" s="768"/>
      <c r="IQ237" s="768"/>
      <c r="IR237" s="768"/>
      <c r="IS237" s="768"/>
      <c r="IT237" s="768"/>
    </row>
    <row r="238" spans="1:254" ht="12.75" customHeight="1">
      <c r="A238" s="376"/>
      <c r="B238" s="1161"/>
      <c r="C238" s="1161"/>
      <c r="D238" s="1161"/>
      <c r="E238" s="1161"/>
      <c r="F238" s="1161"/>
      <c r="G238" s="1237"/>
      <c r="H238" s="1238"/>
      <c r="I238" s="1238"/>
      <c r="J238" s="1237"/>
      <c r="K238" s="1239"/>
      <c r="L238" s="1240"/>
      <c r="M238" s="1229"/>
      <c r="N238" s="1237"/>
      <c r="O238" s="1229"/>
      <c r="P238" s="768"/>
      <c r="Q238" s="768"/>
      <c r="R238" s="768"/>
      <c r="S238" s="768"/>
      <c r="T238" s="768"/>
      <c r="U238" s="768"/>
      <c r="V238" s="768"/>
      <c r="W238" s="768"/>
      <c r="X238" s="768"/>
      <c r="Y238" s="768"/>
      <c r="Z238" s="768"/>
      <c r="AA238" s="768"/>
      <c r="AB238" s="768"/>
      <c r="AC238" s="768"/>
      <c r="AD238" s="768"/>
      <c r="AE238" s="768"/>
      <c r="AF238" s="768"/>
      <c r="AG238" s="768"/>
      <c r="AH238" s="768"/>
      <c r="AI238" s="768"/>
      <c r="AJ238" s="768"/>
      <c r="AK238" s="768"/>
      <c r="AL238" s="768"/>
      <c r="AM238" s="768"/>
      <c r="AN238" s="768"/>
      <c r="AO238" s="768"/>
      <c r="AP238" s="768"/>
      <c r="AQ238" s="768"/>
      <c r="AR238" s="768"/>
      <c r="AS238" s="768"/>
      <c r="AT238" s="768"/>
      <c r="AU238" s="768"/>
      <c r="AV238" s="768"/>
      <c r="AW238" s="768"/>
      <c r="AX238" s="768"/>
      <c r="AY238" s="768"/>
      <c r="AZ238" s="768"/>
      <c r="BA238" s="768"/>
      <c r="BB238" s="768"/>
      <c r="BC238" s="768"/>
      <c r="BD238" s="768"/>
      <c r="BE238" s="768"/>
      <c r="BF238" s="768"/>
      <c r="BG238" s="768"/>
      <c r="BH238" s="768"/>
      <c r="BI238" s="768"/>
      <c r="BJ238" s="768"/>
      <c r="BK238" s="768"/>
      <c r="BL238" s="768"/>
      <c r="BM238" s="768"/>
      <c r="BN238" s="768"/>
      <c r="BO238" s="768"/>
      <c r="BP238" s="768"/>
      <c r="BQ238" s="768"/>
      <c r="BR238" s="768"/>
      <c r="BS238" s="768"/>
      <c r="BT238" s="768"/>
      <c r="BU238" s="768"/>
      <c r="BV238" s="768"/>
      <c r="BW238" s="768"/>
      <c r="BX238" s="768"/>
      <c r="BY238" s="768"/>
      <c r="BZ238" s="768"/>
      <c r="CA238" s="768"/>
      <c r="CB238" s="768"/>
      <c r="CC238" s="768"/>
      <c r="CD238" s="768"/>
      <c r="CE238" s="768"/>
      <c r="CF238" s="768"/>
      <c r="CG238" s="768"/>
      <c r="CH238" s="768"/>
      <c r="CI238" s="768"/>
      <c r="CJ238" s="768"/>
      <c r="CK238" s="768"/>
      <c r="CL238" s="768"/>
      <c r="CM238" s="768"/>
      <c r="CN238" s="768"/>
      <c r="CO238" s="768"/>
      <c r="CP238" s="768"/>
      <c r="CQ238" s="768"/>
      <c r="CR238" s="768"/>
      <c r="CS238" s="768"/>
      <c r="CT238" s="768"/>
      <c r="CU238" s="768"/>
      <c r="CV238" s="768"/>
      <c r="CW238" s="768"/>
      <c r="CX238" s="768"/>
      <c r="CY238" s="768"/>
      <c r="CZ238" s="768"/>
      <c r="DA238" s="768"/>
      <c r="DB238" s="768"/>
      <c r="DC238" s="768"/>
      <c r="DD238" s="768"/>
      <c r="DE238" s="768"/>
      <c r="DF238" s="768"/>
      <c r="DG238" s="768"/>
      <c r="DH238" s="768"/>
      <c r="DI238" s="768"/>
      <c r="DJ238" s="768"/>
      <c r="DK238" s="768"/>
      <c r="DL238" s="768"/>
      <c r="DM238" s="768"/>
      <c r="DN238" s="768"/>
      <c r="DO238" s="768"/>
      <c r="DP238" s="768"/>
      <c r="DQ238" s="768"/>
      <c r="DR238" s="768"/>
      <c r="DS238" s="768"/>
      <c r="DT238" s="768"/>
      <c r="DU238" s="768"/>
      <c r="DV238" s="768"/>
      <c r="DW238" s="768"/>
      <c r="DX238" s="768"/>
      <c r="DY238" s="768"/>
      <c r="DZ238" s="768"/>
      <c r="EA238" s="768"/>
      <c r="EB238" s="768"/>
      <c r="EC238" s="768"/>
      <c r="ED238" s="768"/>
      <c r="EE238" s="768"/>
      <c r="EF238" s="768"/>
      <c r="EG238" s="768"/>
      <c r="EH238" s="768"/>
      <c r="EI238" s="768"/>
      <c r="EJ238" s="768"/>
      <c r="EK238" s="768"/>
      <c r="EL238" s="768"/>
      <c r="EM238" s="768"/>
      <c r="EN238" s="768"/>
      <c r="EO238" s="768"/>
      <c r="EP238" s="768"/>
      <c r="EQ238" s="768"/>
      <c r="ER238" s="768"/>
      <c r="ES238" s="768"/>
      <c r="ET238" s="768"/>
      <c r="EU238" s="768"/>
      <c r="EV238" s="768"/>
      <c r="EW238" s="768"/>
      <c r="EX238" s="768"/>
      <c r="EY238" s="768"/>
      <c r="EZ238" s="768"/>
      <c r="FA238" s="768"/>
      <c r="FB238" s="768"/>
      <c r="FC238" s="768"/>
      <c r="FD238" s="768"/>
      <c r="FE238" s="768"/>
      <c r="FF238" s="768"/>
      <c r="FG238" s="768"/>
      <c r="FH238" s="768"/>
      <c r="FI238" s="768"/>
      <c r="FJ238" s="768"/>
      <c r="FK238" s="768"/>
      <c r="FL238" s="768"/>
      <c r="FM238" s="768"/>
      <c r="FN238" s="768"/>
      <c r="FO238" s="768"/>
      <c r="FP238" s="768"/>
      <c r="FQ238" s="768"/>
      <c r="FR238" s="768"/>
      <c r="FS238" s="768"/>
      <c r="FT238" s="768"/>
      <c r="FU238" s="768"/>
      <c r="FV238" s="768"/>
      <c r="FW238" s="768"/>
      <c r="FX238" s="768"/>
      <c r="FY238" s="768"/>
      <c r="FZ238" s="768"/>
      <c r="GA238" s="768"/>
      <c r="GB238" s="768"/>
      <c r="GC238" s="768"/>
      <c r="GD238" s="768"/>
      <c r="GE238" s="768"/>
      <c r="GF238" s="768"/>
      <c r="GG238" s="768"/>
      <c r="GH238" s="768"/>
      <c r="GI238" s="768"/>
      <c r="GJ238" s="768"/>
      <c r="GK238" s="768"/>
      <c r="GL238" s="768"/>
      <c r="GM238" s="768"/>
      <c r="GN238" s="768"/>
      <c r="GO238" s="768"/>
      <c r="GP238" s="768"/>
      <c r="GQ238" s="768"/>
      <c r="GR238" s="768"/>
      <c r="GS238" s="768"/>
      <c r="GT238" s="768"/>
      <c r="GU238" s="768"/>
      <c r="GV238" s="768"/>
      <c r="GW238" s="768"/>
      <c r="GX238" s="768"/>
      <c r="GY238" s="768"/>
      <c r="GZ238" s="768"/>
      <c r="HA238" s="768"/>
      <c r="HB238" s="768"/>
      <c r="HC238" s="768"/>
      <c r="HD238" s="768"/>
      <c r="HE238" s="768"/>
      <c r="HF238" s="768"/>
      <c r="HG238" s="768"/>
      <c r="HH238" s="768"/>
      <c r="HI238" s="768"/>
      <c r="HJ238" s="768"/>
      <c r="HK238" s="768"/>
      <c r="HL238" s="768"/>
      <c r="HM238" s="768"/>
      <c r="HN238" s="768"/>
      <c r="HO238" s="768"/>
      <c r="HP238" s="768"/>
      <c r="HQ238" s="768"/>
      <c r="HR238" s="768"/>
      <c r="HS238" s="768"/>
      <c r="HT238" s="768"/>
      <c r="HU238" s="768"/>
      <c r="HV238" s="768"/>
      <c r="HW238" s="768"/>
      <c r="HX238" s="768"/>
      <c r="HY238" s="768"/>
      <c r="HZ238" s="768"/>
      <c r="IA238" s="768"/>
      <c r="IB238" s="768"/>
      <c r="IC238" s="768"/>
      <c r="ID238" s="768"/>
      <c r="IE238" s="768"/>
      <c r="IF238" s="768"/>
      <c r="IG238" s="768"/>
      <c r="IH238" s="768"/>
      <c r="II238" s="768"/>
      <c r="IJ238" s="768"/>
      <c r="IK238" s="768"/>
      <c r="IL238" s="768"/>
      <c r="IM238" s="768"/>
      <c r="IN238" s="768"/>
      <c r="IO238" s="768"/>
      <c r="IP238" s="768"/>
      <c r="IQ238" s="768"/>
      <c r="IR238" s="768"/>
      <c r="IS238" s="768"/>
      <c r="IT238" s="768"/>
    </row>
    <row r="239" spans="1:254" ht="12.75" customHeight="1">
      <c r="A239" s="376"/>
      <c r="B239" s="1146" t="s">
        <v>2250</v>
      </c>
      <c r="C239" s="1158"/>
      <c r="D239" s="786">
        <v>6.0900000000000003E-2</v>
      </c>
      <c r="E239" s="716" t="s">
        <v>2251</v>
      </c>
      <c r="F239" s="783" t="s">
        <v>2252</v>
      </c>
      <c r="G239" s="1267"/>
      <c r="H239" s="1238"/>
      <c r="I239" s="1238"/>
      <c r="J239" s="1237"/>
      <c r="K239" s="1239"/>
      <c r="L239" s="1240"/>
      <c r="M239" s="1229"/>
      <c r="N239" s="1237"/>
      <c r="O239" s="1229"/>
      <c r="P239" s="768"/>
      <c r="Q239" s="768"/>
      <c r="R239" s="768"/>
      <c r="S239" s="768"/>
      <c r="T239" s="768"/>
      <c r="U239" s="768"/>
      <c r="V239" s="768"/>
      <c r="W239" s="768"/>
      <c r="X239" s="768"/>
      <c r="Y239" s="768"/>
      <c r="Z239" s="768"/>
      <c r="AA239" s="768"/>
      <c r="AB239" s="768"/>
      <c r="AC239" s="768"/>
      <c r="AD239" s="768"/>
      <c r="AE239" s="768"/>
      <c r="AF239" s="768"/>
      <c r="AG239" s="768"/>
      <c r="AH239" s="768"/>
      <c r="AI239" s="768"/>
      <c r="AJ239" s="768"/>
      <c r="AK239" s="768"/>
      <c r="AL239" s="768"/>
      <c r="AM239" s="768"/>
      <c r="AN239" s="768"/>
      <c r="AO239" s="768"/>
      <c r="AP239" s="768"/>
      <c r="AQ239" s="768"/>
      <c r="AR239" s="768"/>
      <c r="AS239" s="768"/>
      <c r="AT239" s="768"/>
      <c r="AU239" s="768"/>
      <c r="AV239" s="768"/>
      <c r="AW239" s="768"/>
      <c r="AX239" s="768"/>
      <c r="AY239" s="768"/>
      <c r="AZ239" s="768"/>
      <c r="BA239" s="768"/>
      <c r="BB239" s="768"/>
      <c r="BC239" s="768"/>
      <c r="BD239" s="768"/>
      <c r="BE239" s="768"/>
      <c r="BF239" s="768"/>
      <c r="BG239" s="768"/>
      <c r="BH239" s="768"/>
      <c r="BI239" s="768"/>
      <c r="BJ239" s="768"/>
      <c r="BK239" s="768"/>
      <c r="BL239" s="768"/>
      <c r="BM239" s="768"/>
      <c r="BN239" s="768"/>
      <c r="BO239" s="768"/>
      <c r="BP239" s="768"/>
      <c r="BQ239" s="768"/>
      <c r="BR239" s="768"/>
      <c r="BS239" s="768"/>
      <c r="BT239" s="768"/>
      <c r="BU239" s="768"/>
      <c r="BV239" s="768"/>
      <c r="BW239" s="768"/>
      <c r="BX239" s="768"/>
      <c r="BY239" s="768"/>
      <c r="BZ239" s="768"/>
      <c r="CA239" s="768"/>
      <c r="CB239" s="768"/>
      <c r="CC239" s="768"/>
      <c r="CD239" s="768"/>
      <c r="CE239" s="768"/>
      <c r="CF239" s="768"/>
      <c r="CG239" s="768"/>
      <c r="CH239" s="768"/>
      <c r="CI239" s="768"/>
      <c r="CJ239" s="768"/>
      <c r="CK239" s="768"/>
      <c r="CL239" s="768"/>
      <c r="CM239" s="768"/>
      <c r="CN239" s="768"/>
      <c r="CO239" s="768"/>
      <c r="CP239" s="768"/>
      <c r="CQ239" s="768"/>
      <c r="CR239" s="768"/>
      <c r="CS239" s="768"/>
      <c r="CT239" s="768"/>
      <c r="CU239" s="768"/>
      <c r="CV239" s="768"/>
      <c r="CW239" s="768"/>
      <c r="CX239" s="768"/>
      <c r="CY239" s="768"/>
      <c r="CZ239" s="768"/>
      <c r="DA239" s="768"/>
      <c r="DB239" s="768"/>
      <c r="DC239" s="768"/>
      <c r="DD239" s="768"/>
      <c r="DE239" s="768"/>
      <c r="DF239" s="768"/>
      <c r="DG239" s="768"/>
      <c r="DH239" s="768"/>
      <c r="DI239" s="768"/>
      <c r="DJ239" s="768"/>
      <c r="DK239" s="768"/>
      <c r="DL239" s="768"/>
      <c r="DM239" s="768"/>
      <c r="DN239" s="768"/>
      <c r="DO239" s="768"/>
      <c r="DP239" s="768"/>
      <c r="DQ239" s="768"/>
      <c r="DR239" s="768"/>
      <c r="DS239" s="768"/>
      <c r="DT239" s="768"/>
      <c r="DU239" s="768"/>
      <c r="DV239" s="768"/>
      <c r="DW239" s="768"/>
      <c r="DX239" s="768"/>
      <c r="DY239" s="768"/>
      <c r="DZ239" s="768"/>
      <c r="EA239" s="768"/>
      <c r="EB239" s="768"/>
      <c r="EC239" s="768"/>
      <c r="ED239" s="768"/>
      <c r="EE239" s="768"/>
      <c r="EF239" s="768"/>
      <c r="EG239" s="768"/>
      <c r="EH239" s="768"/>
      <c r="EI239" s="768"/>
      <c r="EJ239" s="768"/>
      <c r="EK239" s="768"/>
      <c r="EL239" s="768"/>
      <c r="EM239" s="768"/>
      <c r="EN239" s="768"/>
      <c r="EO239" s="768"/>
      <c r="EP239" s="768"/>
      <c r="EQ239" s="768"/>
      <c r="ER239" s="768"/>
      <c r="ES239" s="768"/>
      <c r="ET239" s="768"/>
      <c r="EU239" s="768"/>
      <c r="EV239" s="768"/>
      <c r="EW239" s="768"/>
      <c r="EX239" s="768"/>
      <c r="EY239" s="768"/>
      <c r="EZ239" s="768"/>
      <c r="FA239" s="768"/>
      <c r="FB239" s="768"/>
      <c r="FC239" s="768"/>
      <c r="FD239" s="768"/>
      <c r="FE239" s="768"/>
      <c r="FF239" s="768"/>
      <c r="FG239" s="768"/>
      <c r="FH239" s="768"/>
      <c r="FI239" s="768"/>
      <c r="FJ239" s="768"/>
      <c r="FK239" s="768"/>
      <c r="FL239" s="768"/>
      <c r="FM239" s="768"/>
      <c r="FN239" s="768"/>
      <c r="FO239" s="768"/>
      <c r="FP239" s="768"/>
      <c r="FQ239" s="768"/>
      <c r="FR239" s="768"/>
      <c r="FS239" s="768"/>
      <c r="FT239" s="768"/>
      <c r="FU239" s="768"/>
      <c r="FV239" s="768"/>
      <c r="FW239" s="768"/>
      <c r="FX239" s="768"/>
      <c r="FY239" s="768"/>
      <c r="FZ239" s="768"/>
      <c r="GA239" s="768"/>
      <c r="GB239" s="768"/>
      <c r="GC239" s="768"/>
      <c r="GD239" s="768"/>
      <c r="GE239" s="768"/>
      <c r="GF239" s="768"/>
      <c r="GG239" s="768"/>
      <c r="GH239" s="768"/>
      <c r="GI239" s="768"/>
      <c r="GJ239" s="768"/>
      <c r="GK239" s="768"/>
      <c r="GL239" s="768"/>
      <c r="GM239" s="768"/>
      <c r="GN239" s="768"/>
      <c r="GO239" s="768"/>
      <c r="GP239" s="768"/>
      <c r="GQ239" s="768"/>
      <c r="GR239" s="768"/>
      <c r="GS239" s="768"/>
      <c r="GT239" s="768"/>
      <c r="GU239" s="768"/>
      <c r="GV239" s="768"/>
      <c r="GW239" s="768"/>
      <c r="GX239" s="768"/>
      <c r="GY239" s="768"/>
      <c r="GZ239" s="768"/>
      <c r="HA239" s="768"/>
      <c r="HB239" s="768"/>
      <c r="HC239" s="768"/>
      <c r="HD239" s="768"/>
      <c r="HE239" s="768"/>
      <c r="HF239" s="768"/>
      <c r="HG239" s="768"/>
      <c r="HH239" s="768"/>
      <c r="HI239" s="768"/>
      <c r="HJ239" s="768"/>
      <c r="HK239" s="768"/>
      <c r="HL239" s="768"/>
      <c r="HM239" s="768"/>
      <c r="HN239" s="768"/>
      <c r="HO239" s="768"/>
      <c r="HP239" s="768"/>
      <c r="HQ239" s="768"/>
      <c r="HR239" s="768"/>
      <c r="HS239" s="768"/>
      <c r="HT239" s="768"/>
      <c r="HU239" s="768"/>
      <c r="HV239" s="768"/>
      <c r="HW239" s="768"/>
      <c r="HX239" s="768"/>
      <c r="HY239" s="768"/>
      <c r="HZ239" s="768"/>
      <c r="IA239" s="768"/>
      <c r="IB239" s="768"/>
      <c r="IC239" s="768"/>
      <c r="ID239" s="768"/>
      <c r="IE239" s="768"/>
      <c r="IF239" s="768"/>
      <c r="IG239" s="768"/>
      <c r="IH239" s="768"/>
      <c r="II239" s="768"/>
      <c r="IJ239" s="768"/>
      <c r="IK239" s="768"/>
      <c r="IL239" s="768"/>
      <c r="IM239" s="768"/>
      <c r="IN239" s="768"/>
      <c r="IO239" s="768"/>
      <c r="IP239" s="768"/>
      <c r="IQ239" s="768"/>
      <c r="IR239" s="768"/>
      <c r="IS239" s="768"/>
      <c r="IT239" s="768"/>
    </row>
    <row r="240" spans="1:254" ht="26.25" customHeight="1">
      <c r="A240" s="376" t="s">
        <v>2253</v>
      </c>
      <c r="B240" s="1146" t="s">
        <v>2254</v>
      </c>
      <c r="C240" s="1158"/>
      <c r="D240" s="1158"/>
      <c r="E240" s="1159"/>
      <c r="F240" s="1159"/>
      <c r="G240" s="1237"/>
      <c r="H240" s="1238"/>
      <c r="I240" s="1238"/>
      <c r="J240" s="1237"/>
      <c r="K240" s="1239"/>
      <c r="L240" s="1240"/>
      <c r="M240" s="1229"/>
      <c r="N240" s="1237"/>
      <c r="O240" s="1229"/>
      <c r="P240" s="768"/>
      <c r="Q240" s="768"/>
      <c r="R240" s="768"/>
      <c r="S240" s="768"/>
      <c r="T240" s="768"/>
      <c r="U240" s="768"/>
      <c r="V240" s="768"/>
      <c r="W240" s="768"/>
      <c r="X240" s="768"/>
      <c r="Y240" s="768"/>
      <c r="Z240" s="768"/>
      <c r="AA240" s="768"/>
      <c r="AB240" s="768"/>
      <c r="AC240" s="768"/>
      <c r="AD240" s="768"/>
      <c r="AE240" s="768"/>
      <c r="AF240" s="768"/>
      <c r="AG240" s="768"/>
      <c r="AH240" s="768"/>
      <c r="AI240" s="768"/>
      <c r="AJ240" s="768"/>
      <c r="AK240" s="768"/>
      <c r="AL240" s="768"/>
      <c r="AM240" s="768"/>
      <c r="AN240" s="768"/>
      <c r="AO240" s="768"/>
      <c r="AP240" s="768"/>
      <c r="AQ240" s="768"/>
      <c r="AR240" s="768"/>
      <c r="AS240" s="768"/>
      <c r="AT240" s="768"/>
      <c r="AU240" s="768"/>
      <c r="AV240" s="768"/>
      <c r="AW240" s="768"/>
      <c r="AX240" s="768"/>
      <c r="AY240" s="768"/>
      <c r="AZ240" s="768"/>
      <c r="BA240" s="768"/>
      <c r="BB240" s="768"/>
      <c r="BC240" s="768"/>
      <c r="BD240" s="768"/>
      <c r="BE240" s="768"/>
      <c r="BF240" s="768"/>
      <c r="BG240" s="768"/>
      <c r="BH240" s="768"/>
      <c r="BI240" s="768"/>
      <c r="BJ240" s="768"/>
      <c r="BK240" s="768"/>
      <c r="BL240" s="768"/>
      <c r="BM240" s="768"/>
      <c r="BN240" s="768"/>
      <c r="BO240" s="768"/>
      <c r="BP240" s="768"/>
      <c r="BQ240" s="768"/>
      <c r="BR240" s="768"/>
      <c r="BS240" s="768"/>
      <c r="BT240" s="768"/>
      <c r="BU240" s="768"/>
      <c r="BV240" s="768"/>
      <c r="BW240" s="768"/>
      <c r="BX240" s="768"/>
      <c r="BY240" s="768"/>
      <c r="BZ240" s="768"/>
      <c r="CA240" s="768"/>
      <c r="CB240" s="768"/>
      <c r="CC240" s="768"/>
      <c r="CD240" s="768"/>
      <c r="CE240" s="768"/>
      <c r="CF240" s="768"/>
      <c r="CG240" s="768"/>
      <c r="CH240" s="768"/>
      <c r="CI240" s="768"/>
      <c r="CJ240" s="768"/>
      <c r="CK240" s="768"/>
      <c r="CL240" s="768"/>
      <c r="CM240" s="768"/>
      <c r="CN240" s="768"/>
      <c r="CO240" s="768"/>
      <c r="CP240" s="768"/>
      <c r="CQ240" s="768"/>
      <c r="CR240" s="768"/>
      <c r="CS240" s="768"/>
      <c r="CT240" s="768"/>
      <c r="CU240" s="768"/>
      <c r="CV240" s="768"/>
      <c r="CW240" s="768"/>
      <c r="CX240" s="768"/>
      <c r="CY240" s="768"/>
      <c r="CZ240" s="768"/>
      <c r="DA240" s="768"/>
      <c r="DB240" s="768"/>
      <c r="DC240" s="768"/>
      <c r="DD240" s="768"/>
      <c r="DE240" s="768"/>
      <c r="DF240" s="768"/>
      <c r="DG240" s="768"/>
      <c r="DH240" s="768"/>
      <c r="DI240" s="768"/>
      <c r="DJ240" s="768"/>
      <c r="DK240" s="768"/>
      <c r="DL240" s="768"/>
      <c r="DM240" s="768"/>
      <c r="DN240" s="768"/>
      <c r="DO240" s="768"/>
      <c r="DP240" s="768"/>
      <c r="DQ240" s="768"/>
      <c r="DR240" s="768"/>
      <c r="DS240" s="768"/>
      <c r="DT240" s="768"/>
      <c r="DU240" s="768"/>
      <c r="DV240" s="768"/>
      <c r="DW240" s="768"/>
      <c r="DX240" s="768"/>
      <c r="DY240" s="768"/>
      <c r="DZ240" s="768"/>
      <c r="EA240" s="768"/>
      <c r="EB240" s="768"/>
      <c r="EC240" s="768"/>
      <c r="ED240" s="768"/>
      <c r="EE240" s="768"/>
      <c r="EF240" s="768"/>
      <c r="EG240" s="768"/>
      <c r="EH240" s="768"/>
      <c r="EI240" s="768"/>
      <c r="EJ240" s="768"/>
      <c r="EK240" s="768"/>
      <c r="EL240" s="768"/>
      <c r="EM240" s="768"/>
      <c r="EN240" s="768"/>
      <c r="EO240" s="768"/>
      <c r="EP240" s="768"/>
      <c r="EQ240" s="768"/>
      <c r="ER240" s="768"/>
      <c r="ES240" s="768"/>
      <c r="ET240" s="768"/>
      <c r="EU240" s="768"/>
      <c r="EV240" s="768"/>
      <c r="EW240" s="768"/>
      <c r="EX240" s="768"/>
      <c r="EY240" s="768"/>
      <c r="EZ240" s="768"/>
      <c r="FA240" s="768"/>
      <c r="FB240" s="768"/>
      <c r="FC240" s="768"/>
      <c r="FD240" s="768"/>
      <c r="FE240" s="768"/>
      <c r="FF240" s="768"/>
      <c r="FG240" s="768"/>
      <c r="FH240" s="768"/>
      <c r="FI240" s="768"/>
      <c r="FJ240" s="768"/>
      <c r="FK240" s="768"/>
      <c r="FL240" s="768"/>
      <c r="FM240" s="768"/>
      <c r="FN240" s="768"/>
      <c r="FO240" s="768"/>
      <c r="FP240" s="768"/>
      <c r="FQ240" s="768"/>
      <c r="FR240" s="768"/>
      <c r="FS240" s="768"/>
      <c r="FT240" s="768"/>
      <c r="FU240" s="768"/>
      <c r="FV240" s="768"/>
      <c r="FW240" s="768"/>
      <c r="FX240" s="768"/>
      <c r="FY240" s="768"/>
      <c r="FZ240" s="768"/>
      <c r="GA240" s="768"/>
      <c r="GB240" s="768"/>
      <c r="GC240" s="768"/>
      <c r="GD240" s="768"/>
      <c r="GE240" s="768"/>
      <c r="GF240" s="768"/>
      <c r="GG240" s="768"/>
      <c r="GH240" s="768"/>
      <c r="GI240" s="768"/>
      <c r="GJ240" s="768"/>
      <c r="GK240" s="768"/>
      <c r="GL240" s="768"/>
      <c r="GM240" s="768"/>
      <c r="GN240" s="768"/>
      <c r="GO240" s="768"/>
      <c r="GP240" s="768"/>
      <c r="GQ240" s="768"/>
      <c r="GR240" s="768"/>
      <c r="GS240" s="768"/>
      <c r="GT240" s="768"/>
      <c r="GU240" s="768"/>
      <c r="GV240" s="768"/>
      <c r="GW240" s="768"/>
      <c r="GX240" s="768"/>
      <c r="GY240" s="768"/>
      <c r="GZ240" s="768"/>
      <c r="HA240" s="768"/>
      <c r="HB240" s="768"/>
      <c r="HC240" s="768"/>
      <c r="HD240" s="768"/>
      <c r="HE240" s="768"/>
      <c r="HF240" s="768"/>
      <c r="HG240" s="768"/>
      <c r="HH240" s="768"/>
      <c r="HI240" s="768"/>
      <c r="HJ240" s="768"/>
      <c r="HK240" s="768"/>
      <c r="HL240" s="768"/>
      <c r="HM240" s="768"/>
      <c r="HN240" s="768"/>
      <c r="HO240" s="768"/>
      <c r="HP240" s="768"/>
      <c r="HQ240" s="768"/>
      <c r="HR240" s="768"/>
      <c r="HS240" s="768"/>
      <c r="HT240" s="768"/>
      <c r="HU240" s="768"/>
      <c r="HV240" s="768"/>
      <c r="HW240" s="768"/>
      <c r="HX240" s="768"/>
      <c r="HY240" s="768"/>
      <c r="HZ240" s="768"/>
      <c r="IA240" s="768"/>
      <c r="IB240" s="768"/>
      <c r="IC240" s="768"/>
      <c r="ID240" s="768"/>
      <c r="IE240" s="768"/>
      <c r="IF240" s="768"/>
      <c r="IG240" s="768"/>
      <c r="IH240" s="768"/>
      <c r="II240" s="768"/>
      <c r="IJ240" s="768"/>
      <c r="IK240" s="768"/>
      <c r="IL240" s="768"/>
      <c r="IM240" s="768"/>
      <c r="IN240" s="768"/>
      <c r="IO240" s="768"/>
      <c r="IP240" s="768"/>
      <c r="IQ240" s="768"/>
      <c r="IR240" s="768"/>
      <c r="IS240" s="768"/>
      <c r="IT240" s="768"/>
    </row>
    <row r="241" spans="1:8" ht="27.75" customHeight="1">
      <c r="A241" s="376" t="s">
        <v>2255</v>
      </c>
      <c r="B241" s="1146" t="s">
        <v>2256</v>
      </c>
      <c r="C241" s="1158"/>
      <c r="D241" s="1158"/>
      <c r="E241" s="1159"/>
      <c r="F241" s="1159"/>
      <c r="G241" s="1237"/>
      <c r="H241" s="1238"/>
    </row>
    <row r="242" spans="1:8" ht="25.5" customHeight="1">
      <c r="A242" s="1266" t="s">
        <v>2257</v>
      </c>
      <c r="B242" s="1146" t="s">
        <v>2258</v>
      </c>
      <c r="C242" s="1158"/>
      <c r="D242" s="1158"/>
      <c r="E242" s="1159"/>
      <c r="F242" s="1159"/>
      <c r="G242" s="1237"/>
      <c r="H242" s="1238"/>
    </row>
    <row r="243" spans="1:8" ht="39.950000000000003" customHeight="1">
      <c r="A243" s="376" t="s">
        <v>2259</v>
      </c>
      <c r="B243" s="1146" t="s">
        <v>2260</v>
      </c>
      <c r="C243" s="1147"/>
      <c r="D243" s="1147"/>
      <c r="E243" s="1148"/>
      <c r="F243" s="1148"/>
      <c r="G243" s="1239"/>
      <c r="H243" s="1238"/>
    </row>
    <row r="244" spans="1:8" ht="38.25" customHeight="1">
      <c r="A244" s="376" t="s">
        <v>2261</v>
      </c>
      <c r="B244" s="1146" t="s">
        <v>2262</v>
      </c>
      <c r="C244" s="1147"/>
      <c r="D244" s="1147"/>
      <c r="E244" s="1161"/>
      <c r="F244" s="1161"/>
      <c r="G244" s="1161"/>
      <c r="H244" s="1238"/>
    </row>
    <row r="245" spans="1:8" ht="12.75" customHeight="1">
      <c r="A245" s="376"/>
      <c r="B245" s="1146" t="s">
        <v>2250</v>
      </c>
      <c r="C245" s="1158"/>
      <c r="D245" s="786">
        <v>6.0900000000000003E-2</v>
      </c>
      <c r="E245" s="716" t="s">
        <v>2251</v>
      </c>
      <c r="F245" s="783" t="s">
        <v>2252</v>
      </c>
      <c r="G245" s="1267"/>
      <c r="H245" s="1238"/>
    </row>
    <row r="246" spans="1:8" ht="12.75" customHeight="1">
      <c r="A246" s="376" t="s">
        <v>2263</v>
      </c>
      <c r="B246" s="1146" t="s">
        <v>2264</v>
      </c>
      <c r="C246" s="1147"/>
      <c r="D246" s="1147"/>
      <c r="E246" s="1161"/>
      <c r="F246" s="1161"/>
      <c r="G246" s="1161"/>
      <c r="H246" s="1161"/>
    </row>
    <row r="247" spans="1:8" ht="12.75" customHeight="1">
      <c r="A247" s="376" t="s">
        <v>2265</v>
      </c>
      <c r="B247" s="1146" t="s">
        <v>2266</v>
      </c>
      <c r="C247" s="1147"/>
      <c r="D247" s="1147"/>
      <c r="E247" s="1161"/>
      <c r="F247" s="1161"/>
      <c r="G247" s="1161"/>
      <c r="H247" s="1238"/>
    </row>
    <row r="248" spans="1:8" ht="27" customHeight="1">
      <c r="A248" s="376" t="s">
        <v>2267</v>
      </c>
      <c r="B248" s="1146" t="s">
        <v>2268</v>
      </c>
      <c r="C248" s="1147"/>
      <c r="D248" s="1147"/>
      <c r="E248" s="1148"/>
      <c r="F248" s="1148"/>
      <c r="G248" s="1239"/>
      <c r="H248" s="1238"/>
    </row>
    <row r="249" spans="1:8">
      <c r="A249" s="376" t="s">
        <v>2269</v>
      </c>
      <c r="B249" s="361" t="s">
        <v>2270</v>
      </c>
      <c r="C249" s="361"/>
      <c r="D249" s="361"/>
      <c r="E249" s="361"/>
      <c r="F249" s="361"/>
      <c r="G249" s="1239"/>
      <c r="H249" s="1238"/>
    </row>
    <row r="250" spans="1:8">
      <c r="A250" s="376" t="s">
        <v>2271</v>
      </c>
      <c r="B250" s="361" t="s">
        <v>2272</v>
      </c>
      <c r="C250" s="361"/>
      <c r="D250" s="361"/>
      <c r="E250" s="1239"/>
      <c r="F250" s="1239"/>
      <c r="G250" s="1239"/>
      <c r="H250" s="1238"/>
    </row>
    <row r="251" spans="1:8">
      <c r="A251" s="361"/>
      <c r="B251" s="361" t="s">
        <v>2273</v>
      </c>
      <c r="C251" s="361"/>
      <c r="D251" s="361"/>
      <c r="E251" s="1239"/>
      <c r="F251" s="1239"/>
      <c r="G251" s="1239"/>
      <c r="H251" s="1238"/>
    </row>
    <row r="252" spans="1:8">
      <c r="A252" s="361"/>
      <c r="B252" s="361" t="s">
        <v>2274</v>
      </c>
      <c r="C252" s="361"/>
      <c r="D252" s="361"/>
      <c r="E252" s="1239"/>
      <c r="F252" s="1239"/>
      <c r="G252" s="1239"/>
      <c r="H252" s="1238"/>
    </row>
    <row r="253" spans="1:8">
      <c r="A253" s="361"/>
      <c r="B253" s="361" t="s">
        <v>2275</v>
      </c>
      <c r="C253" s="361"/>
      <c r="D253" s="361"/>
      <c r="E253" s="1239"/>
      <c r="F253" s="1239"/>
      <c r="G253" s="1239"/>
      <c r="H253" s="1238"/>
    </row>
  </sheetData>
  <autoFilter ref="A1:O253" xr:uid="{00000000-0009-0000-0000-00001A000000}"/>
  <mergeCells count="45">
    <mergeCell ref="B246:H246"/>
    <mergeCell ref="B247:G247"/>
    <mergeCell ref="B135:D135"/>
    <mergeCell ref="B242:F242"/>
    <mergeCell ref="B243:F243"/>
    <mergeCell ref="B245:C245"/>
    <mergeCell ref="B244:G244"/>
    <mergeCell ref="B168:D168"/>
    <mergeCell ref="B195:D195"/>
    <mergeCell ref="B173:D173"/>
    <mergeCell ref="B231:D231"/>
    <mergeCell ref="B167:D167"/>
    <mergeCell ref="B162:D162"/>
    <mergeCell ref="B239:C239"/>
    <mergeCell ref="B237:F238"/>
    <mergeCell ref="B241:F241"/>
    <mergeCell ref="B232:F232"/>
    <mergeCell ref="B200:C200"/>
    <mergeCell ref="B201:C201"/>
    <mergeCell ref="B203:C203"/>
    <mergeCell ref="B207:D207"/>
    <mergeCell ref="B209:D209"/>
    <mergeCell ref="B208:D208"/>
    <mergeCell ref="B202:C202"/>
    <mergeCell ref="B233:F233"/>
    <mergeCell ref="B234:F234"/>
    <mergeCell ref="B236:F236"/>
    <mergeCell ref="B235:F235"/>
    <mergeCell ref="B240:F240"/>
    <mergeCell ref="B248:F248"/>
    <mergeCell ref="J2:M2"/>
    <mergeCell ref="G2:I2"/>
    <mergeCell ref="B197:D197"/>
    <mergeCell ref="B163:D163"/>
    <mergeCell ref="B72:D72"/>
    <mergeCell ref="B38:D38"/>
    <mergeCell ref="B33:D33"/>
    <mergeCell ref="B196:D196"/>
    <mergeCell ref="B172:D172"/>
    <mergeCell ref="B8:D8"/>
    <mergeCell ref="B9:D9"/>
    <mergeCell ref="B37:D37"/>
    <mergeCell ref="B32:D32"/>
    <mergeCell ref="B71:D71"/>
    <mergeCell ref="B136:D136"/>
  </mergeCells>
  <conditionalFormatting sqref="A235:A236 C169:C171 D77 C164:C166 C250:C65559 A240:A241 A243:A246 C228:C230 C211:C225 A248:A249 C69:C70 C133:C134 C161 C2:C7 C34:C36 C39:C63 C73:C123 C137:C154 C173:C180 C10:C31">
    <cfRule type="cellIs" dxfId="9" priority="11" stopIfTrue="1" operator="between">
      <formula>4990000</formula>
      <formula>4999999</formula>
    </cfRule>
  </conditionalFormatting>
  <conditionalFormatting sqref="A247">
    <cfRule type="cellIs" dxfId="8" priority="10" stopIfTrue="1" operator="between">
      <formula>4990000</formula>
      <formula>4999999</formula>
    </cfRule>
  </conditionalFormatting>
  <conditionalFormatting sqref="A237:A239">
    <cfRule type="cellIs" dxfId="7" priority="9" stopIfTrue="1" operator="between">
      <formula>4990000</formula>
      <formula>4999999</formula>
    </cfRule>
  </conditionalFormatting>
  <conditionalFormatting sqref="K226:K227 Q226:Q227 Y226:Y227 AG226:AG227 AO226:AO227 AW226:AW227 BE226:BE227 BM226:BM227 BU226:BU227 CC226:CC227 CK226:CK227 CS226:CS227 DA226:DA227 DI226:DI227 DQ226:DQ227 DY226:DY227 EG226:EG227 EO226:EO227 EW226:EW227 FE226:FE227 FM226:FM227 FU226:FU227 GC226:GC227 GK226:GK227 GS226:GS227 HA226:HA227 HI226:HI227 HQ226:HQ227 HY226:HY227 IG226:IG227 IO226:IO227">
    <cfRule type="cellIs" dxfId="6" priority="8" stopIfTrue="1" operator="between">
      <formula>4990000</formula>
      <formula>4999999</formula>
    </cfRule>
  </conditionalFormatting>
  <conditionalFormatting sqref="C226:C227">
    <cfRule type="cellIs" dxfId="5" priority="7" stopIfTrue="1" operator="between">
      <formula>4990000</formula>
      <formula>4999999</formula>
    </cfRule>
  </conditionalFormatting>
  <conditionalFormatting sqref="A250">
    <cfRule type="cellIs" dxfId="4" priority="6" stopIfTrue="1" operator="between">
      <formula>4990000</formula>
      <formula>4999999</formula>
    </cfRule>
  </conditionalFormatting>
  <conditionalFormatting sqref="C64:C68">
    <cfRule type="cellIs" dxfId="3" priority="5" stopIfTrue="1" operator="between">
      <formula>4990000</formula>
      <formula>4999999</formula>
    </cfRule>
  </conditionalFormatting>
  <conditionalFormatting sqref="C124:C132">
    <cfRule type="cellIs" dxfId="2" priority="4" stopIfTrue="1" operator="between">
      <formula>4990000</formula>
      <formula>4999999</formula>
    </cfRule>
  </conditionalFormatting>
  <conditionalFormatting sqref="C155:C156">
    <cfRule type="cellIs" dxfId="1" priority="3" stopIfTrue="1" operator="between">
      <formula>4990000</formula>
      <formula>4999999</formula>
    </cfRule>
  </conditionalFormatting>
  <conditionalFormatting sqref="C157:C160">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&amp;RTO2020 Draft Annual Update 
Attachment1</oddHeader>
    <oddFooter>&amp;R21-RevenueCredits</oddFooter>
  </headerFooter>
  <rowBreaks count="3" manualBreakCount="3">
    <brk id="72" max="16383" man="1"/>
    <brk id="136" max="16383" man="1"/>
    <brk id="197" max="16383" man="1"/>
  </rowBreaks>
  <ignoredErrors>
    <ignoredError sqref="G127" formula="1"/>
    <ignoredError sqref="C144"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140625" defaultRowHeight="12.75"/>
  <cols>
    <col min="1" max="1" width="4.7109375" style="299" customWidth="1"/>
    <col min="2" max="2" width="14" style="298" customWidth="1"/>
    <col min="3" max="3" width="26.85546875" style="298" customWidth="1"/>
    <col min="4" max="4" width="28.5703125" style="298" customWidth="1"/>
    <col min="5" max="5" width="16.28515625" style="298" bestFit="1" customWidth="1"/>
    <col min="6" max="6" width="20.7109375" style="969" customWidth="1"/>
    <col min="7" max="7" width="9.7109375" style="298" customWidth="1"/>
    <col min="8" max="16384" width="9.140625" style="298"/>
  </cols>
  <sheetData>
    <row r="1" spans="1:8">
      <c r="A1" s="51" t="s">
        <v>2276</v>
      </c>
      <c r="C1" s="51"/>
      <c r="D1" s="51"/>
      <c r="E1" s="51"/>
    </row>
    <row r="2" spans="1:8">
      <c r="A2" s="51"/>
      <c r="C2" s="51"/>
      <c r="D2" s="51"/>
      <c r="E2" s="685" t="s">
        <v>579</v>
      </c>
      <c r="F2" s="769">
        <v>2018</v>
      </c>
    </row>
    <row r="3" spans="1:8">
      <c r="B3" s="51" t="s">
        <v>2277</v>
      </c>
      <c r="C3" s="51"/>
      <c r="D3" s="51"/>
      <c r="E3" s="51"/>
    </row>
    <row r="4" spans="1:8">
      <c r="A4" s="28" t="s">
        <v>243</v>
      </c>
      <c r="C4" s="51"/>
      <c r="E4" s="2" t="s">
        <v>900</v>
      </c>
      <c r="F4" s="979" t="s">
        <v>98</v>
      </c>
    </row>
    <row r="5" spans="1:8">
      <c r="A5" s="136">
        <v>1</v>
      </c>
      <c r="B5" s="362" t="s">
        <v>2278</v>
      </c>
      <c r="C5" s="362"/>
      <c r="E5" s="540">
        <v>93345105</v>
      </c>
      <c r="F5" s="846" t="s">
        <v>1000</v>
      </c>
    </row>
    <row r="6" spans="1:8">
      <c r="A6" s="136">
        <v>2</v>
      </c>
      <c r="B6" s="298" t="s">
        <v>2279</v>
      </c>
      <c r="E6" s="338">
        <f>E7-E5</f>
        <v>79619300</v>
      </c>
      <c r="F6" s="846" t="s">
        <v>2280</v>
      </c>
      <c r="H6" s="846"/>
    </row>
    <row r="7" spans="1:8">
      <c r="A7" s="136">
        <v>3</v>
      </c>
      <c r="B7" s="298" t="s">
        <v>2281</v>
      </c>
      <c r="C7" s="362"/>
      <c r="D7" s="362"/>
      <c r="E7" s="237">
        <v>172964405</v>
      </c>
      <c r="F7" s="302" t="s">
        <v>2282</v>
      </c>
      <c r="H7" s="846"/>
    </row>
    <row r="8" spans="1:8" ht="14.25">
      <c r="A8" s="980"/>
      <c r="B8" s="970"/>
      <c r="C8" s="971"/>
      <c r="D8" s="971"/>
      <c r="E8" s="967"/>
      <c r="F8" s="972"/>
      <c r="G8" s="973"/>
    </row>
    <row r="9" spans="1:8" ht="14.25">
      <c r="A9" s="980"/>
      <c r="B9" s="51" t="s">
        <v>2283</v>
      </c>
      <c r="C9" s="971"/>
      <c r="D9" s="971"/>
      <c r="E9" s="967"/>
      <c r="F9" s="974"/>
      <c r="G9" s="973"/>
    </row>
    <row r="10" spans="1:8" ht="14.25">
      <c r="A10" s="379"/>
      <c r="B10" s="362"/>
      <c r="C10" s="362"/>
      <c r="D10" s="362"/>
      <c r="E10" s="968"/>
      <c r="F10" s="974"/>
      <c r="G10" s="973"/>
    </row>
    <row r="11" spans="1:8" ht="14.25">
      <c r="A11" s="379">
        <v>4</v>
      </c>
      <c r="B11" s="362" t="s">
        <v>2278</v>
      </c>
      <c r="C11" s="362"/>
      <c r="D11" s="362"/>
      <c r="E11" s="763">
        <v>64560041</v>
      </c>
      <c r="F11" s="846" t="s">
        <v>318</v>
      </c>
      <c r="G11" s="973"/>
    </row>
    <row r="12" spans="1:8" ht="14.25">
      <c r="A12" s="379">
        <v>5</v>
      </c>
      <c r="B12" s="362" t="s">
        <v>2279</v>
      </c>
      <c r="C12" s="362"/>
      <c r="D12" s="362"/>
      <c r="E12" s="338">
        <f>E13-E11</f>
        <v>110833276</v>
      </c>
      <c r="F12" s="846" t="s">
        <v>2284</v>
      </c>
      <c r="G12" s="973"/>
    </row>
    <row r="13" spans="1:8" ht="14.25">
      <c r="A13" s="379">
        <v>6</v>
      </c>
      <c r="B13" s="298" t="s">
        <v>2281</v>
      </c>
      <c r="C13" s="362"/>
      <c r="D13" s="362"/>
      <c r="E13" s="237">
        <v>175393317</v>
      </c>
      <c r="F13" s="302" t="s">
        <v>2285</v>
      </c>
      <c r="G13" s="973"/>
    </row>
    <row r="14" spans="1:8">
      <c r="A14" s="136"/>
      <c r="B14" s="362"/>
      <c r="C14" s="362"/>
      <c r="D14" s="362"/>
      <c r="E14" s="968"/>
      <c r="F14" s="846"/>
    </row>
    <row r="15" spans="1:8">
      <c r="A15" s="136">
        <v>7</v>
      </c>
      <c r="B15" s="362" t="s">
        <v>2286</v>
      </c>
      <c r="C15" s="362"/>
      <c r="D15" s="362"/>
      <c r="E15" s="968">
        <f>(E5+E11)/2</f>
        <v>78952573</v>
      </c>
      <c r="F15" s="302" t="str">
        <f>"(Line "&amp;A5&amp;" + Line "&amp;A11&amp;") / 2"</f>
        <v>(Line 1 + Line 4) / 2</v>
      </c>
      <c r="G15" s="489"/>
    </row>
    <row r="16" spans="1:8">
      <c r="A16" s="136"/>
      <c r="C16" s="975"/>
      <c r="D16" s="216"/>
      <c r="E16" s="968"/>
      <c r="F16" s="846"/>
    </row>
    <row r="17" spans="1:6">
      <c r="A17" s="136">
        <v>8</v>
      </c>
      <c r="B17" s="298" t="s">
        <v>2287</v>
      </c>
      <c r="C17" s="975"/>
      <c r="D17" s="975"/>
      <c r="E17" s="978">
        <v>5429238</v>
      </c>
      <c r="F17" s="846" t="s">
        <v>319</v>
      </c>
    </row>
    <row r="18" spans="1:6">
      <c r="A18" s="136">
        <v>9</v>
      </c>
      <c r="B18" s="298" t="s">
        <v>2288</v>
      </c>
      <c r="C18" s="975"/>
      <c r="D18" s="975"/>
      <c r="E18" s="338">
        <f>E19-E17</f>
        <v>688003970</v>
      </c>
      <c r="F18" s="846" t="s">
        <v>2289</v>
      </c>
    </row>
    <row r="19" spans="1:6">
      <c r="A19" s="136">
        <v>10</v>
      </c>
      <c r="B19" s="298" t="s">
        <v>2290</v>
      </c>
      <c r="C19" s="975"/>
      <c r="D19" s="975"/>
      <c r="E19" s="237">
        <v>693433208</v>
      </c>
      <c r="F19" s="302" t="s">
        <v>2291</v>
      </c>
    </row>
    <row r="20" spans="1:6">
      <c r="C20" s="975"/>
      <c r="D20" s="975"/>
    </row>
    <row r="21" spans="1:6">
      <c r="C21" s="975"/>
      <c r="D21" s="975"/>
    </row>
    <row r="22" spans="1:6">
      <c r="A22" s="28" t="s">
        <v>226</v>
      </c>
    </row>
    <row r="23" spans="1:6">
      <c r="A23" s="299">
        <v>1</v>
      </c>
      <c r="B23" s="298" t="s">
        <v>2292</v>
      </c>
    </row>
    <row r="24" spans="1:6">
      <c r="A24" s="299">
        <v>2</v>
      </c>
      <c r="B24" s="298" t="s">
        <v>2293</v>
      </c>
    </row>
    <row r="25" spans="1:6">
      <c r="A25" s="299">
        <v>3</v>
      </c>
      <c r="B25" s="298" t="s">
        <v>2294</v>
      </c>
    </row>
    <row r="26" spans="1:6">
      <c r="A26" s="299">
        <v>4</v>
      </c>
      <c r="B26" s="298" t="s">
        <v>2295</v>
      </c>
      <c r="E26" s="976"/>
    </row>
    <row r="27" spans="1:6">
      <c r="B27" s="298" t="s">
        <v>2296</v>
      </c>
      <c r="E27" s="976"/>
    </row>
    <row r="28" spans="1:6">
      <c r="E28" s="976"/>
    </row>
    <row r="29" spans="1:6">
      <c r="A29" s="298"/>
      <c r="E29" s="976"/>
    </row>
    <row r="30" spans="1:6">
      <c r="A30" s="298"/>
      <c r="E30" s="976"/>
    </row>
    <row r="31" spans="1:6">
      <c r="A31" s="298"/>
      <c r="E31" s="976"/>
    </row>
    <row r="32" spans="1:6">
      <c r="A32" s="298"/>
      <c r="E32" s="976"/>
    </row>
    <row r="36" spans="1:5">
      <c r="A36" s="298"/>
      <c r="C36" s="977"/>
      <c r="D36" s="977"/>
      <c r="E36" s="977"/>
    </row>
    <row r="37" spans="1:5">
      <c r="A37" s="298"/>
      <c r="C37" s="977"/>
      <c r="D37" s="977"/>
      <c r="E37" s="977"/>
    </row>
    <row r="38" spans="1:5">
      <c r="A38" s="298"/>
      <c r="C38" s="977"/>
      <c r="D38" s="977"/>
      <c r="E38" s="977"/>
    </row>
    <row r="39" spans="1:5">
      <c r="A39" s="298"/>
      <c r="C39" s="977"/>
      <c r="D39" s="977"/>
      <c r="E39" s="977"/>
    </row>
    <row r="40" spans="1:5">
      <c r="A40" s="298"/>
      <c r="C40" s="977"/>
      <c r="D40" s="977"/>
      <c r="E40" s="977"/>
    </row>
    <row r="41" spans="1:5">
      <c r="A41" s="298"/>
      <c r="C41" s="977"/>
      <c r="D41" s="977"/>
      <c r="E41" s="977"/>
    </row>
    <row r="42" spans="1:5">
      <c r="A42" s="298"/>
      <c r="C42" s="977"/>
      <c r="D42" s="977"/>
      <c r="E42" s="977"/>
    </row>
    <row r="43" spans="1:5">
      <c r="A43" s="298"/>
      <c r="C43" s="977"/>
      <c r="D43" s="977"/>
      <c r="E43" s="977"/>
    </row>
    <row r="44" spans="1:5">
      <c r="A44" s="298"/>
      <c r="C44" s="977"/>
      <c r="D44" s="977"/>
      <c r="E44" s="977"/>
    </row>
    <row r="45" spans="1:5">
      <c r="A45" s="298"/>
      <c r="C45" s="977"/>
      <c r="D45" s="977"/>
      <c r="E45" s="977"/>
    </row>
    <row r="46" spans="1:5">
      <c r="A46" s="298"/>
      <c r="C46" s="977"/>
      <c r="D46" s="977"/>
      <c r="E46" s="977"/>
    </row>
    <row r="47" spans="1:5">
      <c r="A47" s="298"/>
      <c r="C47" s="977"/>
      <c r="D47" s="977"/>
      <c r="E47" s="977"/>
    </row>
    <row r="48" spans="1:5">
      <c r="A48" s="298"/>
      <c r="C48" s="977"/>
      <c r="D48" s="977"/>
      <c r="E48" s="977"/>
    </row>
    <row r="51" spans="1:5">
      <c r="A51" s="298"/>
      <c r="E51" s="977"/>
    </row>
  </sheetData>
  <pageMargins left="0.7" right="0.7" top="0.75" bottom="0.75" header="0.3" footer="0.3"/>
  <pageSetup scale="75" orientation="portrait" cellComments="asDisplayed" r:id="rId1"/>
  <headerFooter>
    <oddHeader>&amp;CSchedule 22
Network Upgrade Credits and Interest Expense
&amp;RTO2020 Draft Annual Update 
Attachment1</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497" t="s">
        <v>2297</v>
      </c>
      <c r="B1" s="498"/>
      <c r="C1" s="498"/>
      <c r="D1" s="498"/>
      <c r="E1" s="498"/>
      <c r="F1" s="498"/>
      <c r="G1" s="498"/>
      <c r="H1" s="10"/>
      <c r="I1" s="10"/>
      <c r="J1" s="10"/>
      <c r="K1" s="10"/>
    </row>
    <row r="2" spans="1:11">
      <c r="A2" s="10"/>
      <c r="B2" s="10"/>
      <c r="C2" s="10"/>
      <c r="D2" s="10"/>
      <c r="E2" s="10"/>
      <c r="F2" s="10"/>
      <c r="G2" s="10"/>
      <c r="H2" s="10"/>
      <c r="I2" s="10"/>
      <c r="J2" s="10"/>
      <c r="K2" s="10"/>
    </row>
    <row r="3" spans="1:11">
      <c r="A3" s="499" t="s">
        <v>243</v>
      </c>
      <c r="B3" s="498"/>
      <c r="C3" s="498"/>
      <c r="D3" s="498"/>
      <c r="E3" s="498"/>
      <c r="F3" s="498"/>
      <c r="G3" s="498"/>
      <c r="H3" s="10"/>
      <c r="I3" s="10"/>
      <c r="J3" s="10"/>
      <c r="K3" s="10"/>
    </row>
    <row r="4" spans="1:11">
      <c r="A4" s="500">
        <v>1</v>
      </c>
      <c r="B4" s="395" t="s">
        <v>2298</v>
      </c>
      <c r="C4" s="498"/>
      <c r="D4" s="498"/>
      <c r="E4" s="498"/>
      <c r="F4" s="498"/>
      <c r="G4" s="498"/>
      <c r="H4" s="10"/>
      <c r="I4" s="10"/>
      <c r="J4" s="10"/>
      <c r="K4" s="10"/>
    </row>
    <row r="5" spans="1:11">
      <c r="A5" s="500">
        <v>2</v>
      </c>
      <c r="B5" s="395" t="s">
        <v>2299</v>
      </c>
      <c r="C5" s="498"/>
      <c r="D5" s="498"/>
      <c r="E5" s="498"/>
      <c r="F5" s="498"/>
      <c r="G5" s="498"/>
      <c r="H5" s="10"/>
      <c r="I5" s="10"/>
      <c r="J5" s="10"/>
      <c r="K5" s="10"/>
    </row>
    <row r="6" spans="1:11">
      <c r="A6" s="500">
        <v>3</v>
      </c>
      <c r="B6" s="395" t="s">
        <v>2300</v>
      </c>
      <c r="C6" s="498"/>
      <c r="D6" s="498"/>
      <c r="E6" s="498"/>
      <c r="F6" s="498"/>
      <c r="G6" s="498"/>
      <c r="H6" s="10"/>
      <c r="I6" s="10"/>
      <c r="J6" s="10"/>
      <c r="K6" s="10"/>
    </row>
    <row r="7" spans="1:11">
      <c r="A7" s="500">
        <v>4</v>
      </c>
      <c r="B7" s="498"/>
      <c r="C7" s="498"/>
      <c r="D7" s="498"/>
      <c r="E7" s="498"/>
      <c r="F7" s="498"/>
      <c r="G7" s="498"/>
      <c r="H7" s="10"/>
      <c r="I7" s="10"/>
      <c r="J7" s="10"/>
      <c r="K7" s="10"/>
    </row>
    <row r="8" spans="1:11">
      <c r="A8" s="500">
        <v>5</v>
      </c>
      <c r="B8" s="395" t="s">
        <v>2301</v>
      </c>
      <c r="C8" s="498"/>
      <c r="D8" s="498"/>
      <c r="E8" s="498"/>
      <c r="F8" s="498"/>
      <c r="G8" s="498"/>
      <c r="H8" s="10"/>
      <c r="I8" s="10"/>
      <c r="J8" s="10"/>
      <c r="K8" s="10"/>
    </row>
    <row r="9" spans="1:11">
      <c r="A9" s="500">
        <v>6</v>
      </c>
      <c r="B9" s="395" t="s">
        <v>2302</v>
      </c>
      <c r="C9" s="498"/>
      <c r="D9" s="498"/>
      <c r="E9" s="498"/>
      <c r="F9" s="498"/>
      <c r="G9" s="498"/>
      <c r="H9" s="10"/>
      <c r="I9" s="10"/>
      <c r="J9" s="10"/>
      <c r="K9" s="10"/>
    </row>
    <row r="10" spans="1:11">
      <c r="A10" s="500">
        <v>7</v>
      </c>
      <c r="B10" s="498"/>
      <c r="C10" s="498"/>
      <c r="D10" s="498"/>
      <c r="E10" s="498"/>
      <c r="F10" s="498"/>
      <c r="G10" s="498"/>
      <c r="H10" s="10"/>
      <c r="I10" s="10"/>
      <c r="J10" s="10"/>
      <c r="K10" s="10"/>
    </row>
    <row r="11" spans="1:11">
      <c r="A11" s="500">
        <v>8</v>
      </c>
      <c r="B11" s="395" t="s">
        <v>2303</v>
      </c>
      <c r="C11" s="498"/>
      <c r="D11" s="498"/>
      <c r="E11" s="498"/>
      <c r="F11" s="498"/>
      <c r="G11" s="498"/>
      <c r="H11" s="10"/>
      <c r="I11" s="10"/>
      <c r="J11" s="10"/>
      <c r="K11" s="10"/>
    </row>
    <row r="12" spans="1:11">
      <c r="A12" s="500">
        <v>9</v>
      </c>
      <c r="B12" s="395" t="s">
        <v>2304</v>
      </c>
      <c r="C12" s="498"/>
      <c r="D12" s="498"/>
      <c r="E12" s="498"/>
      <c r="F12" s="498"/>
      <c r="G12" s="498"/>
      <c r="H12" s="10"/>
      <c r="I12" s="10"/>
      <c r="J12" s="10"/>
      <c r="K12" s="10"/>
    </row>
    <row r="13" spans="1:11">
      <c r="A13" s="500">
        <v>10</v>
      </c>
      <c r="B13" s="395" t="s">
        <v>2305</v>
      </c>
      <c r="C13" s="498"/>
      <c r="D13" s="498"/>
      <c r="E13" s="498"/>
      <c r="F13" s="498"/>
      <c r="G13" s="498"/>
      <c r="H13" s="10"/>
      <c r="I13" s="10"/>
      <c r="J13" s="10"/>
      <c r="K13" s="10"/>
    </row>
    <row r="14" spans="1:11">
      <c r="A14" s="500">
        <v>11</v>
      </c>
      <c r="B14" s="498"/>
      <c r="C14" s="498"/>
      <c r="D14" s="498"/>
      <c r="E14" s="498"/>
      <c r="F14" s="498"/>
      <c r="G14" s="498"/>
      <c r="H14" s="10"/>
      <c r="I14" s="10"/>
      <c r="J14" s="10"/>
      <c r="K14" s="10"/>
    </row>
    <row r="15" spans="1:11">
      <c r="A15" s="500">
        <v>12</v>
      </c>
      <c r="B15" s="395"/>
      <c r="C15" s="498"/>
      <c r="D15" s="498"/>
      <c r="E15" s="500" t="s">
        <v>1024</v>
      </c>
      <c r="F15" s="498"/>
      <c r="G15" s="498"/>
      <c r="H15" s="10"/>
      <c r="I15" s="10"/>
      <c r="J15" s="10"/>
      <c r="K15" s="10"/>
    </row>
    <row r="16" spans="1:11">
      <c r="A16" s="500">
        <v>13</v>
      </c>
      <c r="B16" s="498"/>
      <c r="C16" s="498"/>
      <c r="D16" s="498"/>
      <c r="E16" s="717" t="s">
        <v>79</v>
      </c>
      <c r="F16" s="498"/>
      <c r="G16" s="718" t="s">
        <v>2306</v>
      </c>
      <c r="H16" s="10"/>
      <c r="I16" s="10"/>
      <c r="J16" s="10"/>
      <c r="K16" s="10"/>
    </row>
    <row r="17" spans="1:11">
      <c r="A17" s="500">
        <v>14</v>
      </c>
      <c r="B17" s="395" t="s">
        <v>2307</v>
      </c>
      <c r="C17" s="498"/>
      <c r="D17" s="498"/>
      <c r="E17" s="390">
        <f>D29</f>
        <v>0</v>
      </c>
      <c r="F17" s="498"/>
      <c r="G17" s="395" t="s">
        <v>2308</v>
      </c>
      <c r="H17" s="10"/>
      <c r="I17" s="10"/>
      <c r="J17" s="10"/>
      <c r="K17" s="10"/>
    </row>
    <row r="18" spans="1:11">
      <c r="A18" s="500">
        <v>15</v>
      </c>
      <c r="B18" s="395" t="s">
        <v>2309</v>
      </c>
      <c r="C18" s="498"/>
      <c r="D18" s="498"/>
      <c r="E18" s="390">
        <f>(C29+D29)/2</f>
        <v>0</v>
      </c>
      <c r="F18" s="498"/>
      <c r="G18" s="395" t="s">
        <v>2310</v>
      </c>
      <c r="H18" s="10"/>
      <c r="I18" s="10"/>
      <c r="J18" s="10"/>
      <c r="K18" s="10"/>
    </row>
    <row r="19" spans="1:11">
      <c r="A19" s="500">
        <v>16</v>
      </c>
      <c r="B19" s="395" t="s">
        <v>2311</v>
      </c>
      <c r="C19" s="498"/>
      <c r="D19" s="498"/>
      <c r="E19" s="390">
        <f>E29</f>
        <v>0</v>
      </c>
      <c r="F19" s="498"/>
      <c r="G19" s="395" t="s">
        <v>2312</v>
      </c>
      <c r="H19" s="10"/>
      <c r="I19" s="10"/>
      <c r="J19" s="10"/>
      <c r="K19" s="10"/>
    </row>
    <row r="20" spans="1:11">
      <c r="A20" s="500"/>
      <c r="B20" s="395"/>
      <c r="C20" s="498"/>
      <c r="D20" s="498"/>
      <c r="E20" s="390"/>
      <c r="F20" s="498"/>
      <c r="G20" s="498"/>
      <c r="H20" s="10"/>
      <c r="I20" s="10"/>
      <c r="J20" s="10"/>
      <c r="K20" s="10"/>
    </row>
    <row r="21" spans="1:11">
      <c r="A21" s="500"/>
      <c r="B21" s="498"/>
      <c r="C21" s="506" t="s">
        <v>307</v>
      </c>
      <c r="D21" s="506" t="s">
        <v>308</v>
      </c>
      <c r="E21" s="506" t="s">
        <v>309</v>
      </c>
      <c r="F21" s="498"/>
      <c r="G21" s="498"/>
      <c r="H21" s="10"/>
      <c r="I21" s="10"/>
      <c r="J21" s="10"/>
      <c r="K21" s="10"/>
    </row>
    <row r="22" spans="1:11">
      <c r="A22" s="500"/>
      <c r="B22" s="498"/>
      <c r="C22" s="500" t="s">
        <v>1024</v>
      </c>
      <c r="D22" s="500" t="s">
        <v>1024</v>
      </c>
      <c r="E22" s="500" t="s">
        <v>1024</v>
      </c>
      <c r="F22" s="498"/>
      <c r="G22" s="498"/>
      <c r="H22" s="10"/>
      <c r="I22" s="10"/>
      <c r="J22" s="10"/>
      <c r="K22" s="10"/>
    </row>
    <row r="23" spans="1:11" ht="15">
      <c r="A23" s="500"/>
      <c r="B23" s="500" t="s">
        <v>2313</v>
      </c>
      <c r="C23" s="500" t="s">
        <v>909</v>
      </c>
      <c r="D23" s="500" t="s">
        <v>1190</v>
      </c>
      <c r="E23" s="719" t="s">
        <v>2314</v>
      </c>
      <c r="F23" s="498"/>
      <c r="G23" s="720" t="s">
        <v>2315</v>
      </c>
      <c r="H23" s="679"/>
      <c r="I23" s="10"/>
      <c r="J23" s="10"/>
      <c r="K23" s="10"/>
    </row>
    <row r="24" spans="1:11">
      <c r="A24" s="500"/>
      <c r="B24" s="500" t="s">
        <v>2316</v>
      </c>
      <c r="C24" s="500" t="s">
        <v>2317</v>
      </c>
      <c r="D24" s="500" t="s">
        <v>2317</v>
      </c>
      <c r="E24" s="500" t="s">
        <v>2318</v>
      </c>
      <c r="F24" s="498"/>
      <c r="G24" s="720" t="s">
        <v>2319</v>
      </c>
      <c r="H24" s="679"/>
      <c r="I24" s="10"/>
      <c r="J24" s="10"/>
      <c r="K24" s="10"/>
    </row>
    <row r="25" spans="1:11">
      <c r="A25" s="500"/>
      <c r="B25" s="717" t="s">
        <v>2320</v>
      </c>
      <c r="C25" s="717" t="s">
        <v>2320</v>
      </c>
      <c r="D25" s="717" t="s">
        <v>2320</v>
      </c>
      <c r="E25" s="717" t="s">
        <v>2321</v>
      </c>
      <c r="F25" s="498"/>
      <c r="G25" s="721" t="s">
        <v>2322</v>
      </c>
      <c r="H25" s="679"/>
      <c r="I25" s="10"/>
      <c r="J25" s="10"/>
      <c r="K25" s="10"/>
    </row>
    <row r="26" spans="1:11">
      <c r="A26" s="386">
        <v>17</v>
      </c>
      <c r="B26" s="391"/>
      <c r="C26" s="392"/>
      <c r="D26" s="392"/>
      <c r="E26" s="392"/>
      <c r="F26" s="384"/>
      <c r="G26" s="406"/>
      <c r="H26" s="58"/>
      <c r="I26" s="768"/>
      <c r="J26" s="768"/>
      <c r="K26" s="768"/>
    </row>
    <row r="27" spans="1:11">
      <c r="A27" s="386">
        <v>18</v>
      </c>
      <c r="B27" s="391"/>
      <c r="C27" s="392"/>
      <c r="D27" s="392"/>
      <c r="E27" s="392"/>
      <c r="F27" s="384"/>
      <c r="G27" s="406"/>
      <c r="H27" s="58"/>
      <c r="I27" s="768"/>
      <c r="J27" s="768"/>
      <c r="K27" s="768"/>
    </row>
    <row r="28" spans="1:11">
      <c r="A28" s="386">
        <v>19</v>
      </c>
      <c r="B28" s="391"/>
      <c r="C28" s="393"/>
      <c r="D28" s="393"/>
      <c r="E28" s="393"/>
      <c r="F28" s="384"/>
      <c r="G28" s="406"/>
      <c r="H28" s="58"/>
      <c r="I28" s="768"/>
      <c r="J28" s="768"/>
      <c r="K28" s="768"/>
    </row>
    <row r="29" spans="1:11">
      <c r="A29" s="386">
        <v>20</v>
      </c>
      <c r="B29" s="387" t="s">
        <v>406</v>
      </c>
      <c r="C29" s="394">
        <f>SUM(C26:C28)</f>
        <v>0</v>
      </c>
      <c r="D29" s="394">
        <f>SUM(D26:D28)</f>
        <v>0</v>
      </c>
      <c r="E29" s="394">
        <f>SUM(E26:E28)</f>
        <v>0</v>
      </c>
      <c r="F29" s="384"/>
      <c r="G29" s="387" t="s">
        <v>2323</v>
      </c>
      <c r="H29" s="768"/>
      <c r="I29" s="768"/>
      <c r="J29" s="768"/>
      <c r="K29" s="768"/>
    </row>
    <row r="30" spans="1:11">
      <c r="A30" s="386"/>
      <c r="B30" s="384"/>
      <c r="C30" s="384"/>
      <c r="D30" s="384"/>
      <c r="E30" s="384"/>
      <c r="F30" s="384"/>
      <c r="G30" s="384"/>
      <c r="H30" s="768"/>
      <c r="I30" s="768"/>
      <c r="J30" s="768"/>
      <c r="K30" s="768"/>
    </row>
    <row r="31" spans="1:11">
      <c r="A31" s="386"/>
      <c r="B31" s="383" t="s">
        <v>408</v>
      </c>
      <c r="C31" s="384"/>
      <c r="D31" s="384"/>
      <c r="E31" s="384"/>
      <c r="F31" s="384"/>
      <c r="G31" s="384"/>
      <c r="H31" s="768"/>
      <c r="I31" s="768"/>
      <c r="J31" s="768"/>
      <c r="K31" s="768"/>
    </row>
    <row r="32" spans="1:11">
      <c r="A32" s="386"/>
      <c r="B32" s="395" t="s">
        <v>2324</v>
      </c>
      <c r="C32" s="498"/>
      <c r="D32" s="498"/>
      <c r="E32" s="498"/>
      <c r="F32" s="498"/>
      <c r="G32" s="498"/>
      <c r="H32" s="10"/>
      <c r="I32" s="768"/>
      <c r="J32" s="768"/>
      <c r="K32" s="768"/>
    </row>
    <row r="33" spans="1:8">
      <c r="A33" s="386"/>
      <c r="B33" s="395" t="s">
        <v>2325</v>
      </c>
      <c r="C33" s="10"/>
      <c r="D33" s="10"/>
      <c r="E33" s="10"/>
      <c r="F33" s="10"/>
      <c r="G33" s="10"/>
      <c r="H33" s="10"/>
    </row>
    <row r="34" spans="1:8">
      <c r="A34" s="386"/>
      <c r="B34" s="722" t="s">
        <v>2326</v>
      </c>
      <c r="C34" s="10"/>
      <c r="D34" s="10"/>
      <c r="E34" s="10"/>
      <c r="F34" s="10"/>
      <c r="G34" s="10"/>
      <c r="H34" s="10"/>
    </row>
    <row r="35" spans="1:8">
      <c r="A35" s="386"/>
      <c r="B35" s="722" t="s">
        <v>2327</v>
      </c>
      <c r="C35" s="10"/>
      <c r="D35" s="10"/>
      <c r="E35" s="679"/>
      <c r="F35" s="10"/>
      <c r="G35" s="10"/>
      <c r="H35" s="10"/>
    </row>
    <row r="36" spans="1:8">
      <c r="A36" s="386"/>
      <c r="B36" s="395" t="s">
        <v>2328</v>
      </c>
      <c r="C36" s="10"/>
      <c r="D36" s="10"/>
      <c r="E36" s="10"/>
      <c r="F36" s="10"/>
      <c r="G36" s="10"/>
      <c r="H36" s="10"/>
    </row>
    <row r="37" spans="1:8">
      <c r="A37" s="386"/>
      <c r="B37" s="768"/>
      <c r="C37" s="768"/>
      <c r="D37" s="768"/>
      <c r="E37" s="768"/>
      <c r="F37" s="768"/>
      <c r="G37" s="768"/>
      <c r="H37" s="768"/>
    </row>
    <row r="38" spans="1:8">
      <c r="A38" s="386"/>
      <c r="B38" s="384"/>
      <c r="C38" s="768"/>
      <c r="D38" s="768"/>
      <c r="E38" s="768"/>
      <c r="F38" s="768"/>
      <c r="G38" s="768"/>
      <c r="H38" s="768"/>
    </row>
    <row r="39" spans="1:8">
      <c r="A39" s="386"/>
      <c r="B39" s="384"/>
      <c r="C39" s="768"/>
      <c r="D39" s="768"/>
      <c r="E39" s="768"/>
      <c r="F39" s="768"/>
      <c r="G39" s="768"/>
      <c r="H39" s="768"/>
    </row>
  </sheetData>
  <pageMargins left="0.7" right="0.7" top="0.75" bottom="0.75" header="0.3" footer="0.3"/>
  <pageSetup orientation="landscape" cellComments="asDisplayed" r:id="rId1"/>
  <headerFooter>
    <oddHeader>&amp;CSchedule 23
Regulatory Assets and Liabilities
&amp;RTO2020 Draft Annual Update 
Attachment1</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76</v>
      </c>
      <c r="B1" s="768"/>
      <c r="C1" s="768"/>
      <c r="D1" s="768"/>
      <c r="E1" s="768"/>
      <c r="F1" s="768"/>
    </row>
    <row r="3" spans="1:6">
      <c r="A3" s="298" t="s">
        <v>77</v>
      </c>
      <c r="B3" s="768"/>
      <c r="C3" s="768"/>
      <c r="D3" s="768"/>
      <c r="E3" s="768"/>
      <c r="F3" s="768"/>
    </row>
    <row r="5" spans="1:6">
      <c r="A5" s="768"/>
      <c r="B5" s="2" t="s">
        <v>78</v>
      </c>
      <c r="C5" s="2" t="s">
        <v>79</v>
      </c>
      <c r="D5" s="768"/>
      <c r="E5" s="768"/>
      <c r="F5" s="768"/>
    </row>
    <row r="6" spans="1:6">
      <c r="A6" s="768"/>
      <c r="B6" s="768" t="s">
        <v>80</v>
      </c>
      <c r="C6" s="5">
        <f>'1-BaseTRR'!K141</f>
        <v>1420629148.0020354</v>
      </c>
      <c r="D6" s="768"/>
      <c r="E6" s="768"/>
      <c r="F6" s="768"/>
    </row>
    <row r="7" spans="1:6">
      <c r="A7" s="768"/>
      <c r="B7" s="768" t="s">
        <v>81</v>
      </c>
      <c r="C7" s="5">
        <f>'1-BaseTRR'!K147</f>
        <v>167078050.63809949</v>
      </c>
      <c r="D7" s="768"/>
      <c r="E7" s="768"/>
      <c r="F7" s="768"/>
    </row>
    <row r="8" spans="1:6">
      <c r="A8" s="768"/>
      <c r="B8" s="768" t="s">
        <v>82</v>
      </c>
      <c r="C8" s="305">
        <f ca="1">'1-BaseTRR'!K148</f>
        <v>-104492797.14171189</v>
      </c>
      <c r="D8" s="768"/>
      <c r="E8" s="1"/>
      <c r="F8" s="768"/>
    </row>
    <row r="9" spans="1:6">
      <c r="A9" s="768"/>
      <c r="B9" s="300" t="s">
        <v>83</v>
      </c>
      <c r="C9" s="55">
        <f>'1-BaseTRR'!K149</f>
        <v>-157560090</v>
      </c>
      <c r="D9" s="768"/>
      <c r="E9" s="1"/>
      <c r="F9" s="768"/>
    </row>
    <row r="10" spans="1:6">
      <c r="A10" s="768"/>
      <c r="B10" s="768" t="s">
        <v>84</v>
      </c>
      <c r="C10" s="5">
        <f ca="1">SUM(C6:C9)</f>
        <v>1325654311.4984229</v>
      </c>
      <c r="D10" s="768"/>
      <c r="E10" s="768"/>
      <c r="F10" s="768"/>
    </row>
    <row r="12" spans="1:6">
      <c r="A12" s="768" t="s">
        <v>85</v>
      </c>
      <c r="B12" s="768"/>
      <c r="C12" s="768"/>
      <c r="D12" s="768"/>
      <c r="E12" s="768"/>
      <c r="F12" s="768"/>
    </row>
    <row r="14" spans="1:6">
      <c r="A14" s="768"/>
      <c r="B14" s="768" t="s">
        <v>86</v>
      </c>
      <c r="C14" s="768"/>
      <c r="D14" s="768"/>
      <c r="E14" s="768"/>
      <c r="F14" s="768"/>
    </row>
    <row r="15" spans="1:6">
      <c r="A15" s="768"/>
      <c r="B15" s="302" t="s">
        <v>87</v>
      </c>
      <c r="C15" s="768"/>
      <c r="D15" s="768"/>
      <c r="E15" s="10"/>
      <c r="F15" s="10"/>
    </row>
    <row r="16" spans="1:6">
      <c r="A16" s="768"/>
      <c r="B16" s="11"/>
      <c r="C16" s="768"/>
      <c r="D16" s="768"/>
      <c r="E16" s="768"/>
      <c r="F16" s="768"/>
    </row>
    <row r="17" spans="2:2">
      <c r="B17" s="768" t="s">
        <v>88</v>
      </c>
    </row>
    <row r="18" spans="2:2">
      <c r="B18" s="300" t="s">
        <v>89</v>
      </c>
    </row>
    <row r="19" spans="2:2">
      <c r="B19" s="11"/>
    </row>
    <row r="20" spans="2:2">
      <c r="B20" s="38" t="s">
        <v>90</v>
      </c>
    </row>
    <row r="21" spans="2:2">
      <c r="B21" s="297" t="s">
        <v>91</v>
      </c>
    </row>
    <row r="23" spans="2:2">
      <c r="B23" s="300" t="s">
        <v>92</v>
      </c>
    </row>
  </sheetData>
  <phoneticPr fontId="22" type="noConversion"/>
  <pageMargins left="0.75" right="0.75" top="1.25" bottom="1" header="0.5" footer="0.5"/>
  <pageSetup orientation="landscape" r:id="rId1"/>
  <headerFooter alignWithMargins="0">
    <oddHeader>&amp;COverview
&amp;RTO2020 Draft Annual Update 
Attachment1</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96"/>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2329</v>
      </c>
      <c r="B1" s="768"/>
      <c r="C1" s="768"/>
      <c r="D1" s="768"/>
      <c r="E1" s="768"/>
      <c r="F1" s="768"/>
      <c r="G1" s="768"/>
      <c r="H1" s="768"/>
      <c r="I1" s="209"/>
    </row>
    <row r="3" spans="1:9">
      <c r="A3" s="768"/>
      <c r="B3" s="1" t="s">
        <v>2330</v>
      </c>
      <c r="C3" s="768"/>
      <c r="D3" s="768"/>
      <c r="E3" s="768"/>
      <c r="F3" s="768"/>
      <c r="G3" s="768"/>
      <c r="H3" s="768"/>
      <c r="I3" s="768"/>
    </row>
    <row r="4" spans="1:9">
      <c r="A4" s="768"/>
      <c r="B4" s="1"/>
      <c r="C4" s="768"/>
      <c r="D4" s="768"/>
      <c r="E4" s="768"/>
      <c r="F4" s="768"/>
      <c r="G4" s="768"/>
      <c r="H4" s="768"/>
      <c r="I4" s="768"/>
    </row>
    <row r="5" spans="1:9">
      <c r="A5" s="768"/>
      <c r="B5" s="1"/>
      <c r="C5" s="1" t="s">
        <v>2331</v>
      </c>
      <c r="D5" s="52" t="s">
        <v>307</v>
      </c>
      <c r="E5" s="52" t="s">
        <v>308</v>
      </c>
      <c r="F5" s="52" t="s">
        <v>309</v>
      </c>
      <c r="G5" s="768"/>
      <c r="H5" s="768"/>
      <c r="I5" s="768"/>
    </row>
    <row r="6" spans="1:9" ht="15">
      <c r="A6" s="768"/>
      <c r="B6" s="768"/>
      <c r="C6" s="768"/>
      <c r="D6" s="143" t="s">
        <v>1024</v>
      </c>
      <c r="E6" s="143" t="s">
        <v>1024</v>
      </c>
      <c r="F6" s="143" t="s">
        <v>1082</v>
      </c>
      <c r="G6" s="768"/>
      <c r="H6" s="768"/>
      <c r="I6" s="768"/>
    </row>
    <row r="7" spans="1:9" ht="15">
      <c r="A7" s="768"/>
      <c r="B7" s="768"/>
      <c r="C7" s="1"/>
      <c r="D7" s="143" t="s">
        <v>1190</v>
      </c>
      <c r="E7" s="143" t="s">
        <v>911</v>
      </c>
      <c r="F7" s="143" t="s">
        <v>1410</v>
      </c>
      <c r="G7" s="768"/>
      <c r="H7" s="768"/>
      <c r="I7" s="768"/>
    </row>
    <row r="8" spans="1:9">
      <c r="A8" s="2" t="s">
        <v>243</v>
      </c>
      <c r="B8" s="768"/>
      <c r="C8" s="2" t="s">
        <v>1172</v>
      </c>
      <c r="D8" s="2" t="s">
        <v>79</v>
      </c>
      <c r="E8" s="2" t="s">
        <v>79</v>
      </c>
      <c r="F8" s="2" t="s">
        <v>79</v>
      </c>
      <c r="G8" s="2" t="s">
        <v>763</v>
      </c>
      <c r="H8" s="768"/>
      <c r="I8" s="768"/>
    </row>
    <row r="9" spans="1:9">
      <c r="A9" s="379">
        <v>1</v>
      </c>
      <c r="B9" s="768"/>
      <c r="C9" s="296" t="s">
        <v>2332</v>
      </c>
      <c r="D9" s="37">
        <f>'10-CWIP'!E25</f>
        <v>156282.26999999999</v>
      </c>
      <c r="E9" s="37">
        <f>'10-CWIP'!E26</f>
        <v>154730.14230769232</v>
      </c>
      <c r="F9" s="37">
        <f>'10-CWIP'!K113</f>
        <v>-156282.26999999999</v>
      </c>
      <c r="G9" s="297" t="str">
        <f>"10-CWIP, Lines "&amp;'10-CWIP'!A25&amp;", "&amp;'10-CWIP'!A26&amp;", "&amp;'10-CWIP'!A113&amp;""</f>
        <v>10-CWIP, Lines 13, 14, 80</v>
      </c>
      <c r="H9" s="768"/>
      <c r="I9" s="768"/>
    </row>
    <row r="10" spans="1:9">
      <c r="A10" s="379">
        <f>A9+1</f>
        <v>2</v>
      </c>
      <c r="B10" s="768"/>
      <c r="C10" s="296" t="s">
        <v>2333</v>
      </c>
      <c r="D10" s="37">
        <f>'10-CWIP'!F25</f>
        <v>0</v>
      </c>
      <c r="E10" s="37">
        <f>'10-CWIP'!F26</f>
        <v>0</v>
      </c>
      <c r="F10" s="37">
        <f>'10-CWIP'!K146</f>
        <v>0</v>
      </c>
      <c r="G10" s="297" t="str">
        <f>"10-CWIP, Lines "&amp;'10-CWIP'!A25&amp;", "&amp;'10-CWIP'!A26&amp;", "&amp;'10-CWIP'!A146&amp;""</f>
        <v>10-CWIP, Lines 13, 14, 106</v>
      </c>
      <c r="H10" s="768"/>
      <c r="I10" s="768"/>
    </row>
    <row r="11" spans="1:9">
      <c r="A11" s="379">
        <f t="shared" ref="A11:A20" si="0">A10+1</f>
        <v>3</v>
      </c>
      <c r="B11" s="768"/>
      <c r="C11" s="296" t="s">
        <v>2334</v>
      </c>
      <c r="D11" s="37">
        <f>'10-CWIP'!G25</f>
        <v>5220451.6500000004</v>
      </c>
      <c r="E11" s="37">
        <f>'10-CWIP'!G26</f>
        <v>5033406.8307692315</v>
      </c>
      <c r="F11" s="37">
        <f>'10-CWIP'!K179</f>
        <v>835608.33269230858</v>
      </c>
      <c r="G11" s="297" t="str">
        <f>"10-CWIP, Lines "&amp;'10-CWIP'!A25&amp;", "&amp;'10-CWIP'!A26&amp;", "&amp;'10-CWIP'!A179&amp;""</f>
        <v>10-CWIP, Lines 13, 14, 132</v>
      </c>
      <c r="H11" s="768"/>
      <c r="I11" s="768"/>
    </row>
    <row r="12" spans="1:9">
      <c r="A12" s="379">
        <f t="shared" si="0"/>
        <v>4</v>
      </c>
      <c r="B12" s="768"/>
      <c r="C12" s="296" t="s">
        <v>2335</v>
      </c>
      <c r="D12" s="37">
        <f>'10-CWIP'!H25</f>
        <v>228226372.41</v>
      </c>
      <c r="E12" s="37">
        <f>'10-CWIP'!H26</f>
        <v>143710302.75230771</v>
      </c>
      <c r="F12" s="37">
        <f>'10-CWIP'!K212</f>
        <v>249763228.39923066</v>
      </c>
      <c r="G12" s="297" t="str">
        <f>"10-CWIP, Lines "&amp;'10-CWIP'!A25&amp;", "&amp;'10-CWIP'!A26&amp;", "&amp;'10-CWIP'!A212&amp;""</f>
        <v>10-CWIP, Lines 13, 14, 158</v>
      </c>
      <c r="H12" s="768"/>
      <c r="I12" s="768"/>
    </row>
    <row r="13" spans="1:9">
      <c r="A13" s="379">
        <f t="shared" si="0"/>
        <v>5</v>
      </c>
      <c r="B13" s="768"/>
      <c r="C13" s="296" t="s">
        <v>2336</v>
      </c>
      <c r="D13" s="37">
        <f>'10-CWIP'!I25</f>
        <v>0</v>
      </c>
      <c r="E13" s="37">
        <f>'10-CWIP'!I26</f>
        <v>0</v>
      </c>
      <c r="F13" s="37">
        <f>'10-CWIP'!K245</f>
        <v>0</v>
      </c>
      <c r="G13" s="297" t="str">
        <f>"10-CWIP, Lines "&amp;'10-CWIP'!A25&amp;", "&amp;'10-CWIP'!A26&amp;", "&amp;'10-CWIP'!A245&amp;""</f>
        <v>10-CWIP, Lines 13, 14, 184</v>
      </c>
      <c r="H13" s="768"/>
      <c r="I13" s="768"/>
    </row>
    <row r="14" spans="1:9">
      <c r="A14" s="379">
        <f t="shared" si="0"/>
        <v>6</v>
      </c>
      <c r="B14" s="768"/>
      <c r="C14" s="296" t="s">
        <v>2337</v>
      </c>
      <c r="D14" s="37">
        <f>'10-CWIP'!D45</f>
        <v>0</v>
      </c>
      <c r="E14" s="37">
        <f>'10-CWIP'!D46</f>
        <v>0</v>
      </c>
      <c r="F14" s="37">
        <f>'10-CWIP'!K278</f>
        <v>0</v>
      </c>
      <c r="G14" s="297" t="str">
        <f>"10-CWIP, Lines "&amp;'10-CWIP'!A45&amp;", "&amp;'10-CWIP'!A46&amp;", "&amp;'10-CWIP'!A278&amp;""</f>
        <v>10-CWIP, Lines 27, 28, 210</v>
      </c>
      <c r="H14" s="768"/>
      <c r="I14" s="768"/>
    </row>
    <row r="15" spans="1:9">
      <c r="A15" s="379">
        <f t="shared" si="0"/>
        <v>7</v>
      </c>
      <c r="B15" s="768"/>
      <c r="C15" s="296" t="s">
        <v>2338</v>
      </c>
      <c r="D15" s="37">
        <f>'10-CWIP'!E45</f>
        <v>0</v>
      </c>
      <c r="E15" s="37">
        <f>'10-CWIP'!E46</f>
        <v>0</v>
      </c>
      <c r="F15" s="37">
        <f>'10-CWIP'!K311</f>
        <v>8985110.6875</v>
      </c>
      <c r="G15" s="297" t="str">
        <f>"10-CWIP, Lines "&amp;'10-CWIP'!A45&amp;", "&amp;'10-CWIP'!A46&amp;", "&amp;'10-CWIP'!A311&amp;""</f>
        <v>10-CWIP, Lines 27, 28, 236</v>
      </c>
      <c r="H15" s="768"/>
      <c r="I15" s="768"/>
    </row>
    <row r="16" spans="1:9">
      <c r="A16" s="379">
        <f t="shared" si="0"/>
        <v>8</v>
      </c>
      <c r="B16" s="768"/>
      <c r="C16" s="669" t="s">
        <v>2339</v>
      </c>
      <c r="D16" s="37">
        <f>'10-CWIP'!F45</f>
        <v>123208373.91</v>
      </c>
      <c r="E16" s="37">
        <f>'10-CWIP'!F46</f>
        <v>84051373.096923083</v>
      </c>
      <c r="F16" s="37">
        <f>'10-CWIP'!K344</f>
        <v>143072495.03302944</v>
      </c>
      <c r="G16" s="297" t="str">
        <f>"10-CWIP, Lines "&amp;'10-CWIP'!A45&amp;", "&amp;'10-CWIP'!A46&amp;", "&amp;'10-CWIP'!A344&amp;""</f>
        <v>10-CWIP, Lines 27, 28, 262</v>
      </c>
      <c r="H16" s="768"/>
      <c r="I16" s="768"/>
    </row>
    <row r="17" spans="1:7">
      <c r="A17" s="379">
        <f t="shared" si="0"/>
        <v>9</v>
      </c>
      <c r="B17" s="768"/>
      <c r="C17" s="669" t="s">
        <v>2340</v>
      </c>
      <c r="D17" s="37">
        <f>'10-CWIP'!G45</f>
        <v>20101220.48</v>
      </c>
      <c r="E17" s="37">
        <f>'10-CWIP'!G46</f>
        <v>18124041.129999999</v>
      </c>
      <c r="F17" s="37">
        <f>'10-CWIP'!K377</f>
        <v>1266087.5524769193</v>
      </c>
      <c r="G17" s="297" t="str">
        <f>"10-CWIP, Lines "&amp;'10-CWIP'!A45&amp;", "&amp;'10-CWIP'!A46&amp;", "&amp;'10-CWIP'!A377&amp;""</f>
        <v>10-CWIP, Lines 27, 28, 288</v>
      </c>
    </row>
    <row r="18" spans="1:7">
      <c r="A18" s="379">
        <f t="shared" si="0"/>
        <v>10</v>
      </c>
      <c r="B18" s="768"/>
      <c r="C18" s="669" t="s">
        <v>2341</v>
      </c>
      <c r="D18" s="696">
        <f>'10-CWIP'!H45</f>
        <v>65187846.759999998</v>
      </c>
      <c r="E18" s="696">
        <f>'10-CWIP'!H46</f>
        <v>46148080.533846155</v>
      </c>
      <c r="F18" s="696">
        <f>'10-CWIP'!K410</f>
        <v>75457508.98653847</v>
      </c>
      <c r="G18" s="297" t="str">
        <f>"10-CWIP, Lines "&amp;'10-CWIP'!A45&amp;", "&amp;'10-CWIP'!A46&amp;", "&amp;'10-CWIP'!A410&amp;""</f>
        <v>10-CWIP, Lines 27, 28, 314</v>
      </c>
    </row>
    <row r="19" spans="1:7">
      <c r="A19" s="379">
        <f t="shared" si="0"/>
        <v>11</v>
      </c>
      <c r="B19" s="768"/>
      <c r="C19" s="1268"/>
      <c r="D19" s="204">
        <f>'10-CWIP'!I45</f>
        <v>0</v>
      </c>
      <c r="E19" s="204" t="str">
        <f>'10-CWIP'!I46</f>
        <v>---</v>
      </c>
      <c r="F19" s="34">
        <f>'10-CWIP'!K443</f>
        <v>0</v>
      </c>
      <c r="G19" s="297" t="str">
        <f>"10-CWIP, Lines "&amp;'10-CWIP'!A45&amp;", "&amp;'10-CWIP'!A46&amp;", 340"</f>
        <v>10-CWIP, Lines 27, 28, 340</v>
      </c>
    </row>
    <row r="20" spans="1:7">
      <c r="A20" s="379">
        <f t="shared" si="0"/>
        <v>12</v>
      </c>
      <c r="B20" s="768"/>
      <c r="C20" s="296" t="s">
        <v>406</v>
      </c>
      <c r="D20" s="37">
        <f>SUM(D9:D19)</f>
        <v>442100547.48000002</v>
      </c>
      <c r="E20" s="37">
        <f>SUM(E9:E19)</f>
        <v>297221934.48615384</v>
      </c>
      <c r="F20" s="37">
        <f>SUM(F9:F19)</f>
        <v>479223756.72146785</v>
      </c>
      <c r="G20" s="302" t="str">
        <f>"Sum of Lines "&amp;A9&amp;" to "&amp;A19&amp;""</f>
        <v>Sum of Lines 1 to 11</v>
      </c>
    </row>
    <row r="21" spans="1:7">
      <c r="A21" s="379"/>
      <c r="B21" s="768"/>
      <c r="C21" s="1"/>
      <c r="D21" s="768"/>
      <c r="E21" s="768"/>
      <c r="F21" s="768"/>
      <c r="G21" s="768"/>
    </row>
    <row r="22" spans="1:7" ht="15">
      <c r="A22" s="379"/>
      <c r="B22" s="768"/>
      <c r="C22" s="1" t="s">
        <v>2342</v>
      </c>
      <c r="D22" s="143" t="s">
        <v>1190</v>
      </c>
      <c r="E22" s="143" t="s">
        <v>911</v>
      </c>
      <c r="F22" s="302"/>
      <c r="G22" s="768"/>
    </row>
    <row r="23" spans="1:7">
      <c r="A23" s="768"/>
      <c r="B23" s="768"/>
      <c r="C23" s="768"/>
      <c r="D23" s="2" t="s">
        <v>79</v>
      </c>
      <c r="E23" s="2" t="s">
        <v>79</v>
      </c>
      <c r="F23" s="2" t="s">
        <v>763</v>
      </c>
      <c r="G23" s="768"/>
    </row>
    <row r="24" spans="1:7">
      <c r="A24" s="379">
        <f>A20+1</f>
        <v>13</v>
      </c>
      <c r="B24" s="768"/>
      <c r="C24" s="296" t="s">
        <v>2343</v>
      </c>
      <c r="D24" s="5">
        <f>D20</f>
        <v>442100547.48000002</v>
      </c>
      <c r="E24" s="5">
        <f>E20</f>
        <v>297221934.48615384</v>
      </c>
      <c r="F24" s="67" t="str">
        <f>"Line "&amp;A20&amp;""</f>
        <v>Line 12</v>
      </c>
      <c r="G24" s="10"/>
    </row>
    <row r="25" spans="1:7">
      <c r="A25" s="379">
        <f>A24+1</f>
        <v>14</v>
      </c>
      <c r="B25" s="768"/>
      <c r="C25" s="296" t="s">
        <v>2344</v>
      </c>
      <c r="D25" s="6">
        <f>'1-BaseTRR'!K91</f>
        <v>0.10905460556590693</v>
      </c>
      <c r="E25" s="6">
        <f>'1-BaseTRR'!K91</f>
        <v>0.10905460556590693</v>
      </c>
      <c r="F25" s="67" t="str">
        <f>"1-BaseTRR, Line "&amp;'1-BaseTRR'!A91&amp;""</f>
        <v>1-BaseTRR, Line 54</v>
      </c>
      <c r="G25" s="10"/>
    </row>
    <row r="26" spans="1:7">
      <c r="A26" s="379">
        <f>A25+1</f>
        <v>15</v>
      </c>
      <c r="B26" s="768"/>
      <c r="C26" s="18" t="s">
        <v>2345</v>
      </c>
      <c r="D26" s="5">
        <f>D24*D25</f>
        <v>48213100.825902909</v>
      </c>
      <c r="E26" s="5">
        <f>E24*E25</f>
        <v>32413420.830923337</v>
      </c>
      <c r="F26" s="67" t="str">
        <f>"Line "&amp;A24&amp;" * Line "&amp;A25&amp;""</f>
        <v>Line 13 * Line 14</v>
      </c>
      <c r="G26" s="10"/>
    </row>
    <row r="27" spans="1:7">
      <c r="A27" s="768"/>
      <c r="B27" s="768"/>
      <c r="C27" s="768"/>
      <c r="D27" s="768"/>
      <c r="E27" s="768"/>
      <c r="F27" s="10"/>
      <c r="G27" s="768"/>
    </row>
    <row r="28" spans="1:7">
      <c r="A28" s="768"/>
      <c r="B28" s="768"/>
      <c r="C28" s="1" t="s">
        <v>2346</v>
      </c>
      <c r="D28" s="768"/>
      <c r="E28" s="768"/>
      <c r="F28" s="10"/>
      <c r="G28" s="768"/>
    </row>
    <row r="29" spans="1:7" ht="15">
      <c r="A29" s="768"/>
      <c r="B29" s="768"/>
      <c r="C29" s="768"/>
      <c r="D29" s="143" t="s">
        <v>1190</v>
      </c>
      <c r="E29" s="143" t="s">
        <v>911</v>
      </c>
      <c r="F29" s="10"/>
      <c r="G29" s="768"/>
    </row>
    <row r="30" spans="1:7">
      <c r="A30" s="768"/>
      <c r="B30" s="768"/>
      <c r="C30" s="768"/>
      <c r="D30" s="2" t="s">
        <v>79</v>
      </c>
      <c r="E30" s="2" t="s">
        <v>79</v>
      </c>
      <c r="F30" s="74" t="s">
        <v>763</v>
      </c>
      <c r="G30" s="768"/>
    </row>
    <row r="31" spans="1:7" ht="15">
      <c r="A31" s="143">
        <f>A26+1</f>
        <v>16</v>
      </c>
      <c r="B31" s="768"/>
      <c r="C31" s="296" t="s">
        <v>2343</v>
      </c>
      <c r="D31" s="5">
        <f>D20</f>
        <v>442100547.48000002</v>
      </c>
      <c r="E31" s="5">
        <f>E20</f>
        <v>297221934.48615384</v>
      </c>
      <c r="F31" s="67" t="str">
        <f>"Line "&amp;A20&amp;""</f>
        <v>Line 12</v>
      </c>
      <c r="G31" s="10"/>
    </row>
    <row r="32" spans="1:7">
      <c r="A32" s="379">
        <f t="shared" ref="A32:A38" si="1">A31+1</f>
        <v>17</v>
      </c>
      <c r="B32" s="768"/>
      <c r="C32" s="669" t="s">
        <v>2347</v>
      </c>
      <c r="D32" s="6">
        <f>'1-BaseTRR'!K93</f>
        <v>8.8256906886912095E-2</v>
      </c>
      <c r="E32" s="6">
        <f>'1-BaseTRR'!K93</f>
        <v>8.8256906886912095E-2</v>
      </c>
      <c r="F32" s="67" t="str">
        <f>"1-BaseTRR, Line "&amp;'1-BaseTRR'!A93&amp;""</f>
        <v>1-BaseTRR, Line 55</v>
      </c>
      <c r="G32" s="10"/>
    </row>
    <row r="33" spans="1:7">
      <c r="A33" s="379">
        <f t="shared" si="1"/>
        <v>18</v>
      </c>
      <c r="B33" s="768"/>
      <c r="C33" s="669" t="s">
        <v>254</v>
      </c>
      <c r="D33" s="6">
        <f>'1-BaseTRR'!K102</f>
        <v>0.27983599999999997</v>
      </c>
      <c r="E33" s="6">
        <f>'1-BaseTRR'!K102</f>
        <v>0.27983599999999997</v>
      </c>
      <c r="F33" s="67" t="str">
        <f>"1-BaseTRR, Line "&amp;'1-BaseTRR'!A102&amp;""</f>
        <v>1-BaseTRR, Line 59</v>
      </c>
      <c r="G33" s="10"/>
    </row>
    <row r="34" spans="1:7">
      <c r="A34" s="379">
        <f t="shared" si="1"/>
        <v>19</v>
      </c>
      <c r="B34" s="768"/>
      <c r="C34" s="669" t="s">
        <v>191</v>
      </c>
      <c r="D34" s="37">
        <f>((D24*D32)*(D33/(1-D33)))</f>
        <v>15161491.683842389</v>
      </c>
      <c r="E34" s="37">
        <f>((E24*E32)*(E33/(1-E33)))</f>
        <v>10192993.231186235</v>
      </c>
      <c r="F34" s="297" t="str">
        <f>"Formula on Line "&amp;A36&amp;""</f>
        <v>Formula on Line 21</v>
      </c>
      <c r="G34" s="10"/>
    </row>
    <row r="35" spans="1:7">
      <c r="A35" s="379">
        <f t="shared" si="1"/>
        <v>20</v>
      </c>
      <c r="B35" s="768"/>
      <c r="C35" s="10"/>
      <c r="D35" s="10"/>
      <c r="E35" s="10"/>
      <c r="F35" s="10"/>
      <c r="G35" s="10"/>
    </row>
    <row r="36" spans="1:7">
      <c r="A36" s="379">
        <f t="shared" si="1"/>
        <v>21</v>
      </c>
      <c r="B36" s="768"/>
      <c r="C36" s="297" t="str">
        <f>"Income Taxes = [(RB * ER) * (CTR/(1 – CTR)], or [(L"&amp;A24&amp;" * L"&amp;A32&amp;") * (L"&amp;A33&amp;" / (1 - L"&amp;A33&amp;")]"</f>
        <v>Income Taxes = [(RB * ER) * (CTR/(1 – CTR)], or [(L13 * L17) * (L18 / (1 - L18)]</v>
      </c>
      <c r="D36" s="10"/>
      <c r="E36" s="37"/>
      <c r="F36" s="300"/>
      <c r="G36" s="10"/>
    </row>
    <row r="37" spans="1:7">
      <c r="A37" s="379">
        <f t="shared" si="1"/>
        <v>22</v>
      </c>
      <c r="B37" s="768"/>
      <c r="C37" s="297" t="s">
        <v>2348</v>
      </c>
      <c r="D37" s="10"/>
      <c r="E37" s="37"/>
      <c r="F37" s="300"/>
      <c r="G37" s="10"/>
    </row>
    <row r="38" spans="1:7">
      <c r="A38" s="379">
        <f t="shared" si="1"/>
        <v>23</v>
      </c>
      <c r="B38" s="768"/>
      <c r="C38" s="768"/>
      <c r="D38" s="302"/>
      <c r="E38" s="5"/>
      <c r="F38" s="298"/>
      <c r="G38" s="302"/>
    </row>
    <row r="39" spans="1:7">
      <c r="A39" s="768"/>
      <c r="B39" s="768"/>
      <c r="C39" s="1" t="s">
        <v>2349</v>
      </c>
      <c r="D39" s="768"/>
      <c r="E39" s="768"/>
      <c r="F39" s="768"/>
      <c r="G39" s="768"/>
    </row>
    <row r="40" spans="1:7">
      <c r="A40" s="768"/>
      <c r="B40" s="768"/>
      <c r="C40" s="768"/>
      <c r="D40" s="2" t="s">
        <v>100</v>
      </c>
      <c r="E40" s="2" t="s">
        <v>763</v>
      </c>
      <c r="F40" s="768"/>
      <c r="G40" s="768"/>
    </row>
    <row r="41" spans="1:7">
      <c r="A41" s="379">
        <f>A38+1</f>
        <v>24</v>
      </c>
      <c r="B41" s="768"/>
      <c r="C41" s="669" t="s">
        <v>1361</v>
      </c>
      <c r="D41" s="37">
        <f>'15-IncentiveAdder'!G17</f>
        <v>6591.2325013469817</v>
      </c>
      <c r="E41" s="67" t="str">
        <f>"15-IncentiveAdder, Line "&amp;'15-IncentiveAdder'!A17&amp;""</f>
        <v>15-IncentiveAdder, Line 3</v>
      </c>
      <c r="F41" s="10"/>
      <c r="G41" s="10"/>
    </row>
    <row r="42" spans="1:7">
      <c r="A42" s="768"/>
      <c r="B42" s="768"/>
      <c r="C42" s="10"/>
      <c r="D42" s="10"/>
      <c r="E42" s="10"/>
      <c r="F42" s="10"/>
      <c r="G42" s="10"/>
    </row>
    <row r="43" spans="1:7">
      <c r="A43" s="768"/>
      <c r="B43" s="768"/>
      <c r="C43" s="723" t="s">
        <v>1256</v>
      </c>
      <c r="D43" s="10"/>
      <c r="E43" s="10"/>
      <c r="F43" s="10"/>
      <c r="G43" s="10"/>
    </row>
    <row r="44" spans="1:7" ht="15">
      <c r="A44" s="768"/>
      <c r="B44" s="768"/>
      <c r="C44" s="10"/>
      <c r="D44" s="724" t="s">
        <v>1190</v>
      </c>
      <c r="E44" s="724" t="s">
        <v>911</v>
      </c>
      <c r="F44" s="10"/>
      <c r="G44" s="10"/>
    </row>
    <row r="45" spans="1:7">
      <c r="A45" s="768"/>
      <c r="B45" s="768"/>
      <c r="C45" s="10"/>
      <c r="D45" s="74" t="s">
        <v>79</v>
      </c>
      <c r="E45" s="74" t="s">
        <v>79</v>
      </c>
      <c r="F45" s="10"/>
      <c r="G45" s="10"/>
    </row>
    <row r="46" spans="1:7">
      <c r="A46" s="379">
        <f>A41+1</f>
        <v>25</v>
      </c>
      <c r="B46" s="768"/>
      <c r="C46" s="669" t="s">
        <v>274</v>
      </c>
      <c r="D46" s="37">
        <f>D9</f>
        <v>156282.26999999999</v>
      </c>
      <c r="E46" s="37">
        <f>E9</f>
        <v>154730.14230769232</v>
      </c>
      <c r="F46" s="67" t="str">
        <f>"Line "&amp;A9&amp;""</f>
        <v>Line 1</v>
      </c>
      <c r="G46" s="10"/>
    </row>
    <row r="47" spans="1:7">
      <c r="A47" s="379">
        <f>A46+1</f>
        <v>26</v>
      </c>
      <c r="B47" s="768"/>
      <c r="C47" s="669" t="s">
        <v>2350</v>
      </c>
      <c r="D47" s="47">
        <f>'15-IncentiveAdder'!E26</f>
        <v>1.2500000000000001E-2</v>
      </c>
      <c r="E47" s="47">
        <f>'15-IncentiveAdder'!E26</f>
        <v>1.2500000000000001E-2</v>
      </c>
      <c r="F47" s="67" t="str">
        <f>"15-IncentiveAdder, Line "&amp;'15-IncentiveAdder'!A26&amp;""</f>
        <v>15-IncentiveAdder, Line 5</v>
      </c>
      <c r="G47" s="10"/>
    </row>
    <row r="48" spans="1:7">
      <c r="A48" s="379">
        <f>A47+1</f>
        <v>27</v>
      </c>
      <c r="B48" s="768"/>
      <c r="C48" s="669" t="s">
        <v>2351</v>
      </c>
      <c r="D48" s="37">
        <f>(D46/1000000)*($D$41*(D47/0.01))</f>
        <v>1287.6159717603555</v>
      </c>
      <c r="E48" s="37">
        <f>(E46/1000000)*($D$41*(E47/0.01))</f>
        <v>1274.8279286456318</v>
      </c>
      <c r="F48" s="297" t="str">
        <f>"Formula on Line "&amp;A57&amp;""</f>
        <v>Formula on Line 32</v>
      </c>
      <c r="G48" s="10"/>
    </row>
    <row r="49" spans="1:7">
      <c r="A49" s="768"/>
      <c r="B49" s="768"/>
      <c r="C49" s="212"/>
      <c r="D49" s="10"/>
      <c r="E49" s="10"/>
      <c r="F49" s="10"/>
      <c r="G49" s="10"/>
    </row>
    <row r="50" spans="1:7">
      <c r="A50" s="768"/>
      <c r="B50" s="768"/>
      <c r="C50" s="723" t="s">
        <v>2352</v>
      </c>
      <c r="D50" s="10"/>
      <c r="E50" s="74"/>
      <c r="F50" s="74"/>
      <c r="G50" s="10"/>
    </row>
    <row r="51" spans="1:7" ht="15">
      <c r="A51" s="768"/>
      <c r="B51" s="768"/>
      <c r="C51" s="10"/>
      <c r="D51" s="724" t="s">
        <v>1190</v>
      </c>
      <c r="E51" s="724" t="s">
        <v>911</v>
      </c>
      <c r="F51" s="10"/>
      <c r="G51" s="10"/>
    </row>
    <row r="52" spans="1:7">
      <c r="A52" s="768"/>
      <c r="B52" s="768"/>
      <c r="C52" s="10"/>
      <c r="D52" s="74" t="s">
        <v>79</v>
      </c>
      <c r="E52" s="74" t="s">
        <v>79</v>
      </c>
      <c r="F52" s="10"/>
      <c r="G52" s="10"/>
    </row>
    <row r="53" spans="1:7">
      <c r="A53" s="379">
        <f>A48+1</f>
        <v>28</v>
      </c>
      <c r="B53" s="768"/>
      <c r="C53" s="669" t="s">
        <v>277</v>
      </c>
      <c r="D53" s="37">
        <f>D10</f>
        <v>0</v>
      </c>
      <c r="E53" s="37">
        <f>E10</f>
        <v>0</v>
      </c>
      <c r="F53" s="67" t="str">
        <f>"Line "&amp;A10&amp;""</f>
        <v>Line 2</v>
      </c>
      <c r="G53" s="10"/>
    </row>
    <row r="54" spans="1:7">
      <c r="A54" s="379">
        <f>A53+1</f>
        <v>29</v>
      </c>
      <c r="B54" s="768"/>
      <c r="C54" s="669" t="s">
        <v>2350</v>
      </c>
      <c r="D54" s="47">
        <f>'15-IncentiveAdder'!E27</f>
        <v>0.01</v>
      </c>
      <c r="E54" s="47">
        <f>'15-IncentiveAdder'!E27</f>
        <v>0.01</v>
      </c>
      <c r="F54" s="67" t="str">
        <f>"15-IncentiveAdder, Line "&amp;'15-IncentiveAdder'!A27&amp;""</f>
        <v>15-IncentiveAdder, Line 6</v>
      </c>
      <c r="G54" s="10"/>
    </row>
    <row r="55" spans="1:7">
      <c r="A55" s="379">
        <f>A54+1</f>
        <v>30</v>
      </c>
      <c r="B55" s="768"/>
      <c r="C55" s="669" t="s">
        <v>2351</v>
      </c>
      <c r="D55" s="37">
        <f>(D53/1000000)*($D$41*(D54/0.01))</f>
        <v>0</v>
      </c>
      <c r="E55" s="37">
        <f>(E53/1000000)*($D$41*(E54/0.01))</f>
        <v>0</v>
      </c>
      <c r="F55" s="297" t="str">
        <f>"Formula on Line "&amp;A57&amp;""</f>
        <v>Formula on Line 32</v>
      </c>
      <c r="G55" s="10"/>
    </row>
    <row r="56" spans="1:7">
      <c r="A56" s="379">
        <f>A55+1</f>
        <v>31</v>
      </c>
      <c r="B56" s="768"/>
      <c r="C56" s="10"/>
      <c r="D56" s="668"/>
      <c r="E56" s="37"/>
      <c r="F56" s="297"/>
      <c r="G56" s="10"/>
    </row>
    <row r="57" spans="1:7">
      <c r="A57" s="379">
        <f>A56+1</f>
        <v>32</v>
      </c>
      <c r="B57" s="768"/>
      <c r="C57" s="668" t="s">
        <v>2353</v>
      </c>
      <c r="D57" s="37"/>
      <c r="E57" s="297"/>
      <c r="F57" s="10"/>
      <c r="G57" s="10"/>
    </row>
    <row r="59" spans="1:7">
      <c r="A59" s="768"/>
      <c r="B59" s="768"/>
      <c r="C59" s="1" t="s">
        <v>2354</v>
      </c>
      <c r="D59" s="768"/>
      <c r="E59" s="768"/>
      <c r="F59" s="768"/>
      <c r="G59" s="768"/>
    </row>
    <row r="60" spans="1:7">
      <c r="A60" s="768"/>
      <c r="B60" s="768"/>
      <c r="C60" s="1"/>
      <c r="D60" s="768"/>
      <c r="E60" s="768"/>
      <c r="F60" s="768"/>
      <c r="G60" s="768"/>
    </row>
    <row r="61" spans="1:7" ht="15">
      <c r="A61" s="768"/>
      <c r="B61" s="768"/>
      <c r="C61" s="1"/>
      <c r="D61" s="768"/>
      <c r="E61" s="143" t="s">
        <v>337</v>
      </c>
      <c r="F61" s="768"/>
      <c r="G61" s="768"/>
    </row>
    <row r="62" spans="1:7" ht="15">
      <c r="A62" s="768"/>
      <c r="B62" s="768"/>
      <c r="C62" s="1"/>
      <c r="D62" s="143" t="s">
        <v>2355</v>
      </c>
      <c r="E62" s="143" t="s">
        <v>344</v>
      </c>
      <c r="F62" s="768"/>
      <c r="G62" s="768"/>
    </row>
    <row r="63" spans="1:7">
      <c r="A63" s="768"/>
      <c r="B63" s="768"/>
      <c r="C63" s="768"/>
      <c r="D63" s="2" t="s">
        <v>79</v>
      </c>
      <c r="E63" s="2" t="s">
        <v>79</v>
      </c>
      <c r="F63" s="2" t="s">
        <v>763</v>
      </c>
      <c r="G63" s="768"/>
    </row>
    <row r="64" spans="1:7">
      <c r="A64" s="379">
        <f>A57+1</f>
        <v>33</v>
      </c>
      <c r="B64" s="768"/>
      <c r="C64" s="296" t="s">
        <v>2356</v>
      </c>
      <c r="D64" s="5">
        <f>D26</f>
        <v>48213100.825902909</v>
      </c>
      <c r="E64" s="5">
        <f>E26</f>
        <v>32413420.830923337</v>
      </c>
      <c r="F64" s="67" t="str">
        <f>"Line "&amp;A26&amp;""</f>
        <v>Line 15</v>
      </c>
      <c r="G64" s="10"/>
    </row>
    <row r="65" spans="1:10">
      <c r="A65" s="379">
        <f>A64+1</f>
        <v>34</v>
      </c>
      <c r="B65" s="768"/>
      <c r="C65" s="296" t="s">
        <v>191</v>
      </c>
      <c r="D65" s="5">
        <f>D34</f>
        <v>15161491.683842389</v>
      </c>
      <c r="E65" s="5">
        <f>E34</f>
        <v>10192993.231186235</v>
      </c>
      <c r="F65" s="67" t="str">
        <f>"Line "&amp;A34&amp;""</f>
        <v>Line 19</v>
      </c>
      <c r="G65" s="10"/>
      <c r="H65" s="768"/>
      <c r="I65" s="768"/>
      <c r="J65" s="768"/>
    </row>
    <row r="66" spans="1:10">
      <c r="A66" s="379">
        <f>A65+1</f>
        <v>35</v>
      </c>
      <c r="B66" s="768"/>
      <c r="C66" s="296" t="s">
        <v>2357</v>
      </c>
      <c r="D66" s="5">
        <f>D48</f>
        <v>1287.6159717603555</v>
      </c>
      <c r="E66" s="5">
        <f>E48</f>
        <v>1274.8279286456318</v>
      </c>
      <c r="F66" s="67" t="str">
        <f>"Line "&amp;A48&amp;""</f>
        <v>Line 27</v>
      </c>
      <c r="G66" s="10"/>
      <c r="H66" s="768"/>
      <c r="I66" s="768"/>
      <c r="J66" s="768"/>
    </row>
    <row r="67" spans="1:10">
      <c r="A67" s="379">
        <f>A66+1</f>
        <v>36</v>
      </c>
      <c r="B67" s="768"/>
      <c r="C67" s="296" t="s">
        <v>2358</v>
      </c>
      <c r="D67" s="305">
        <f>D55</f>
        <v>0</v>
      </c>
      <c r="E67" s="135">
        <f>E55</f>
        <v>0</v>
      </c>
      <c r="F67" s="67" t="str">
        <f>"Line "&amp;A55&amp;""</f>
        <v>Line 30</v>
      </c>
      <c r="G67" s="10"/>
      <c r="H67" s="768"/>
      <c r="I67" s="768"/>
      <c r="J67" s="768"/>
    </row>
    <row r="68" spans="1:10">
      <c r="A68" s="379">
        <f t="shared" ref="A68:A69" si="2">A67+1</f>
        <v>37</v>
      </c>
      <c r="B68" s="768"/>
      <c r="C68" s="296" t="s">
        <v>2359</v>
      </c>
      <c r="D68" s="55">
        <f>SUM(D64:D67)*('28-FFU'!D22+'28-FFU'!E22)</f>
        <v>721090.76407040877</v>
      </c>
      <c r="E68" s="55">
        <f>SUM(E64:E67)*('28-FFU'!D22)</f>
        <v>393865.47609951335</v>
      </c>
      <c r="F68" s="297" t="s">
        <v>150</v>
      </c>
      <c r="G68" s="10"/>
      <c r="H68" s="768"/>
      <c r="I68" s="768"/>
      <c r="J68" s="768"/>
    </row>
    <row r="69" spans="1:10">
      <c r="A69" s="379">
        <f t="shared" si="2"/>
        <v>38</v>
      </c>
      <c r="B69" s="768"/>
      <c r="C69" s="296" t="s">
        <v>382</v>
      </c>
      <c r="D69" s="5">
        <f>SUM(D64:D68)</f>
        <v>64096970.889787465</v>
      </c>
      <c r="E69" s="5">
        <f>SUM(E64:E68)</f>
        <v>43001554.366137736</v>
      </c>
      <c r="F69" s="297" t="str">
        <f>"Sum Lines "&amp;A64&amp;" to "&amp;A68&amp;""</f>
        <v>Sum Lines 33 to 37</v>
      </c>
      <c r="G69" s="10"/>
      <c r="H69" s="768"/>
      <c r="I69" s="768"/>
      <c r="J69" s="768"/>
    </row>
    <row r="70" spans="1:10">
      <c r="A70" s="379"/>
      <c r="B70" s="768"/>
      <c r="C70" s="768"/>
      <c r="D70" s="296"/>
      <c r="E70" s="5"/>
      <c r="F70" s="302"/>
      <c r="G70" s="768"/>
      <c r="H70" s="768"/>
      <c r="I70" s="768"/>
      <c r="J70" s="768"/>
    </row>
    <row r="71" spans="1:10" ht="12.75" customHeight="1">
      <c r="A71" s="379"/>
      <c r="B71" s="768"/>
      <c r="C71" s="209" t="s">
        <v>2360</v>
      </c>
      <c r="D71" s="296"/>
      <c r="E71" s="5"/>
      <c r="F71" s="302"/>
      <c r="G71" s="768"/>
      <c r="H71" s="768"/>
      <c r="I71" s="768"/>
      <c r="J71" s="768"/>
    </row>
    <row r="72" spans="1:10">
      <c r="A72" s="379"/>
      <c r="B72" s="768"/>
      <c r="C72" s="768"/>
      <c r="D72" s="296"/>
      <c r="E72" s="5"/>
      <c r="F72" s="302"/>
      <c r="G72" s="768"/>
      <c r="H72" s="768"/>
      <c r="I72" s="768"/>
      <c r="J72" s="768"/>
    </row>
    <row r="73" spans="1:10" ht="12.75" customHeight="1">
      <c r="A73" s="379"/>
      <c r="B73" s="768"/>
      <c r="C73" s="209" t="s">
        <v>2361</v>
      </c>
      <c r="D73" s="296"/>
      <c r="E73" s="5"/>
      <c r="F73" s="302"/>
      <c r="G73" s="768"/>
      <c r="H73" s="768"/>
      <c r="I73" s="768"/>
      <c r="J73" s="768"/>
    </row>
    <row r="74" spans="1:10" ht="15">
      <c r="A74" s="379"/>
      <c r="B74" s="768"/>
      <c r="C74" s="209"/>
      <c r="D74" s="52" t="s">
        <v>307</v>
      </c>
      <c r="E74" s="52" t="s">
        <v>308</v>
      </c>
      <c r="F74" s="52" t="s">
        <v>309</v>
      </c>
      <c r="G74" s="52" t="s">
        <v>310</v>
      </c>
      <c r="H74" s="52" t="s">
        <v>311</v>
      </c>
      <c r="I74" s="768"/>
      <c r="J74" s="768"/>
    </row>
    <row r="75" spans="1:10" ht="15">
      <c r="A75" s="379"/>
      <c r="B75" s="768"/>
      <c r="C75" s="209"/>
      <c r="D75" s="379" t="s">
        <v>2362</v>
      </c>
      <c r="E75" s="293" t="s">
        <v>2363</v>
      </c>
      <c r="F75" s="379"/>
      <c r="G75" s="768"/>
      <c r="H75" s="307" t="s">
        <v>2364</v>
      </c>
      <c r="I75" s="768"/>
      <c r="J75" s="768"/>
    </row>
    <row r="76" spans="1:10" ht="15">
      <c r="A76" s="379"/>
      <c r="B76" s="768"/>
      <c r="C76" s="2" t="s">
        <v>1172</v>
      </c>
      <c r="D76" s="2" t="s">
        <v>2365</v>
      </c>
      <c r="E76" s="231" t="s">
        <v>2366</v>
      </c>
      <c r="F76" s="2" t="s">
        <v>1367</v>
      </c>
      <c r="G76" s="2" t="s">
        <v>2367</v>
      </c>
      <c r="H76" s="2" t="s">
        <v>388</v>
      </c>
      <c r="I76" s="2" t="s">
        <v>763</v>
      </c>
      <c r="J76" s="768"/>
    </row>
    <row r="77" spans="1:10">
      <c r="A77" s="379">
        <f>A69+1</f>
        <v>39</v>
      </c>
      <c r="B77" s="768"/>
      <c r="C77" s="296" t="s">
        <v>2332</v>
      </c>
      <c r="D77" s="728">
        <f>$D$26*(D9/$D$20)</f>
        <v>17043.301311794567</v>
      </c>
      <c r="E77" s="728">
        <f t="shared" ref="E77:E86" si="3">$D$34*(D9/$D$20)</f>
        <v>5359.5779295980219</v>
      </c>
      <c r="F77" s="728">
        <f>D48</f>
        <v>1287.6159717603555</v>
      </c>
      <c r="G77" s="37">
        <f>(D77+E77+F77)*('28-FFU'!$D$22+'28-FFU'!$E$22)</f>
        <v>269.55045453525418</v>
      </c>
      <c r="H77" s="295">
        <f>SUM(D77:G77)</f>
        <v>23960.045667688195</v>
      </c>
      <c r="I77" s="297" t="s">
        <v>170</v>
      </c>
      <c r="J77" s="10"/>
    </row>
    <row r="78" spans="1:10">
      <c r="A78" s="379">
        <f t="shared" ref="A78:A88" si="4">A77+1</f>
        <v>40</v>
      </c>
      <c r="B78" s="768"/>
      <c r="C78" s="296" t="s">
        <v>2333</v>
      </c>
      <c r="D78" s="728">
        <f t="shared" ref="D78:D86" si="5">$D$26*(D10/$D$20)</f>
        <v>0</v>
      </c>
      <c r="E78" s="728">
        <f t="shared" si="3"/>
        <v>0</v>
      </c>
      <c r="F78" s="728">
        <f>D55</f>
        <v>0</v>
      </c>
      <c r="G78" s="37">
        <f>(D78+E78+F78)*('28-FFU'!$D$22+'28-FFU'!$E$22)</f>
        <v>0</v>
      </c>
      <c r="H78" s="295">
        <f t="shared" ref="H78:H86" si="6">SUM(D78:G78)</f>
        <v>0</v>
      </c>
      <c r="I78" s="297" t="s">
        <v>170</v>
      </c>
      <c r="J78" s="10"/>
    </row>
    <row r="79" spans="1:10">
      <c r="A79" s="379">
        <f t="shared" si="4"/>
        <v>41</v>
      </c>
      <c r="B79" s="768"/>
      <c r="C79" s="296" t="s">
        <v>2334</v>
      </c>
      <c r="D79" s="728">
        <f t="shared" si="5"/>
        <v>569314.295566638</v>
      </c>
      <c r="E79" s="728">
        <f t="shared" si="3"/>
        <v>179031.29667795062</v>
      </c>
      <c r="F79" s="728">
        <v>0</v>
      </c>
      <c r="G79" s="37">
        <f>(D79+E79+F79)*('28-FFU'!$D$22+'28-FFU'!$E$22)</f>
        <v>8514.6761485589304</v>
      </c>
      <c r="H79" s="295">
        <f t="shared" si="6"/>
        <v>756860.26839314762</v>
      </c>
      <c r="I79" s="297" t="s">
        <v>170</v>
      </c>
      <c r="J79" s="10"/>
    </row>
    <row r="80" spans="1:10">
      <c r="A80" s="379">
        <f t="shared" si="4"/>
        <v>42</v>
      </c>
      <c r="B80" s="768"/>
      <c r="C80" s="296" t="s">
        <v>2335</v>
      </c>
      <c r="D80" s="728">
        <f t="shared" si="5"/>
        <v>24889137.02291033</v>
      </c>
      <c r="E80" s="728">
        <f t="shared" si="3"/>
        <v>7826844.5199884484</v>
      </c>
      <c r="F80" s="728">
        <v>0</v>
      </c>
      <c r="G80" s="37">
        <f>(D80+E80+F80)*('28-FFU'!$D$22+'28-FFU'!$E$22)</f>
        <v>372242.43799510231</v>
      </c>
      <c r="H80" s="295">
        <f t="shared" si="6"/>
        <v>33088223.98089388</v>
      </c>
      <c r="I80" s="297" t="s">
        <v>170</v>
      </c>
      <c r="J80" s="10"/>
    </row>
    <row r="81" spans="1:10">
      <c r="A81" s="379">
        <f t="shared" si="4"/>
        <v>43</v>
      </c>
      <c r="B81" s="768"/>
      <c r="C81" s="296" t="s">
        <v>2336</v>
      </c>
      <c r="D81" s="728">
        <f t="shared" si="5"/>
        <v>0</v>
      </c>
      <c r="E81" s="728">
        <f t="shared" si="3"/>
        <v>0</v>
      </c>
      <c r="F81" s="728">
        <v>0</v>
      </c>
      <c r="G81" s="37">
        <f>(D81+E81+F81)*('28-FFU'!$D$22+'28-FFU'!$E$22)</f>
        <v>0</v>
      </c>
      <c r="H81" s="295">
        <f t="shared" si="6"/>
        <v>0</v>
      </c>
      <c r="I81" s="297" t="s">
        <v>170</v>
      </c>
      <c r="J81" s="10"/>
    </row>
    <row r="82" spans="1:10">
      <c r="A82" s="379">
        <f t="shared" si="4"/>
        <v>44</v>
      </c>
      <c r="B82" s="768"/>
      <c r="C82" s="296" t="s">
        <v>2337</v>
      </c>
      <c r="D82" s="728">
        <f t="shared" si="5"/>
        <v>0</v>
      </c>
      <c r="E82" s="728">
        <f t="shared" si="3"/>
        <v>0</v>
      </c>
      <c r="F82" s="728">
        <v>0</v>
      </c>
      <c r="G82" s="37">
        <f>(D82+E82+F82)*('28-FFU'!$D$22+'28-FFU'!$E$22)</f>
        <v>0</v>
      </c>
      <c r="H82" s="295">
        <f t="shared" si="6"/>
        <v>0</v>
      </c>
      <c r="I82" s="297" t="s">
        <v>170</v>
      </c>
      <c r="J82" s="10"/>
    </row>
    <row r="83" spans="1:10">
      <c r="A83" s="379">
        <f t="shared" si="4"/>
        <v>45</v>
      </c>
      <c r="B83" s="768"/>
      <c r="C83" s="296" t="s">
        <v>2338</v>
      </c>
      <c r="D83" s="728">
        <f t="shared" si="5"/>
        <v>0</v>
      </c>
      <c r="E83" s="728">
        <f t="shared" si="3"/>
        <v>0</v>
      </c>
      <c r="F83" s="728">
        <v>0</v>
      </c>
      <c r="G83" s="37">
        <f>(D83+E83+F83)*('28-FFU'!$D$22+'28-FFU'!$E$22)</f>
        <v>0</v>
      </c>
      <c r="H83" s="295">
        <f t="shared" si="6"/>
        <v>0</v>
      </c>
      <c r="I83" s="297" t="s">
        <v>170</v>
      </c>
      <c r="J83" s="10"/>
    </row>
    <row r="84" spans="1:10">
      <c r="A84" s="379">
        <f t="shared" si="4"/>
        <v>46</v>
      </c>
      <c r="B84" s="768"/>
      <c r="C84" s="669" t="s">
        <v>1077</v>
      </c>
      <c r="D84" s="728">
        <f t="shared" si="5"/>
        <v>13436440.619171828</v>
      </c>
      <c r="E84" s="728">
        <f t="shared" si="3"/>
        <v>4225334.5920154396</v>
      </c>
      <c r="F84" s="728">
        <v>0</v>
      </c>
      <c r="G84" s="37">
        <f>(D84+E84+F84)*('28-FFU'!$D$22+'28-FFU'!$E$22)</f>
        <v>200955.67835288873</v>
      </c>
      <c r="H84" s="295">
        <f t="shared" si="6"/>
        <v>17862730.889540154</v>
      </c>
      <c r="I84" s="297" t="s">
        <v>170</v>
      </c>
      <c r="J84" s="10"/>
    </row>
    <row r="85" spans="1:10">
      <c r="A85" s="379">
        <f t="shared" si="4"/>
        <v>47</v>
      </c>
      <c r="B85" s="768"/>
      <c r="C85" s="669" t="s">
        <v>1078</v>
      </c>
      <c r="D85" s="728">
        <f t="shared" si="5"/>
        <v>2192130.6708397302</v>
      </c>
      <c r="E85" s="728">
        <f t="shared" si="3"/>
        <v>689355.59767970978</v>
      </c>
      <c r="F85" s="728">
        <v>0</v>
      </c>
      <c r="G85" s="37">
        <f>(D85+E85+F85)*('28-FFU'!$D$22+'28-FFU'!$E$22)</f>
        <v>32785.550763214189</v>
      </c>
      <c r="H85" s="295">
        <f t="shared" si="6"/>
        <v>2914271.8192826537</v>
      </c>
      <c r="I85" s="297" t="s">
        <v>170</v>
      </c>
      <c r="J85" s="10"/>
    </row>
    <row r="86" spans="1:10">
      <c r="A86" s="379">
        <f t="shared" si="4"/>
        <v>48</v>
      </c>
      <c r="B86" s="768"/>
      <c r="C86" s="669" t="s">
        <v>2368</v>
      </c>
      <c r="D86" s="728">
        <f t="shared" si="5"/>
        <v>7109034.9161025826</v>
      </c>
      <c r="E86" s="728">
        <f t="shared" si="3"/>
        <v>2235566.0995512409</v>
      </c>
      <c r="F86" s="728">
        <v>0</v>
      </c>
      <c r="G86" s="37">
        <f>(D86+E86+F86)*('28-FFU'!$D$22+'28-FFU'!$E$22)</f>
        <v>106322.8703561092</v>
      </c>
      <c r="H86" s="295">
        <f t="shared" si="6"/>
        <v>9450923.8860099316</v>
      </c>
      <c r="I86" s="297" t="s">
        <v>170</v>
      </c>
      <c r="J86" s="10"/>
    </row>
    <row r="87" spans="1:10">
      <c r="A87" s="379">
        <f t="shared" si="4"/>
        <v>49</v>
      </c>
      <c r="B87" s="768"/>
      <c r="C87" s="1268"/>
      <c r="D87" s="442" t="s">
        <v>351</v>
      </c>
      <c r="E87" s="442" t="s">
        <v>351</v>
      </c>
      <c r="F87" s="442" t="s">
        <v>351</v>
      </c>
      <c r="G87" s="442" t="s">
        <v>351</v>
      </c>
      <c r="H87" s="442" t="s">
        <v>351</v>
      </c>
      <c r="I87" s="297" t="s">
        <v>170</v>
      </c>
      <c r="J87" s="10"/>
    </row>
    <row r="88" spans="1:10">
      <c r="A88" s="379">
        <f t="shared" si="4"/>
        <v>50</v>
      </c>
      <c r="B88" s="768"/>
      <c r="C88" s="296" t="s">
        <v>406</v>
      </c>
      <c r="D88" s="338">
        <f>SUM(D77:D87)</f>
        <v>48213100.825902902</v>
      </c>
      <c r="E88" s="338">
        <f>SUM(E77:E87)</f>
        <v>15161491.683842387</v>
      </c>
      <c r="F88" s="338">
        <f>SUM(F77:F87)</f>
        <v>1287.6159717603555</v>
      </c>
      <c r="G88" s="338">
        <f>SUM(G77:G87)</f>
        <v>721090.76407040865</v>
      </c>
      <c r="H88" s="338">
        <f>SUM(H77:H87)</f>
        <v>64096970.88978745</v>
      </c>
      <c r="I88" s="297" t="str">
        <f>"Sum L "&amp;A77&amp;" to L "&amp;A87&amp;""</f>
        <v>Sum L 39 to L 49</v>
      </c>
      <c r="J88" s="10"/>
    </row>
    <row r="89" spans="1:10">
      <c r="A89" s="379"/>
      <c r="B89" s="768"/>
      <c r="C89" s="296"/>
      <c r="D89" s="296"/>
      <c r="E89" s="5"/>
      <c r="F89" s="302"/>
      <c r="G89" s="768"/>
      <c r="H89" s="768"/>
      <c r="I89" s="768"/>
      <c r="J89" s="768"/>
    </row>
    <row r="90" spans="1:10" ht="15">
      <c r="A90" s="379"/>
      <c r="B90" s="768"/>
      <c r="C90" s="209" t="s">
        <v>2369</v>
      </c>
      <c r="D90" s="296"/>
      <c r="E90" s="5"/>
      <c r="F90" s="302"/>
      <c r="G90" s="768"/>
      <c r="H90" s="768"/>
      <c r="I90" s="768"/>
      <c r="J90" s="768"/>
    </row>
    <row r="91" spans="1:10" ht="15">
      <c r="A91" s="379"/>
      <c r="B91" s="768"/>
      <c r="C91" s="209"/>
      <c r="D91" s="52" t="s">
        <v>307</v>
      </c>
      <c r="E91" s="52" t="s">
        <v>308</v>
      </c>
      <c r="F91" s="52" t="s">
        <v>309</v>
      </c>
      <c r="G91" s="52" t="s">
        <v>310</v>
      </c>
      <c r="H91" s="52" t="s">
        <v>311</v>
      </c>
      <c r="I91" s="768"/>
      <c r="J91" s="768"/>
    </row>
    <row r="92" spans="1:10" ht="15">
      <c r="A92" s="379"/>
      <c r="B92" s="768"/>
      <c r="C92" s="209"/>
      <c r="D92" s="64" t="s">
        <v>2362</v>
      </c>
      <c r="E92" s="1028" t="s">
        <v>2363</v>
      </c>
      <c r="F92" s="64"/>
      <c r="G92" s="10"/>
      <c r="H92" s="354" t="s">
        <v>2364</v>
      </c>
      <c r="I92" s="10"/>
      <c r="J92" s="10"/>
    </row>
    <row r="93" spans="1:10" ht="15">
      <c r="A93" s="379"/>
      <c r="B93" s="768"/>
      <c r="C93" s="2" t="s">
        <v>1172</v>
      </c>
      <c r="D93" s="74" t="s">
        <v>2365</v>
      </c>
      <c r="E93" s="1029" t="s">
        <v>2366</v>
      </c>
      <c r="F93" s="74" t="s">
        <v>1367</v>
      </c>
      <c r="G93" s="74" t="s">
        <v>2367</v>
      </c>
      <c r="H93" s="74" t="s">
        <v>388</v>
      </c>
      <c r="I93" s="74" t="s">
        <v>763</v>
      </c>
      <c r="J93" s="10"/>
    </row>
    <row r="94" spans="1:10">
      <c r="A94" s="379">
        <f>A88+1</f>
        <v>51</v>
      </c>
      <c r="B94" s="768"/>
      <c r="C94" s="296" t="s">
        <v>2332</v>
      </c>
      <c r="D94" s="338">
        <f t="shared" ref="D94:D102" si="7">$E$26*(E9/$E$20)</f>
        <v>16874.034638522036</v>
      </c>
      <c r="E94" s="338">
        <f t="shared" ref="E94:E103" si="8">$E$34*(E9/$E$20)</f>
        <v>5306.3489272063243</v>
      </c>
      <c r="F94" s="1269">
        <f>E48</f>
        <v>1274.8279286456318</v>
      </c>
      <c r="G94" s="37">
        <f>(D94+E94+F94)*('28-FFU'!$D$22+'28-FFU'!$E$22)</f>
        <v>266.87339638298727</v>
      </c>
      <c r="H94" s="696">
        <f>SUM(D94:G94)</f>
        <v>23722.084890756978</v>
      </c>
      <c r="I94" s="297" t="s">
        <v>187</v>
      </c>
      <c r="J94" s="10"/>
    </row>
    <row r="95" spans="1:10">
      <c r="A95" s="379">
        <f t="shared" ref="A95:A105" si="9">A94+1</f>
        <v>52</v>
      </c>
      <c r="B95" s="768"/>
      <c r="C95" s="296" t="s">
        <v>2333</v>
      </c>
      <c r="D95" s="338">
        <f t="shared" si="7"/>
        <v>0</v>
      </c>
      <c r="E95" s="338">
        <f t="shared" si="8"/>
        <v>0</v>
      </c>
      <c r="F95" s="1269">
        <f>E55</f>
        <v>0</v>
      </c>
      <c r="G95" s="37">
        <f>(D95+E95+F95)*('28-FFU'!$D$22+'28-FFU'!$E$22)</f>
        <v>0</v>
      </c>
      <c r="H95" s="696">
        <f t="shared" ref="H95:H102" si="10">SUM(D95:G95)</f>
        <v>0</v>
      </c>
      <c r="I95" s="297" t="s">
        <v>187</v>
      </c>
      <c r="J95" s="10"/>
    </row>
    <row r="96" spans="1:10">
      <c r="A96" s="379">
        <f t="shared" si="9"/>
        <v>53</v>
      </c>
      <c r="B96" s="768"/>
      <c r="C96" s="296" t="s">
        <v>2334</v>
      </c>
      <c r="D96" s="338">
        <f t="shared" si="7"/>
        <v>548916.19658228022</v>
      </c>
      <c r="E96" s="338">
        <f t="shared" si="8"/>
        <v>172616.74123928905</v>
      </c>
      <c r="F96" s="1269">
        <v>0</v>
      </c>
      <c r="G96" s="37">
        <f>(D96+E96+F96)*('28-FFU'!$D$22+'28-FFU'!$E$22)</f>
        <v>8209.601766533815</v>
      </c>
      <c r="H96" s="696">
        <f t="shared" si="10"/>
        <v>729742.53958810307</v>
      </c>
      <c r="I96" s="297" t="s">
        <v>187</v>
      </c>
      <c r="J96" s="10"/>
    </row>
    <row r="97" spans="1:10">
      <c r="A97" s="379">
        <f t="shared" si="9"/>
        <v>54</v>
      </c>
      <c r="B97" s="768"/>
      <c r="C97" s="296" t="s">
        <v>2335</v>
      </c>
      <c r="D97" s="338">
        <f t="shared" si="7"/>
        <v>15672270.382409986</v>
      </c>
      <c r="E97" s="338">
        <f t="shared" si="8"/>
        <v>4928432.1688385922</v>
      </c>
      <c r="F97" s="1269">
        <v>0</v>
      </c>
      <c r="G97" s="37">
        <f>(D97+E97+F97)*('28-FFU'!$D$22+'28-FFU'!$E$22)</f>
        <v>234394.79362810636</v>
      </c>
      <c r="H97" s="696">
        <f t="shared" si="10"/>
        <v>20835097.344876688</v>
      </c>
      <c r="I97" s="297" t="s">
        <v>187</v>
      </c>
      <c r="J97" s="10"/>
    </row>
    <row r="98" spans="1:10">
      <c r="A98" s="379">
        <f t="shared" si="9"/>
        <v>55</v>
      </c>
      <c r="B98" s="768"/>
      <c r="C98" s="296" t="s">
        <v>2336</v>
      </c>
      <c r="D98" s="338">
        <f t="shared" si="7"/>
        <v>0</v>
      </c>
      <c r="E98" s="338">
        <f t="shared" si="8"/>
        <v>0</v>
      </c>
      <c r="F98" s="1269">
        <v>0</v>
      </c>
      <c r="G98" s="37">
        <f>(D98+E98+F98)*('28-FFU'!$D$22+'28-FFU'!$E$22)</f>
        <v>0</v>
      </c>
      <c r="H98" s="696">
        <f t="shared" si="10"/>
        <v>0</v>
      </c>
      <c r="I98" s="297" t="s">
        <v>187</v>
      </c>
      <c r="J98" s="10"/>
    </row>
    <row r="99" spans="1:10">
      <c r="A99" s="379">
        <f t="shared" si="9"/>
        <v>56</v>
      </c>
      <c r="B99" s="768"/>
      <c r="C99" s="296" t="s">
        <v>2337</v>
      </c>
      <c r="D99" s="338">
        <f t="shared" si="7"/>
        <v>0</v>
      </c>
      <c r="E99" s="338">
        <f t="shared" si="8"/>
        <v>0</v>
      </c>
      <c r="F99" s="1269">
        <v>0</v>
      </c>
      <c r="G99" s="37">
        <f>(D99+E99+F99)*('28-FFU'!$D$22+'28-FFU'!$E$22)</f>
        <v>0</v>
      </c>
      <c r="H99" s="696">
        <f t="shared" si="10"/>
        <v>0</v>
      </c>
      <c r="I99" s="297" t="s">
        <v>187</v>
      </c>
      <c r="J99" s="10"/>
    </row>
    <row r="100" spans="1:10">
      <c r="A100" s="379">
        <f t="shared" si="9"/>
        <v>57</v>
      </c>
      <c r="B100" s="768"/>
      <c r="C100" s="296" t="s">
        <v>2338</v>
      </c>
      <c r="D100" s="338">
        <f t="shared" si="7"/>
        <v>0</v>
      </c>
      <c r="E100" s="338">
        <f t="shared" si="8"/>
        <v>0</v>
      </c>
      <c r="F100" s="1269">
        <v>0</v>
      </c>
      <c r="G100" s="37">
        <f>(D100+E100+F100)*('28-FFU'!$D$22+'28-FFU'!$E$22)</f>
        <v>0</v>
      </c>
      <c r="H100" s="696">
        <f t="shared" si="10"/>
        <v>0</v>
      </c>
      <c r="I100" s="297" t="s">
        <v>187</v>
      </c>
      <c r="J100" s="10"/>
    </row>
    <row r="101" spans="1:10">
      <c r="A101" s="379">
        <f t="shared" si="9"/>
        <v>58</v>
      </c>
      <c r="B101" s="768"/>
      <c r="C101" s="669" t="s">
        <v>1077</v>
      </c>
      <c r="D101" s="338">
        <f t="shared" si="7"/>
        <v>9166189.340357827</v>
      </c>
      <c r="E101" s="338">
        <f t="shared" si="8"/>
        <v>2882475.9469047766</v>
      </c>
      <c r="F101" s="1269">
        <v>0</v>
      </c>
      <c r="G101" s="37">
        <f>(D101+E101+F101)*('28-FFU'!$D$22+'28-FFU'!$E$22)</f>
        <v>137089.71363847391</v>
      </c>
      <c r="H101" s="696">
        <f t="shared" si="10"/>
        <v>12185755.000901077</v>
      </c>
      <c r="I101" s="297" t="s">
        <v>187</v>
      </c>
      <c r="J101" s="10"/>
    </row>
    <row r="102" spans="1:10">
      <c r="A102" s="379">
        <f t="shared" si="9"/>
        <v>59</v>
      </c>
      <c r="B102" s="768"/>
      <c r="C102" s="669" t="s">
        <v>1078</v>
      </c>
      <c r="D102" s="338">
        <f t="shared" si="7"/>
        <v>1976510.1566924241</v>
      </c>
      <c r="E102" s="338">
        <f t="shared" si="8"/>
        <v>621549.78191367979</v>
      </c>
      <c r="F102" s="1269">
        <v>0</v>
      </c>
      <c r="G102" s="37">
        <f>(D102+E102+F102)*('28-FFU'!$D$22+'28-FFU'!$E$22)</f>
        <v>29560.725981460251</v>
      </c>
      <c r="H102" s="696">
        <f t="shared" si="10"/>
        <v>2627620.6645875643</v>
      </c>
      <c r="I102" s="297" t="s">
        <v>187</v>
      </c>
      <c r="J102" s="10"/>
    </row>
    <row r="103" spans="1:10">
      <c r="A103" s="379">
        <f t="shared" si="9"/>
        <v>60</v>
      </c>
      <c r="B103" s="768"/>
      <c r="C103" s="669" t="s">
        <v>2368</v>
      </c>
      <c r="D103" s="338">
        <f t="shared" ref="D103" si="11">$E$26*(E18/$E$20)</f>
        <v>5032660.7202423001</v>
      </c>
      <c r="E103" s="338">
        <f t="shared" si="8"/>
        <v>1582612.2433626924</v>
      </c>
      <c r="F103" s="1269">
        <v>0</v>
      </c>
      <c r="G103" s="37">
        <f>(D103+E103+F103)*('28-FFU'!$D$22+'28-FFU'!$E$22)</f>
        <v>75268.575779897612</v>
      </c>
      <c r="H103" s="696">
        <f t="shared" ref="H103" si="12">SUM(D103:G103)</f>
        <v>6690541.5393848894</v>
      </c>
      <c r="I103" s="297" t="s">
        <v>187</v>
      </c>
      <c r="J103" s="10"/>
    </row>
    <row r="104" spans="1:10">
      <c r="A104" s="379">
        <f t="shared" si="9"/>
        <v>61</v>
      </c>
      <c r="B104" s="768"/>
      <c r="C104" s="1268"/>
      <c r="D104" s="442" t="s">
        <v>351</v>
      </c>
      <c r="E104" s="442" t="s">
        <v>351</v>
      </c>
      <c r="F104" s="442" t="s">
        <v>351</v>
      </c>
      <c r="G104" s="442" t="s">
        <v>351</v>
      </c>
      <c r="H104" s="442" t="s">
        <v>351</v>
      </c>
      <c r="I104" s="297" t="s">
        <v>187</v>
      </c>
      <c r="J104" s="10"/>
    </row>
    <row r="105" spans="1:10">
      <c r="A105" s="379">
        <f t="shared" si="9"/>
        <v>62</v>
      </c>
      <c r="B105" s="768"/>
      <c r="C105" s="296" t="s">
        <v>406</v>
      </c>
      <c r="D105" s="37">
        <f>SUM(D94:D104)</f>
        <v>32413420.830923337</v>
      </c>
      <c r="E105" s="37">
        <f>SUM(E94:E104)</f>
        <v>10192993.231186237</v>
      </c>
      <c r="F105" s="37">
        <f>SUM(F94:F104)</f>
        <v>1274.8279286456318</v>
      </c>
      <c r="G105" s="338">
        <f>SUM(G94:G104)</f>
        <v>484790.28419085493</v>
      </c>
      <c r="H105" s="37">
        <f>SUM(H94:H104)</f>
        <v>43092479.174229078</v>
      </c>
      <c r="I105" s="297" t="str">
        <f>"Sum of L "&amp;A94&amp;" to "&amp;A104&amp;""</f>
        <v>Sum of L 51 to 61</v>
      </c>
      <c r="J105" s="10"/>
    </row>
    <row r="106" spans="1:10">
      <c r="A106" s="768"/>
      <c r="B106" s="768"/>
      <c r="C106" s="296"/>
      <c r="D106" s="768"/>
      <c r="E106" s="768"/>
      <c r="F106" s="768"/>
      <c r="G106" s="768"/>
      <c r="H106" s="768"/>
      <c r="I106" s="768"/>
      <c r="J106" s="768"/>
    </row>
    <row r="107" spans="1:10">
      <c r="A107" s="768"/>
      <c r="B107" s="1" t="s">
        <v>2370</v>
      </c>
      <c r="C107" s="768"/>
      <c r="D107" s="768"/>
      <c r="E107" s="768"/>
      <c r="F107" s="768"/>
      <c r="G107" s="768"/>
      <c r="H107" s="768"/>
      <c r="I107" s="768"/>
      <c r="J107" s="768"/>
    </row>
    <row r="108" spans="1:10">
      <c r="A108" s="768"/>
      <c r="B108" s="1"/>
      <c r="C108" s="768"/>
      <c r="D108" s="768"/>
      <c r="E108" s="768"/>
      <c r="F108" s="768"/>
      <c r="G108" s="768"/>
      <c r="H108" s="768"/>
      <c r="I108" s="768"/>
      <c r="J108" s="768"/>
    </row>
    <row r="109" spans="1:10" ht="15">
      <c r="A109" s="768"/>
      <c r="B109" s="1"/>
      <c r="C109" s="209" t="s">
        <v>2371</v>
      </c>
      <c r="D109" s="768"/>
      <c r="E109" s="768"/>
      <c r="F109" s="768"/>
      <c r="G109" s="768"/>
      <c r="H109" s="768"/>
      <c r="I109" s="768"/>
      <c r="J109" s="768"/>
    </row>
    <row r="110" spans="1:10">
      <c r="A110" s="768"/>
      <c r="B110" s="768"/>
      <c r="C110" s="768"/>
      <c r="D110" s="768"/>
      <c r="E110" s="2" t="s">
        <v>100</v>
      </c>
      <c r="F110" s="2" t="s">
        <v>763</v>
      </c>
      <c r="G110" s="768"/>
      <c r="H110" s="768"/>
      <c r="I110" s="768"/>
      <c r="J110" s="768"/>
    </row>
    <row r="111" spans="1:10">
      <c r="A111" s="379">
        <f>A105+1</f>
        <v>63</v>
      </c>
      <c r="B111" s="768"/>
      <c r="C111" s="768"/>
      <c r="D111" s="296" t="s">
        <v>292</v>
      </c>
      <c r="E111" s="5">
        <f>F20</f>
        <v>479223756.72146785</v>
      </c>
      <c r="F111" s="67" t="str">
        <f>"Line "&amp;A20&amp;", Col 3"</f>
        <v>Line 12, Col 3</v>
      </c>
      <c r="G111" s="10"/>
      <c r="H111" s="10"/>
      <c r="I111" s="768"/>
      <c r="J111" s="768"/>
    </row>
    <row r="112" spans="1:10">
      <c r="A112" s="379">
        <f>A111+1</f>
        <v>64</v>
      </c>
      <c r="B112" s="768"/>
      <c r="C112" s="768"/>
      <c r="D112" s="296" t="s">
        <v>270</v>
      </c>
      <c r="E112" s="214">
        <f>'2-IFPTRR'!D25</f>
        <v>0.14334882159948531</v>
      </c>
      <c r="F112" s="297" t="str">
        <f>"2-IFPTRR, Line "&amp;'2-IFPTRR'!A25&amp;""</f>
        <v>2-IFPTRR, Line 16</v>
      </c>
      <c r="G112" s="10"/>
      <c r="H112" s="10"/>
      <c r="I112" s="768"/>
      <c r="J112" s="768"/>
    </row>
    <row r="113" spans="1:8">
      <c r="A113" s="379">
        <f>A112+1</f>
        <v>65</v>
      </c>
      <c r="B113" s="768"/>
      <c r="C113" s="768"/>
      <c r="D113" s="296" t="s">
        <v>2372</v>
      </c>
      <c r="E113" s="5">
        <f>E111*E112</f>
        <v>68696160.808500841</v>
      </c>
      <c r="F113" s="67" t="str">
        <f>"Line "&amp;A111&amp;" * Line "&amp;A112&amp;""</f>
        <v>Line 63 * Line 64</v>
      </c>
      <c r="G113" s="10"/>
      <c r="H113" s="10"/>
    </row>
    <row r="114" spans="1:8">
      <c r="A114" s="379">
        <f>A113+1</f>
        <v>66</v>
      </c>
      <c r="B114" s="768"/>
      <c r="C114" s="768"/>
      <c r="D114" s="296" t="s">
        <v>2359</v>
      </c>
      <c r="E114" s="55">
        <f>E113*('28-FFU'!D22+'28-FFU'!E22)</f>
        <v>781624.91767912265</v>
      </c>
      <c r="F114" s="297" t="str">
        <f>"Line "&amp;A113&amp;" * (28-FFU, L"&amp;'28-FFU'!A22&amp;" FF Factor + U Factor)"</f>
        <v>Line 65 * (28-FFU, L5 FF Factor + U Factor)</v>
      </c>
      <c r="G114" s="10"/>
      <c r="H114" s="10"/>
    </row>
    <row r="115" spans="1:8">
      <c r="A115" s="379">
        <f>A114+1</f>
        <v>67</v>
      </c>
      <c r="B115" s="768"/>
      <c r="C115" s="768"/>
      <c r="D115" s="296" t="s">
        <v>2373</v>
      </c>
      <c r="E115" s="5">
        <f>SUM(E113:E114)</f>
        <v>69477785.726179957</v>
      </c>
      <c r="F115" s="67" t="str">
        <f>"Line "&amp;A113&amp;" + Line "&amp;A114&amp;""</f>
        <v>Line 65 + Line 66</v>
      </c>
      <c r="G115" s="10"/>
      <c r="H115" s="10"/>
    </row>
    <row r="116" spans="1:8">
      <c r="A116" s="379"/>
      <c r="B116" s="768"/>
      <c r="C116" s="768"/>
      <c r="D116" s="296"/>
      <c r="E116" s="5"/>
      <c r="F116" s="768"/>
      <c r="G116" s="768"/>
      <c r="H116" s="768"/>
    </row>
    <row r="117" spans="1:8" ht="15">
      <c r="A117" s="379"/>
      <c r="B117" s="768"/>
      <c r="C117" s="209" t="s">
        <v>2374</v>
      </c>
      <c r="D117" s="296"/>
      <c r="E117" s="5"/>
      <c r="F117" s="11"/>
      <c r="G117" s="768"/>
      <c r="H117" s="768"/>
    </row>
    <row r="118" spans="1:8">
      <c r="A118" s="379"/>
      <c r="B118" s="768"/>
      <c r="C118" s="768"/>
      <c r="D118" s="379" t="s">
        <v>79</v>
      </c>
      <c r="E118" s="379" t="s">
        <v>79</v>
      </c>
      <c r="F118" s="768"/>
      <c r="G118" s="768"/>
      <c r="H118" s="768"/>
    </row>
    <row r="119" spans="1:8">
      <c r="A119" s="379"/>
      <c r="B119" s="768"/>
      <c r="C119" s="2" t="s">
        <v>1172</v>
      </c>
      <c r="D119" s="2" t="s">
        <v>2375</v>
      </c>
      <c r="E119" s="2" t="s">
        <v>2376</v>
      </c>
      <c r="F119" s="2" t="s">
        <v>763</v>
      </c>
      <c r="G119" s="768"/>
      <c r="H119" s="768"/>
    </row>
    <row r="120" spans="1:8">
      <c r="A120" s="379">
        <f>A115+1</f>
        <v>68</v>
      </c>
      <c r="B120" s="768"/>
      <c r="C120" s="296" t="s">
        <v>2332</v>
      </c>
      <c r="D120" s="968">
        <f>$E$113*(F9/$F$20)</f>
        <v>-22402.879241392591</v>
      </c>
      <c r="E120" s="968">
        <f>$E$115*(F9/$F$20)</f>
        <v>-22657.779201401157</v>
      </c>
      <c r="F120" s="297" t="s">
        <v>220</v>
      </c>
      <c r="G120" s="10"/>
      <c r="H120" s="768"/>
    </row>
    <row r="121" spans="1:8">
      <c r="A121" s="379">
        <f t="shared" ref="A121:A131" si="13">A120+1</f>
        <v>69</v>
      </c>
      <c r="B121" s="768"/>
      <c r="C121" s="296" t="s">
        <v>2333</v>
      </c>
      <c r="D121" s="968">
        <f t="shared" ref="D121:D128" si="14">$E$113*(F10/$F$20)</f>
        <v>0</v>
      </c>
      <c r="E121" s="968">
        <f t="shared" ref="E121:E128" si="15">$E$115*(F10/$F$20)</f>
        <v>0</v>
      </c>
      <c r="F121" s="297" t="s">
        <v>220</v>
      </c>
      <c r="G121" s="10"/>
      <c r="H121" s="768"/>
    </row>
    <row r="122" spans="1:8">
      <c r="A122" s="379">
        <f t="shared" si="13"/>
        <v>70</v>
      </c>
      <c r="B122" s="768"/>
      <c r="C122" s="296" t="s">
        <v>2334</v>
      </c>
      <c r="D122" s="968">
        <f t="shared" si="14"/>
        <v>119783.46981015311</v>
      </c>
      <c r="E122" s="968">
        <f t="shared" si="15"/>
        <v>121146.36612965302</v>
      </c>
      <c r="F122" s="297" t="s">
        <v>220</v>
      </c>
      <c r="G122" s="10"/>
      <c r="H122" s="768"/>
    </row>
    <row r="123" spans="1:8">
      <c r="A123" s="379">
        <f t="shared" si="13"/>
        <v>71</v>
      </c>
      <c r="B123" s="768"/>
      <c r="C123" s="296" t="s">
        <v>2335</v>
      </c>
      <c r="D123" s="968">
        <f t="shared" si="14"/>
        <v>35803264.46991282</v>
      </c>
      <c r="E123" s="968">
        <f t="shared" si="15"/>
        <v>36210634.01305148</v>
      </c>
      <c r="F123" s="297" t="s">
        <v>220</v>
      </c>
      <c r="G123" s="10"/>
      <c r="H123" s="768"/>
    </row>
    <row r="124" spans="1:8">
      <c r="A124" s="379">
        <f t="shared" si="13"/>
        <v>72</v>
      </c>
      <c r="B124" s="768"/>
      <c r="C124" s="296" t="s">
        <v>2336</v>
      </c>
      <c r="D124" s="968">
        <f t="shared" si="14"/>
        <v>0</v>
      </c>
      <c r="E124" s="968">
        <f t="shared" si="15"/>
        <v>0</v>
      </c>
      <c r="F124" s="297" t="s">
        <v>220</v>
      </c>
      <c r="G124" s="10"/>
      <c r="H124" s="768"/>
    </row>
    <row r="125" spans="1:8">
      <c r="A125" s="379">
        <f t="shared" si="13"/>
        <v>73</v>
      </c>
      <c r="B125" s="768"/>
      <c r="C125" s="296" t="s">
        <v>2337</v>
      </c>
      <c r="D125" s="968">
        <f t="shared" si="14"/>
        <v>0</v>
      </c>
      <c r="E125" s="968">
        <f t="shared" si="15"/>
        <v>0</v>
      </c>
      <c r="F125" s="297" t="s">
        <v>220</v>
      </c>
      <c r="G125" s="10"/>
      <c r="H125" s="768"/>
    </row>
    <row r="126" spans="1:8">
      <c r="A126" s="379">
        <f t="shared" si="13"/>
        <v>74</v>
      </c>
      <c r="B126" s="768"/>
      <c r="C126" s="296" t="s">
        <v>2338</v>
      </c>
      <c r="D126" s="968">
        <f t="shared" si="14"/>
        <v>1288005.0289940662</v>
      </c>
      <c r="E126" s="968">
        <f t="shared" si="15"/>
        <v>1302659.9502139606</v>
      </c>
      <c r="F126" s="297" t="s">
        <v>220</v>
      </c>
      <c r="G126" s="10"/>
      <c r="H126" s="768"/>
    </row>
    <row r="127" spans="1:8">
      <c r="A127" s="379">
        <f t="shared" si="13"/>
        <v>75</v>
      </c>
      <c r="B127" s="768"/>
      <c r="C127" s="669" t="s">
        <v>1077</v>
      </c>
      <c r="D127" s="968">
        <f t="shared" si="14"/>
        <v>20509273.566282984</v>
      </c>
      <c r="E127" s="968">
        <f t="shared" si="15"/>
        <v>20742628.080920152</v>
      </c>
      <c r="F127" s="297" t="s">
        <v>220</v>
      </c>
      <c r="G127" s="10"/>
      <c r="H127" s="768"/>
    </row>
    <row r="128" spans="1:8">
      <c r="A128" s="379">
        <f t="shared" si="13"/>
        <v>76</v>
      </c>
      <c r="B128" s="768"/>
      <c r="C128" s="669" t="s">
        <v>1078</v>
      </c>
      <c r="D128" s="968">
        <f t="shared" si="14"/>
        <v>181492.1586893429</v>
      </c>
      <c r="E128" s="968">
        <f t="shared" si="15"/>
        <v>183557.17647091023</v>
      </c>
      <c r="F128" s="297" t="s">
        <v>220</v>
      </c>
      <c r="G128" s="10"/>
      <c r="H128" s="768"/>
    </row>
    <row r="129" spans="1:8">
      <c r="A129" s="379">
        <f t="shared" si="13"/>
        <v>77</v>
      </c>
      <c r="B129" s="768"/>
      <c r="C129" s="669" t="s">
        <v>2368</v>
      </c>
      <c r="D129" s="338">
        <f t="shared" ref="D129" si="16">$E$113*(F18/$F$20)</f>
        <v>10816744.994052863</v>
      </c>
      <c r="E129" s="338">
        <f t="shared" ref="E129" si="17">$E$115*(F18/$F$20)</f>
        <v>10939817.918595195</v>
      </c>
      <c r="F129" s="297" t="s">
        <v>220</v>
      </c>
      <c r="G129" s="10"/>
      <c r="H129" s="768"/>
    </row>
    <row r="130" spans="1:8">
      <c r="A130" s="379">
        <f t="shared" si="13"/>
        <v>78</v>
      </c>
      <c r="B130" s="768"/>
      <c r="C130" s="1268"/>
      <c r="D130" s="292" t="s">
        <v>351</v>
      </c>
      <c r="E130" s="292" t="s">
        <v>351</v>
      </c>
      <c r="F130" s="297" t="s">
        <v>220</v>
      </c>
      <c r="G130" s="10"/>
      <c r="H130" s="768"/>
    </row>
    <row r="131" spans="1:8">
      <c r="A131" s="379">
        <f t="shared" si="13"/>
        <v>79</v>
      </c>
      <c r="B131" s="768"/>
      <c r="C131" s="296" t="s">
        <v>406</v>
      </c>
      <c r="D131" s="5">
        <f>SUM(D120:D130)</f>
        <v>68696160.808500841</v>
      </c>
      <c r="E131" s="5">
        <f>SUM(E120:E130)</f>
        <v>69477785.726179957</v>
      </c>
      <c r="F131" s="297" t="str">
        <f>"Sum of Lines "&amp;A120&amp;" to "&amp;A130&amp;""</f>
        <v>Sum of Lines 68 to 78</v>
      </c>
      <c r="G131" s="10"/>
      <c r="H131" s="768"/>
    </row>
    <row r="133" spans="1:8">
      <c r="A133" s="768"/>
      <c r="B133" s="1" t="s">
        <v>2377</v>
      </c>
      <c r="C133" s="768"/>
      <c r="D133" s="768"/>
      <c r="E133" s="768"/>
      <c r="F133" s="768"/>
      <c r="G133" s="768"/>
      <c r="H133" s="768"/>
    </row>
    <row r="134" spans="1:8">
      <c r="A134" s="768"/>
      <c r="B134" s="1"/>
      <c r="C134" s="768"/>
      <c r="D134" s="768"/>
      <c r="E134" s="768"/>
      <c r="F134" s="768"/>
      <c r="G134" s="768"/>
      <c r="H134" s="768"/>
    </row>
    <row r="135" spans="1:8" ht="15">
      <c r="A135" s="768"/>
      <c r="B135" s="768"/>
      <c r="C135" s="209" t="s">
        <v>2371</v>
      </c>
      <c r="D135" s="768"/>
      <c r="E135" s="768"/>
      <c r="F135" s="768"/>
      <c r="G135" s="768"/>
      <c r="H135" s="768"/>
    </row>
    <row r="136" spans="1:8">
      <c r="A136" s="768"/>
      <c r="B136" s="768"/>
      <c r="C136" s="768"/>
      <c r="D136" s="768"/>
      <c r="E136" s="2" t="s">
        <v>100</v>
      </c>
      <c r="F136" s="2" t="s">
        <v>763</v>
      </c>
      <c r="G136" s="768"/>
      <c r="H136" s="1"/>
    </row>
    <row r="137" spans="1:8">
      <c r="A137" s="379">
        <f>A131+1</f>
        <v>80</v>
      </c>
      <c r="B137" s="768"/>
      <c r="C137" s="768"/>
      <c r="D137" s="296" t="s">
        <v>2378</v>
      </c>
      <c r="E137" s="5">
        <f>SUM(D64:D67)</f>
        <v>63375880.125717059</v>
      </c>
      <c r="F137" s="67" t="str">
        <f>"Sum Line "&amp;A64&amp;" to "&amp;A67&amp;""</f>
        <v>Sum Line 33 to 36</v>
      </c>
      <c r="G137" s="10"/>
      <c r="H137" s="768"/>
    </row>
    <row r="138" spans="1:8">
      <c r="A138" s="379">
        <f t="shared" ref="A138:A145" si="18">A137+1</f>
        <v>81</v>
      </c>
      <c r="B138" s="768"/>
      <c r="C138" s="768"/>
      <c r="D138" s="296" t="s">
        <v>2379</v>
      </c>
      <c r="E138" s="5">
        <f>E113</f>
        <v>68696160.808500841</v>
      </c>
      <c r="F138" s="67" t="str">
        <f>"Line "&amp;A113&amp;""</f>
        <v>Line 65</v>
      </c>
      <c r="G138" s="10"/>
      <c r="H138" s="768"/>
    </row>
    <row r="139" spans="1:8">
      <c r="A139" s="379">
        <f t="shared" si="18"/>
        <v>82</v>
      </c>
      <c r="B139" s="768"/>
      <c r="C139" s="768"/>
      <c r="D139" s="296" t="s">
        <v>2380</v>
      </c>
      <c r="E139" s="5">
        <f>SUM(E137:E138)</f>
        <v>132072040.9342179</v>
      </c>
      <c r="F139" s="67" t="str">
        <f>"Line "&amp;A137&amp;" + Line "&amp;A138&amp;""</f>
        <v>Line 80 + Line 81</v>
      </c>
      <c r="G139" s="10"/>
      <c r="H139" s="768"/>
    </row>
    <row r="140" spans="1:8">
      <c r="A140" s="379">
        <f t="shared" si="18"/>
        <v>83</v>
      </c>
      <c r="B140" s="768"/>
      <c r="C140" s="768"/>
      <c r="D140" s="296" t="s">
        <v>2381</v>
      </c>
      <c r="E140" s="6">
        <f>'28-FFU'!D22</f>
        <v>9.2440000000000005E-3</v>
      </c>
      <c r="F140" s="297" t="str">
        <f>"28-FFU, Line "&amp;'28-FFU'!A22&amp;""</f>
        <v>28-FFU, Line 5</v>
      </c>
      <c r="G140" s="10"/>
      <c r="H140" s="768"/>
    </row>
    <row r="141" spans="1:8">
      <c r="A141" s="379">
        <f t="shared" si="18"/>
        <v>84</v>
      </c>
      <c r="B141" s="768"/>
      <c r="C141" s="768"/>
      <c r="D141" s="296" t="s">
        <v>2382</v>
      </c>
      <c r="E141" s="6">
        <f>'28-FFU'!E22</f>
        <v>2.134E-3</v>
      </c>
      <c r="F141" s="297" t="str">
        <f>"28-FFU, Line "&amp;'28-FFU'!A22&amp;""</f>
        <v>28-FFU, Line 5</v>
      </c>
      <c r="G141" s="10"/>
      <c r="H141" s="768"/>
    </row>
    <row r="142" spans="1:8">
      <c r="A142" s="379">
        <f t="shared" si="18"/>
        <v>85</v>
      </c>
      <c r="B142" s="768"/>
      <c r="C142" s="768"/>
      <c r="D142" s="296" t="s">
        <v>2383</v>
      </c>
      <c r="E142" s="5">
        <f>E139*E140</f>
        <v>1220873.9463959103</v>
      </c>
      <c r="F142" s="67" t="str">
        <f>"Line "&amp;A139&amp;" * Line "&amp;A140&amp;""</f>
        <v>Line 82 * Line 83</v>
      </c>
      <c r="G142" s="10"/>
      <c r="H142" s="768"/>
    </row>
    <row r="143" spans="1:8">
      <c r="A143" s="379">
        <f t="shared" si="18"/>
        <v>86</v>
      </c>
      <c r="B143" s="768"/>
      <c r="C143" s="768"/>
      <c r="D143" s="296" t="s">
        <v>2384</v>
      </c>
      <c r="E143" s="5">
        <f>E139*E141</f>
        <v>281841.73535362101</v>
      </c>
      <c r="F143" s="67" t="str">
        <f>"Line "&amp;A139&amp;" * Line "&amp;A141&amp;""</f>
        <v>Line 82 * Line 84</v>
      </c>
      <c r="G143" s="10"/>
      <c r="H143" s="768"/>
    </row>
    <row r="144" spans="1:8">
      <c r="A144" s="379">
        <f t="shared" si="18"/>
        <v>87</v>
      </c>
      <c r="B144" s="768"/>
      <c r="C144" s="768"/>
      <c r="D144" s="296" t="s">
        <v>2385</v>
      </c>
      <c r="E144" s="5">
        <f>E139+E142+E143</f>
        <v>133574756.61596742</v>
      </c>
      <c r="F144" s="297" t="str">
        <f>"Line "&amp;A139&amp;" + Line "&amp;A142&amp;" + Line "&amp;A143&amp;""</f>
        <v>Line 82 + Line 85 + Line 86</v>
      </c>
      <c r="G144" s="10"/>
      <c r="H144" s="768"/>
    </row>
    <row r="145" spans="1:8">
      <c r="A145" s="379">
        <f t="shared" si="18"/>
        <v>88</v>
      </c>
      <c r="B145" s="768"/>
      <c r="C145" s="768"/>
      <c r="D145" s="296" t="s">
        <v>2386</v>
      </c>
      <c r="E145" s="5">
        <f>E139+E142</f>
        <v>133292914.8806138</v>
      </c>
      <c r="F145" s="297" t="str">
        <f>"Line "&amp;A139&amp;" + Line "&amp;A142&amp;""</f>
        <v>Line 82 + Line 85</v>
      </c>
      <c r="G145" s="10"/>
      <c r="H145" s="768"/>
    </row>
    <row r="147" spans="1:8" ht="15">
      <c r="A147" s="768"/>
      <c r="B147" s="768"/>
      <c r="C147" s="209" t="s">
        <v>2387</v>
      </c>
      <c r="D147" s="768"/>
      <c r="E147" s="768"/>
      <c r="F147" s="768"/>
      <c r="G147" s="768"/>
      <c r="H147" s="768"/>
    </row>
    <row r="148" spans="1:8" ht="15">
      <c r="A148" s="768"/>
      <c r="B148" s="768"/>
      <c r="C148" s="209"/>
      <c r="D148" s="52" t="s">
        <v>307</v>
      </c>
      <c r="E148" s="52" t="s">
        <v>308</v>
      </c>
      <c r="F148" s="52" t="s">
        <v>309</v>
      </c>
      <c r="G148" s="52" t="s">
        <v>310</v>
      </c>
      <c r="H148" s="768"/>
    </row>
    <row r="149" spans="1:8" ht="12.75" customHeight="1">
      <c r="A149" s="768"/>
      <c r="B149" s="768"/>
      <c r="C149" s="768"/>
      <c r="D149" s="143" t="s">
        <v>2355</v>
      </c>
      <c r="E149" s="143" t="s">
        <v>10</v>
      </c>
      <c r="F149" s="768"/>
      <c r="G149" s="768"/>
      <c r="H149" s="768"/>
    </row>
    <row r="150" spans="1:8" ht="12.75" customHeight="1">
      <c r="A150" s="768"/>
      <c r="B150" s="768"/>
      <c r="C150" s="768"/>
      <c r="D150" s="2" t="s">
        <v>2375</v>
      </c>
      <c r="E150" s="2" t="s">
        <v>2375</v>
      </c>
      <c r="F150" s="2" t="s">
        <v>2367</v>
      </c>
      <c r="G150" s="144" t="s">
        <v>388</v>
      </c>
      <c r="H150" s="2" t="s">
        <v>763</v>
      </c>
    </row>
    <row r="151" spans="1:8">
      <c r="A151" s="379">
        <f>A145+1</f>
        <v>89</v>
      </c>
      <c r="B151" s="768"/>
      <c r="C151" s="296" t="s">
        <v>2332</v>
      </c>
      <c r="D151" s="37">
        <f t="shared" ref="D151:D159" si="19">D77+E77+F77</f>
        <v>23690.495213152943</v>
      </c>
      <c r="E151" s="37">
        <f t="shared" ref="E151:E159" si="20">D120</f>
        <v>-22402.879241392591</v>
      </c>
      <c r="F151" s="37">
        <f>(D151+E151)*('28-FFU'!$D$22+'28-FFU'!$E$22)</f>
        <v>14.650494526689279</v>
      </c>
      <c r="G151" s="37">
        <f>SUM(D151:F151)</f>
        <v>1302.2664662870407</v>
      </c>
      <c r="H151" s="297" t="s">
        <v>2388</v>
      </c>
    </row>
    <row r="152" spans="1:8">
      <c r="A152" s="379">
        <f t="shared" ref="A152:A162" si="21">A151+1</f>
        <v>90</v>
      </c>
      <c r="B152" s="768"/>
      <c r="C152" s="296" t="s">
        <v>2333</v>
      </c>
      <c r="D152" s="37">
        <f t="shared" si="19"/>
        <v>0</v>
      </c>
      <c r="E152" s="37">
        <f t="shared" si="20"/>
        <v>0</v>
      </c>
      <c r="F152" s="37">
        <f>(D152+E152)*('28-FFU'!$D$22+'28-FFU'!$E$22)</f>
        <v>0</v>
      </c>
      <c r="G152" s="37">
        <f t="shared" ref="G152:G159" si="22">SUM(D152:F152)</f>
        <v>0</v>
      </c>
      <c r="H152" s="297" t="s">
        <v>2388</v>
      </c>
    </row>
    <row r="153" spans="1:8">
      <c r="A153" s="379">
        <f t="shared" si="21"/>
        <v>91</v>
      </c>
      <c r="B153" s="768"/>
      <c r="C153" s="296" t="s">
        <v>2334</v>
      </c>
      <c r="D153" s="37">
        <f t="shared" si="19"/>
        <v>748345.59224458865</v>
      </c>
      <c r="E153" s="37">
        <f t="shared" si="20"/>
        <v>119783.46981015311</v>
      </c>
      <c r="F153" s="37">
        <f>(D153+E153)*('28-FFU'!$D$22+'28-FFU'!$E$22)</f>
        <v>9877.5724680588519</v>
      </c>
      <c r="G153" s="37">
        <f t="shared" si="22"/>
        <v>878006.63452280068</v>
      </c>
      <c r="H153" s="297" t="s">
        <v>2388</v>
      </c>
    </row>
    <row r="154" spans="1:8">
      <c r="A154" s="379">
        <f t="shared" si="21"/>
        <v>92</v>
      </c>
      <c r="B154" s="768"/>
      <c r="C154" s="296" t="s">
        <v>2335</v>
      </c>
      <c r="D154" s="37">
        <f t="shared" si="19"/>
        <v>32715981.542898778</v>
      </c>
      <c r="E154" s="37">
        <f t="shared" si="20"/>
        <v>35803264.46991282</v>
      </c>
      <c r="F154" s="37">
        <f>(D154+E154)*('28-FFU'!$D$22+'28-FFU'!$E$22)</f>
        <v>779611.98113377043</v>
      </c>
      <c r="G154" s="37">
        <f t="shared" si="22"/>
        <v>69298857.993945375</v>
      </c>
      <c r="H154" s="297" t="s">
        <v>2388</v>
      </c>
    </row>
    <row r="155" spans="1:8">
      <c r="A155" s="379">
        <f t="shared" si="21"/>
        <v>93</v>
      </c>
      <c r="B155" s="768"/>
      <c r="C155" s="296" t="s">
        <v>2336</v>
      </c>
      <c r="D155" s="37">
        <f t="shared" si="19"/>
        <v>0</v>
      </c>
      <c r="E155" s="37">
        <f t="shared" si="20"/>
        <v>0</v>
      </c>
      <c r="F155" s="37">
        <f>(D155+E155)*('28-FFU'!$D$22+'28-FFU'!$E$22)</f>
        <v>0</v>
      </c>
      <c r="G155" s="37">
        <f t="shared" si="22"/>
        <v>0</v>
      </c>
      <c r="H155" s="297" t="s">
        <v>2388</v>
      </c>
    </row>
    <row r="156" spans="1:8">
      <c r="A156" s="379">
        <f t="shared" si="21"/>
        <v>94</v>
      </c>
      <c r="B156" s="768"/>
      <c r="C156" s="296" t="s">
        <v>2337</v>
      </c>
      <c r="D156" s="37">
        <f t="shared" si="19"/>
        <v>0</v>
      </c>
      <c r="E156" s="37">
        <f t="shared" si="20"/>
        <v>0</v>
      </c>
      <c r="F156" s="37">
        <f>(D156+E156)*('28-FFU'!$D$22+'28-FFU'!$E$22)</f>
        <v>0</v>
      </c>
      <c r="G156" s="37">
        <f t="shared" si="22"/>
        <v>0</v>
      </c>
      <c r="H156" s="297" t="s">
        <v>2388</v>
      </c>
    </row>
    <row r="157" spans="1:8">
      <c r="A157" s="379">
        <f t="shared" si="21"/>
        <v>95</v>
      </c>
      <c r="B157" s="768"/>
      <c r="C157" s="296" t="s">
        <v>2338</v>
      </c>
      <c r="D157" s="37">
        <f t="shared" si="19"/>
        <v>0</v>
      </c>
      <c r="E157" s="37">
        <f t="shared" si="20"/>
        <v>1288005.0289940662</v>
      </c>
      <c r="F157" s="37">
        <f>(D157+E157)*('28-FFU'!$D$22+'28-FFU'!$E$22)</f>
        <v>14654.921219894486</v>
      </c>
      <c r="G157" s="37">
        <f t="shared" si="22"/>
        <v>1302659.9502139606</v>
      </c>
      <c r="H157" s="297" t="s">
        <v>2388</v>
      </c>
    </row>
    <row r="158" spans="1:8">
      <c r="A158" s="379">
        <f t="shared" si="21"/>
        <v>96</v>
      </c>
      <c r="B158" s="768"/>
      <c r="C158" s="669" t="s">
        <v>1077</v>
      </c>
      <c r="D158" s="37">
        <f t="shared" si="19"/>
        <v>17661775.211187266</v>
      </c>
      <c r="E158" s="37">
        <f t="shared" si="20"/>
        <v>20509273.566282984</v>
      </c>
      <c r="F158" s="37">
        <f>(D158+E158)*('28-FFU'!$D$22+'28-FFU'!$E$22)</f>
        <v>434310.19299005647</v>
      </c>
      <c r="G158" s="37">
        <f t="shared" si="22"/>
        <v>38605358.970460303</v>
      </c>
      <c r="H158" s="297" t="s">
        <v>2388</v>
      </c>
    </row>
    <row r="159" spans="1:8">
      <c r="A159" s="379">
        <f t="shared" si="21"/>
        <v>97</v>
      </c>
      <c r="B159" s="768"/>
      <c r="C159" s="669" t="s">
        <v>1078</v>
      </c>
      <c r="D159" s="37">
        <f t="shared" si="19"/>
        <v>2881486.2685194397</v>
      </c>
      <c r="E159" s="37">
        <f t="shared" si="20"/>
        <v>181492.1586893429</v>
      </c>
      <c r="F159" s="37">
        <f>(D159+E159)*('28-FFU'!$D$22+'28-FFU'!$E$22)</f>
        <v>34850.568544781534</v>
      </c>
      <c r="G159" s="37">
        <f t="shared" si="22"/>
        <v>3097828.9957535639</v>
      </c>
      <c r="H159" s="297" t="s">
        <v>2388</v>
      </c>
    </row>
    <row r="160" spans="1:8">
      <c r="A160" s="379">
        <f t="shared" si="21"/>
        <v>98</v>
      </c>
      <c r="B160" s="768"/>
      <c r="C160" s="669" t="s">
        <v>2368</v>
      </c>
      <c r="D160" s="37">
        <f t="shared" ref="D160" si="23">D86+E86+F86</f>
        <v>9344601.0156538226</v>
      </c>
      <c r="E160" s="37">
        <f t="shared" ref="E160" si="24">D129</f>
        <v>10816744.994052863</v>
      </c>
      <c r="F160" s="37">
        <f>(D160+E160)*('28-FFU'!$D$22+'28-FFU'!$E$22)</f>
        <v>229395.79489844266</v>
      </c>
      <c r="G160" s="37">
        <f t="shared" ref="G160" si="25">SUM(D160:F160)</f>
        <v>20390741.804605126</v>
      </c>
      <c r="H160" s="297" t="s">
        <v>2388</v>
      </c>
    </row>
    <row r="161" spans="1:8">
      <c r="A161" s="379">
        <f t="shared" si="21"/>
        <v>99</v>
      </c>
      <c r="B161" s="768"/>
      <c r="C161" s="1268"/>
      <c r="D161" s="1027" t="s">
        <v>351</v>
      </c>
      <c r="E161" s="1027" t="s">
        <v>351</v>
      </c>
      <c r="F161" s="1027" t="s">
        <v>351</v>
      </c>
      <c r="G161" s="1027" t="s">
        <v>351</v>
      </c>
      <c r="H161" s="297" t="s">
        <v>2388</v>
      </c>
    </row>
    <row r="162" spans="1:8">
      <c r="A162" s="379">
        <f t="shared" si="21"/>
        <v>100</v>
      </c>
      <c r="B162" s="768"/>
      <c r="C162" s="296" t="s">
        <v>406</v>
      </c>
      <c r="D162" s="37">
        <f>SUM(D151:D161)</f>
        <v>63375880.125717044</v>
      </c>
      <c r="E162" s="37">
        <f>SUM(E151:E161)</f>
        <v>68696160.808500841</v>
      </c>
      <c r="F162" s="37">
        <f>SUM(F151:F161)</f>
        <v>1502715.6817495311</v>
      </c>
      <c r="G162" s="37">
        <f>SUM(G151:G161)</f>
        <v>133574756.61596739</v>
      </c>
      <c r="H162" s="10"/>
    </row>
    <row r="164" spans="1:8" ht="15">
      <c r="A164" s="768"/>
      <c r="B164" s="768"/>
      <c r="C164" s="209" t="s">
        <v>2389</v>
      </c>
      <c r="D164" s="768"/>
      <c r="E164" s="768"/>
      <c r="F164" s="768"/>
      <c r="G164" s="768"/>
      <c r="H164" s="768"/>
    </row>
    <row r="165" spans="1:8" ht="15">
      <c r="A165" s="768"/>
      <c r="B165" s="768"/>
      <c r="C165" s="209"/>
      <c r="D165" s="768"/>
      <c r="E165" s="768"/>
      <c r="F165" s="768"/>
      <c r="G165" s="768"/>
      <c r="H165" s="768"/>
    </row>
    <row r="166" spans="1:8">
      <c r="A166" s="768"/>
      <c r="B166" s="768"/>
      <c r="C166" s="768"/>
      <c r="D166" s="52" t="s">
        <v>307</v>
      </c>
      <c r="E166" s="52" t="s">
        <v>308</v>
      </c>
      <c r="F166" s="52" t="s">
        <v>309</v>
      </c>
      <c r="G166" s="52" t="s">
        <v>310</v>
      </c>
      <c r="H166" s="768"/>
    </row>
    <row r="167" spans="1:8" ht="12.75" customHeight="1">
      <c r="A167" s="768"/>
      <c r="B167" s="768"/>
      <c r="C167" s="768"/>
      <c r="D167" s="143" t="s">
        <v>2355</v>
      </c>
      <c r="E167" s="143" t="s">
        <v>10</v>
      </c>
      <c r="F167" s="52"/>
      <c r="G167" s="52"/>
      <c r="H167" s="768"/>
    </row>
    <row r="168" spans="1:8" ht="12.75" customHeight="1">
      <c r="A168" s="768"/>
      <c r="B168" s="768"/>
      <c r="C168" s="768"/>
      <c r="D168" s="2" t="s">
        <v>2375</v>
      </c>
      <c r="E168" s="2" t="s">
        <v>2375</v>
      </c>
      <c r="F168" s="2" t="s">
        <v>2390</v>
      </c>
      <c r="G168" s="144" t="s">
        <v>388</v>
      </c>
      <c r="H168" s="2" t="s">
        <v>763</v>
      </c>
    </row>
    <row r="169" spans="1:8">
      <c r="A169" s="379">
        <f>A162+1</f>
        <v>101</v>
      </c>
      <c r="B169" s="768"/>
      <c r="C169" s="296" t="s">
        <v>2332</v>
      </c>
      <c r="D169" s="37">
        <f>D77+E77+F77</f>
        <v>23690.495213152943</v>
      </c>
      <c r="E169" s="37">
        <f t="shared" ref="E169:E177" si="26">D120</f>
        <v>-22402.879241392591</v>
      </c>
      <c r="F169" s="37">
        <f>(D169+E169)*('28-FFU'!$D$22)</f>
        <v>11.902722042952689</v>
      </c>
      <c r="G169" s="37">
        <f>SUM(D169:F169)</f>
        <v>1299.5186938033041</v>
      </c>
      <c r="H169" s="302" t="s">
        <v>1628</v>
      </c>
    </row>
    <row r="170" spans="1:8">
      <c r="A170" s="379">
        <f t="shared" ref="A170:A180" si="27">A169+1</f>
        <v>102</v>
      </c>
      <c r="B170" s="768"/>
      <c r="C170" s="296" t="s">
        <v>2333</v>
      </c>
      <c r="D170" s="37">
        <f t="shared" ref="D170:D177" si="28">D78+E78+F78</f>
        <v>0</v>
      </c>
      <c r="E170" s="37">
        <f t="shared" si="26"/>
        <v>0</v>
      </c>
      <c r="F170" s="37">
        <f>(D170+E170)*('28-FFU'!$D$22)</f>
        <v>0</v>
      </c>
      <c r="G170" s="37">
        <f t="shared" ref="G170:G177" si="29">SUM(D170:F170)</f>
        <v>0</v>
      </c>
      <c r="H170" s="302" t="s">
        <v>1628</v>
      </c>
    </row>
    <row r="171" spans="1:8">
      <c r="A171" s="379">
        <f t="shared" si="27"/>
        <v>103</v>
      </c>
      <c r="B171" s="768"/>
      <c r="C171" s="296" t="s">
        <v>2334</v>
      </c>
      <c r="D171" s="37">
        <f t="shared" si="28"/>
        <v>748345.59224458865</v>
      </c>
      <c r="E171" s="37">
        <f t="shared" si="26"/>
        <v>119783.46981015311</v>
      </c>
      <c r="F171" s="37">
        <f>(D171+E171)*('28-FFU'!$D$22)</f>
        <v>8024.9850496340332</v>
      </c>
      <c r="G171" s="37">
        <f t="shared" si="29"/>
        <v>876154.04710437579</v>
      </c>
      <c r="H171" s="302" t="s">
        <v>1628</v>
      </c>
    </row>
    <row r="172" spans="1:8">
      <c r="A172" s="379">
        <f t="shared" si="27"/>
        <v>104</v>
      </c>
      <c r="B172" s="768"/>
      <c r="C172" s="296" t="s">
        <v>2335</v>
      </c>
      <c r="D172" s="37">
        <f t="shared" si="28"/>
        <v>32715981.542898778</v>
      </c>
      <c r="E172" s="37">
        <f t="shared" si="26"/>
        <v>35803264.46991282</v>
      </c>
      <c r="F172" s="37">
        <f>(D172+E172)*('28-FFU'!$D$22)</f>
        <v>633391.91014243045</v>
      </c>
      <c r="G172" s="37">
        <f t="shared" si="29"/>
        <v>69152637.922954038</v>
      </c>
      <c r="H172" s="302" t="s">
        <v>1628</v>
      </c>
    </row>
    <row r="173" spans="1:8">
      <c r="A173" s="379">
        <f t="shared" si="27"/>
        <v>105</v>
      </c>
      <c r="B173" s="768"/>
      <c r="C173" s="296" t="s">
        <v>2336</v>
      </c>
      <c r="D173" s="37">
        <f t="shared" si="28"/>
        <v>0</v>
      </c>
      <c r="E173" s="37">
        <f t="shared" si="26"/>
        <v>0</v>
      </c>
      <c r="F173" s="37">
        <f>(D173+E173)*('28-FFU'!$D$22)</f>
        <v>0</v>
      </c>
      <c r="G173" s="37">
        <f t="shared" si="29"/>
        <v>0</v>
      </c>
      <c r="H173" s="302" t="s">
        <v>1628</v>
      </c>
    </row>
    <row r="174" spans="1:8">
      <c r="A174" s="379">
        <f t="shared" si="27"/>
        <v>106</v>
      </c>
      <c r="B174" s="768"/>
      <c r="C174" s="296" t="s">
        <v>2337</v>
      </c>
      <c r="D174" s="37">
        <f t="shared" si="28"/>
        <v>0</v>
      </c>
      <c r="E174" s="37">
        <f t="shared" si="26"/>
        <v>0</v>
      </c>
      <c r="F174" s="37">
        <f>(D174+E174)*('28-FFU'!$D$22)</f>
        <v>0</v>
      </c>
      <c r="G174" s="37">
        <f t="shared" si="29"/>
        <v>0</v>
      </c>
      <c r="H174" s="302" t="s">
        <v>1628</v>
      </c>
    </row>
    <row r="175" spans="1:8">
      <c r="A175" s="379">
        <f t="shared" si="27"/>
        <v>107</v>
      </c>
      <c r="B175" s="768"/>
      <c r="C175" s="296" t="s">
        <v>2338</v>
      </c>
      <c r="D175" s="37">
        <f t="shared" si="28"/>
        <v>0</v>
      </c>
      <c r="E175" s="37">
        <f t="shared" si="26"/>
        <v>1288005.0289940662</v>
      </c>
      <c r="F175" s="37">
        <f>(D175+E175)*('28-FFU'!$D$22)</f>
        <v>11906.318488021148</v>
      </c>
      <c r="G175" s="37">
        <f t="shared" si="29"/>
        <v>1299911.3474820873</v>
      </c>
      <c r="H175" s="302" t="s">
        <v>1628</v>
      </c>
    </row>
    <row r="176" spans="1:8">
      <c r="A176" s="379">
        <f t="shared" si="27"/>
        <v>108</v>
      </c>
      <c r="B176" s="768"/>
      <c r="C176" s="669" t="s">
        <v>1077</v>
      </c>
      <c r="D176" s="37">
        <f t="shared" si="28"/>
        <v>17661775.211187266</v>
      </c>
      <c r="E176" s="37">
        <f t="shared" si="26"/>
        <v>20509273.566282984</v>
      </c>
      <c r="F176" s="37">
        <f>(D176+E176)*('28-FFU'!$D$22)</f>
        <v>352853.17489893496</v>
      </c>
      <c r="G176" s="37">
        <f t="shared" si="29"/>
        <v>38523901.952369183</v>
      </c>
      <c r="H176" s="302" t="s">
        <v>1628</v>
      </c>
    </row>
    <row r="177" spans="1:11">
      <c r="A177" s="379">
        <f t="shared" si="27"/>
        <v>109</v>
      </c>
      <c r="B177" s="768"/>
      <c r="C177" s="669" t="s">
        <v>1078</v>
      </c>
      <c r="D177" s="37">
        <f t="shared" si="28"/>
        <v>2881486.2685194397</v>
      </c>
      <c r="E177" s="37">
        <f t="shared" si="26"/>
        <v>181492.1586893429</v>
      </c>
      <c r="F177" s="37">
        <f>(D177+E177)*('28-FFU'!$D$22)</f>
        <v>28314.172581117989</v>
      </c>
      <c r="G177" s="37">
        <f t="shared" si="29"/>
        <v>3091292.5997899007</v>
      </c>
      <c r="H177" s="302" t="s">
        <v>1628</v>
      </c>
      <c r="I177" s="768"/>
      <c r="J177" s="768"/>
      <c r="K177" s="768"/>
    </row>
    <row r="178" spans="1:11">
      <c r="A178" s="379">
        <f t="shared" si="27"/>
        <v>110</v>
      </c>
      <c r="B178" s="768"/>
      <c r="C178" s="669" t="s">
        <v>2368</v>
      </c>
      <c r="D178" s="37">
        <f t="shared" ref="D178" si="30">D86+E86+F86</f>
        <v>9344601.0156538226</v>
      </c>
      <c r="E178" s="37">
        <f t="shared" ref="E178" si="31">D129</f>
        <v>10816744.994052863</v>
      </c>
      <c r="F178" s="37">
        <f>(D178+E178)*('28-FFU'!$D$22)</f>
        <v>186371.48251372858</v>
      </c>
      <c r="G178" s="37">
        <f t="shared" ref="G178" si="32">SUM(D178:F178)</f>
        <v>20347717.492220413</v>
      </c>
      <c r="H178" s="302" t="s">
        <v>1628</v>
      </c>
      <c r="I178" s="768"/>
      <c r="J178" s="768"/>
      <c r="K178" s="768"/>
    </row>
    <row r="179" spans="1:11">
      <c r="A179" s="379">
        <f t="shared" si="27"/>
        <v>111</v>
      </c>
      <c r="B179" s="768"/>
      <c r="C179" s="1268"/>
      <c r="D179" s="1027" t="s">
        <v>351</v>
      </c>
      <c r="E179" s="1027" t="s">
        <v>351</v>
      </c>
      <c r="F179" s="1027" t="s">
        <v>351</v>
      </c>
      <c r="G179" s="1027" t="s">
        <v>351</v>
      </c>
      <c r="H179" s="302" t="s">
        <v>1628</v>
      </c>
      <c r="I179" s="768"/>
      <c r="J179" s="768"/>
      <c r="K179" s="768"/>
    </row>
    <row r="180" spans="1:11">
      <c r="A180" s="379">
        <f t="shared" si="27"/>
        <v>112</v>
      </c>
      <c r="B180" s="768"/>
      <c r="C180" s="296" t="s">
        <v>406</v>
      </c>
      <c r="D180" s="37">
        <f>SUM(D169:D179)</f>
        <v>63375880.125717044</v>
      </c>
      <c r="E180" s="37">
        <f>SUM(E169:E179)</f>
        <v>68696160.808500841</v>
      </c>
      <c r="F180" s="37">
        <f>SUM(F169:F179)</f>
        <v>1220873.9463959101</v>
      </c>
      <c r="G180" s="37">
        <f>SUM(G169:G179)</f>
        <v>133292914.8806138</v>
      </c>
      <c r="H180" s="768"/>
      <c r="I180" s="768"/>
      <c r="J180" s="768"/>
      <c r="K180" s="768"/>
    </row>
    <row r="182" spans="1:11">
      <c r="A182" s="768"/>
      <c r="B182" s="1" t="s">
        <v>226</v>
      </c>
      <c r="C182" s="768"/>
      <c r="D182" s="768"/>
      <c r="E182" s="768"/>
      <c r="F182" s="768"/>
      <c r="G182" s="768"/>
      <c r="H182" s="768"/>
      <c r="I182" s="768"/>
      <c r="J182" s="768"/>
      <c r="K182" s="768"/>
    </row>
    <row r="183" spans="1:11">
      <c r="A183" s="768"/>
      <c r="B183" s="668" t="str">
        <f>"1) (Sum Lines "&amp;A64&amp;" to "&amp;A67&amp;") * (FF + U Factors from 28-FFU) for Prior Year TRR"</f>
        <v>1) (Sum Lines 33 to 36) * (FF + U Factors from 28-FFU) for Prior Year TRR</v>
      </c>
      <c r="C183" s="10"/>
      <c r="D183" s="10"/>
      <c r="E183" s="10"/>
      <c r="F183" s="10"/>
      <c r="G183" s="10"/>
      <c r="H183" s="10"/>
      <c r="I183" s="10"/>
      <c r="J183" s="10"/>
      <c r="K183" s="10"/>
    </row>
    <row r="184" spans="1:11">
      <c r="A184" s="768"/>
      <c r="B184" s="297" t="str">
        <f>"(Sum Lines "&amp;A64&amp;" to "&amp;A67&amp;") * (FF Factor from 28-FFU) for True Up TRR"</f>
        <v>(Sum Lines 33 to 36) * (FF Factor from 28-FFU) for True Up TRR</v>
      </c>
      <c r="C184" s="10"/>
      <c r="D184" s="10"/>
      <c r="E184" s="10"/>
      <c r="F184" s="10"/>
      <c r="G184" s="10"/>
      <c r="H184" s="10"/>
      <c r="I184" s="10"/>
      <c r="J184" s="10"/>
      <c r="K184" s="10"/>
    </row>
    <row r="185" spans="1:11">
      <c r="A185" s="768"/>
      <c r="B185" s="300"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0"/>
      <c r="D185" s="10"/>
      <c r="E185" s="10"/>
      <c r="F185" s="10"/>
      <c r="G185" s="10"/>
      <c r="H185" s="10"/>
      <c r="I185" s="10"/>
      <c r="J185" s="10"/>
      <c r="K185" s="10"/>
    </row>
    <row r="186" spans="1:11">
      <c r="A186" s="768"/>
      <c r="B186" s="297"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0"/>
      <c r="D186" s="10"/>
      <c r="E186" s="10"/>
      <c r="F186" s="10"/>
      <c r="G186" s="10"/>
      <c r="H186" s="10"/>
      <c r="I186" s="10"/>
      <c r="J186" s="10"/>
      <c r="K186" s="10"/>
    </row>
    <row r="187" spans="1:11">
      <c r="A187" s="768"/>
      <c r="B187" s="67" t="str">
        <f>"ROE Adder is from Lines "&amp;A66&amp;" and "&amp;A67&amp;".  FF&amp;U Expenses are based on FF&amp;U Factors on 28-FFU."</f>
        <v>ROE Adder is from Lines 35 and 36.  FF&amp;U Expenses are based on FF&amp;U Factors on 28-FFU.</v>
      </c>
      <c r="C187" s="10"/>
      <c r="D187" s="10"/>
      <c r="E187" s="10"/>
      <c r="F187" s="10"/>
      <c r="G187" s="10"/>
      <c r="H187" s="10"/>
      <c r="I187" s="10"/>
      <c r="J187" s="10"/>
      <c r="K187" s="10"/>
    </row>
    <row r="188" spans="1:11">
      <c r="A188" s="768"/>
      <c r="B188" s="300"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0"/>
      <c r="D188" s="10"/>
      <c r="E188" s="10"/>
      <c r="F188" s="10"/>
      <c r="G188" s="10"/>
      <c r="H188" s="10"/>
      <c r="I188" s="10"/>
      <c r="J188" s="10"/>
      <c r="K188" s="10"/>
    </row>
    <row r="189" spans="1:11">
      <c r="A189" s="768"/>
      <c r="B189" s="297"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0"/>
      <c r="D189" s="10"/>
      <c r="E189" s="10"/>
      <c r="F189" s="10"/>
      <c r="G189" s="10"/>
      <c r="H189" s="10"/>
      <c r="I189" s="10"/>
      <c r="J189" s="10"/>
      <c r="K189" s="10"/>
    </row>
    <row r="190" spans="1:11">
      <c r="A190" s="768"/>
      <c r="B190" s="67" t="str">
        <f>"ROE Adder is from Lines "&amp;A66&amp;" and "&amp;A67&amp;".  FF&amp;U Expenses are based on FF&amp;U Factors on 28-FFU."</f>
        <v>ROE Adder is from Lines 35 and 36.  FF&amp;U Expenses are based on FF&amp;U Factors on 28-FFU.</v>
      </c>
      <c r="C190" s="10"/>
      <c r="D190" s="10"/>
      <c r="E190" s="10"/>
      <c r="F190" s="10"/>
      <c r="G190" s="10"/>
      <c r="H190" s="10"/>
      <c r="I190" s="10"/>
      <c r="J190" s="10"/>
      <c r="K190" s="10"/>
    </row>
    <row r="191" spans="1:11">
      <c r="A191" s="768"/>
      <c r="B191" s="300" t="str">
        <f>"4) Project contribution to total IFPTRR is based on fraction of Forecast Period CWIP Balances on Lines "&amp;A9&amp;" to "&amp;A20&amp;", Col 3."</f>
        <v>4) Project contribution to total IFPTRR is based on fraction of Forecast Period CWIP Balances on Lines 1 to 12, Col 3.</v>
      </c>
      <c r="C191" s="10"/>
      <c r="D191" s="10"/>
      <c r="E191" s="10"/>
      <c r="F191" s="10"/>
      <c r="G191" s="10"/>
      <c r="H191" s="10"/>
      <c r="I191" s="10"/>
      <c r="J191" s="10"/>
      <c r="K191" s="10"/>
    </row>
    <row r="192" spans="1:11">
      <c r="A192" s="768"/>
      <c r="B192" s="300" t="str">
        <f>"5) Column 1 is from Lines "&amp;A77&amp;" to "&amp;A87&amp;", Sum of Column 1-3 (no FF&amp;U)."</f>
        <v>5) Column 1 is from Lines 39 to 49, Sum of Column 1-3 (no FF&amp;U).</v>
      </c>
      <c r="C192" s="10"/>
      <c r="D192" s="10"/>
      <c r="E192" s="10"/>
      <c r="F192" s="10"/>
      <c r="G192" s="10"/>
      <c r="H192" s="10"/>
      <c r="I192" s="10"/>
      <c r="J192" s="10"/>
      <c r="K192" s="10"/>
    </row>
    <row r="193" spans="2:11">
      <c r="B193" s="297" t="str">
        <f>"Column 2 is from Lines "&amp;A120&amp;" to "&amp;A130&amp;" (no FF&amp;U)."</f>
        <v>Column 2 is from Lines 68 to 78 (no FF&amp;U).</v>
      </c>
      <c r="C193" s="10"/>
      <c r="D193" s="10"/>
      <c r="E193" s="10"/>
      <c r="F193" s="10"/>
      <c r="G193" s="10"/>
      <c r="H193" s="10"/>
      <c r="I193" s="10"/>
      <c r="J193" s="10"/>
      <c r="K193" s="10"/>
    </row>
    <row r="194" spans="2:11">
      <c r="B194" s="297" t="str">
        <f>"Column 3 is the product of (C1 + C2) and the sum of FF and U factors (28-FFU, L"&amp;'28-FFU'!A22&amp;")"</f>
        <v>Column 3 is the product of (C1 + C2) and the sum of FF and U factors (28-FFU, L5)</v>
      </c>
      <c r="C194" s="10"/>
      <c r="D194" s="10"/>
      <c r="E194" s="10"/>
      <c r="F194" s="10"/>
      <c r="G194" s="10"/>
      <c r="H194" s="10"/>
      <c r="I194" s="10"/>
      <c r="J194" s="10"/>
      <c r="K194" s="10"/>
    </row>
    <row r="195" spans="2:11">
      <c r="B195" s="300" t="s">
        <v>2391</v>
      </c>
      <c r="C195" s="10"/>
      <c r="D195" s="10"/>
      <c r="E195" s="10"/>
      <c r="F195" s="10"/>
      <c r="G195" s="10"/>
      <c r="H195" s="10"/>
      <c r="I195" s="768"/>
      <c r="J195" s="768"/>
      <c r="K195" s="768"/>
    </row>
    <row r="196" spans="2:11">
      <c r="B196" s="10"/>
      <c r="C196" s="10"/>
      <c r="D196" s="10"/>
      <c r="E196" s="10"/>
      <c r="F196" s="10"/>
      <c r="G196" s="10"/>
      <c r="H196" s="10"/>
      <c r="I196" s="768"/>
      <c r="J196" s="768"/>
      <c r="K196" s="768"/>
    </row>
  </sheetData>
  <pageMargins left="0.7" right="0.7" top="0.75" bottom="0.75" header="0.3" footer="0.3"/>
  <pageSetup scale="70" orientation="portrait" cellComments="asDisplayed" r:id="rId1"/>
  <headerFooter>
    <oddHeader>&amp;CSchedule 24
CWIP TRR
&amp;RTO2020 Draft Annual Update 
Attachment1</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zoomScaleNormal="100" workbookViewId="0"/>
  </sheetViews>
  <sheetFormatPr defaultRowHeight="12.75"/>
  <cols>
    <col min="1" max="1" width="4.7109375" customWidth="1"/>
    <col min="6" max="6" width="11.7109375" customWidth="1"/>
    <col min="7" max="7" width="21.7109375" customWidth="1"/>
    <col min="8" max="8" width="15.5703125" customWidth="1"/>
    <col min="9" max="9" width="14.7109375" customWidth="1"/>
  </cols>
  <sheetData>
    <row r="1" spans="1:12">
      <c r="A1" s="1" t="s">
        <v>2392</v>
      </c>
      <c r="B1" s="133"/>
      <c r="C1" s="133"/>
      <c r="D1" s="133"/>
      <c r="E1" s="133"/>
      <c r="F1" s="133"/>
      <c r="G1" s="133"/>
      <c r="H1" s="133"/>
      <c r="I1" s="133"/>
      <c r="J1" s="133"/>
      <c r="K1" s="133"/>
      <c r="L1" s="133"/>
    </row>
    <row r="2" spans="1:12">
      <c r="A2" s="1"/>
      <c r="B2" s="133"/>
      <c r="C2" s="133"/>
      <c r="D2" s="133"/>
      <c r="E2" s="133"/>
      <c r="F2" s="133"/>
      <c r="G2" s="133"/>
      <c r="H2" s="278" t="s">
        <v>738</v>
      </c>
      <c r="I2" s="769"/>
      <c r="J2" s="133"/>
      <c r="K2" s="133"/>
      <c r="L2" s="133"/>
    </row>
    <row r="3" spans="1:12">
      <c r="A3" s="1"/>
      <c r="B3" s="133" t="s">
        <v>2393</v>
      </c>
      <c r="C3" s="133"/>
      <c r="D3" s="133"/>
      <c r="E3" s="133"/>
      <c r="F3" s="133"/>
      <c r="G3" s="133"/>
      <c r="H3" s="141"/>
      <c r="I3" s="141"/>
      <c r="J3" s="133"/>
      <c r="K3" s="133"/>
      <c r="L3" s="133"/>
    </row>
    <row r="4" spans="1:12">
      <c r="A4" s="1"/>
      <c r="B4" s="141" t="s">
        <v>2394</v>
      </c>
      <c r="C4" s="141"/>
      <c r="D4" s="141"/>
      <c r="E4" s="141"/>
      <c r="F4" s="141"/>
      <c r="G4" s="141"/>
      <c r="H4" s="141"/>
      <c r="I4" s="141"/>
      <c r="J4" s="133"/>
      <c r="K4" s="133"/>
      <c r="L4" s="133"/>
    </row>
    <row r="5" spans="1:12">
      <c r="A5" s="1"/>
      <c r="B5" s="141" t="s">
        <v>2395</v>
      </c>
      <c r="C5" s="141"/>
      <c r="D5" s="141"/>
      <c r="E5" s="141"/>
      <c r="F5" s="141"/>
      <c r="G5" s="141"/>
      <c r="H5" s="141"/>
      <c r="I5" s="141"/>
      <c r="J5" s="133"/>
      <c r="K5" s="133"/>
      <c r="L5" s="133"/>
    </row>
    <row r="6" spans="1:12">
      <c r="A6" s="1"/>
      <c r="B6" s="141"/>
      <c r="C6" s="141"/>
      <c r="D6" s="141"/>
      <c r="E6" s="141"/>
      <c r="F6" s="141"/>
      <c r="G6" s="141"/>
      <c r="H6" s="141"/>
      <c r="I6" s="141"/>
      <c r="J6" s="133"/>
      <c r="K6" s="133"/>
      <c r="L6" s="133"/>
    </row>
    <row r="7" spans="1:12">
      <c r="A7" s="1"/>
      <c r="B7" s="141" t="s">
        <v>2396</v>
      </c>
      <c r="C7" s="141"/>
      <c r="D7" s="141"/>
      <c r="E7" s="141"/>
      <c r="F7" s="141"/>
      <c r="G7" s="141"/>
      <c r="H7" s="141"/>
      <c r="I7" s="141"/>
      <c r="J7" s="133"/>
      <c r="K7" s="133"/>
      <c r="L7" s="133"/>
    </row>
    <row r="8" spans="1:12">
      <c r="A8" s="1"/>
      <c r="B8" s="141" t="s">
        <v>2397</v>
      </c>
      <c r="C8" s="141"/>
      <c r="D8" s="141"/>
      <c r="E8" s="141"/>
      <c r="F8" s="141"/>
      <c r="G8" s="141"/>
      <c r="H8" s="141"/>
      <c r="I8" s="141"/>
      <c r="J8" s="133"/>
      <c r="K8" s="133"/>
      <c r="L8" s="133"/>
    </row>
    <row r="9" spans="1:12">
      <c r="A9" s="1"/>
      <c r="B9" s="141" t="s">
        <v>2398</v>
      </c>
      <c r="C9" s="141"/>
      <c r="D9" s="141"/>
      <c r="E9" s="141"/>
      <c r="F9" s="141"/>
      <c r="G9" s="141"/>
      <c r="H9" s="141"/>
      <c r="I9" s="141"/>
      <c r="J9" s="133"/>
      <c r="K9" s="133"/>
      <c r="L9" s="133"/>
    </row>
    <row r="10" spans="1:12">
      <c r="A10" s="1"/>
      <c r="B10" s="141"/>
      <c r="C10" s="141"/>
      <c r="D10" s="141"/>
      <c r="E10" s="141"/>
      <c r="F10" s="141"/>
      <c r="G10" s="141"/>
      <c r="H10" s="279" t="s">
        <v>2399</v>
      </c>
      <c r="I10" s="141"/>
      <c r="J10" s="133"/>
      <c r="K10" s="133"/>
      <c r="L10" s="133"/>
    </row>
    <row r="11" spans="1:12" ht="15">
      <c r="A11" s="1"/>
      <c r="B11" s="141"/>
      <c r="C11" s="141"/>
      <c r="D11" s="141"/>
      <c r="E11" s="141"/>
      <c r="F11" s="141"/>
      <c r="G11" s="279" t="s">
        <v>121</v>
      </c>
      <c r="H11" s="724" t="s">
        <v>2400</v>
      </c>
      <c r="I11" s="279" t="s">
        <v>1193</v>
      </c>
      <c r="J11" s="133"/>
      <c r="K11" s="133"/>
      <c r="L11" s="133"/>
    </row>
    <row r="12" spans="1:12">
      <c r="A12" s="28" t="s">
        <v>243</v>
      </c>
      <c r="B12" s="141"/>
      <c r="C12" s="141"/>
      <c r="D12" s="141"/>
      <c r="E12" s="141"/>
      <c r="F12" s="141"/>
      <c r="G12" s="280" t="s">
        <v>2401</v>
      </c>
      <c r="H12" s="280" t="s">
        <v>2401</v>
      </c>
      <c r="I12" s="280" t="s">
        <v>2402</v>
      </c>
      <c r="J12" s="133"/>
      <c r="K12" s="133"/>
      <c r="L12" s="133"/>
    </row>
    <row r="13" spans="1:12">
      <c r="A13" s="379">
        <v>1</v>
      </c>
      <c r="B13" s="141" t="s">
        <v>2403</v>
      </c>
      <c r="C13" s="141"/>
      <c r="D13" s="141"/>
      <c r="E13" s="141"/>
      <c r="F13" s="141"/>
      <c r="G13" s="281" t="s">
        <v>1319</v>
      </c>
      <c r="H13" s="281" t="s">
        <v>1319</v>
      </c>
      <c r="I13" s="666" t="s">
        <v>1324</v>
      </c>
      <c r="J13" s="133"/>
      <c r="K13" s="133"/>
      <c r="L13" s="133"/>
    </row>
    <row r="14" spans="1:12">
      <c r="A14" s="379">
        <f>A13+1</f>
        <v>2</v>
      </c>
      <c r="B14" s="141" t="s">
        <v>2404</v>
      </c>
      <c r="C14" s="141"/>
      <c r="D14" s="141"/>
      <c r="E14" s="141"/>
      <c r="F14" s="141"/>
      <c r="G14" s="281" t="s">
        <v>1319</v>
      </c>
      <c r="H14" s="281" t="s">
        <v>1319</v>
      </c>
      <c r="I14" s="281" t="s">
        <v>1319</v>
      </c>
      <c r="J14" s="133"/>
      <c r="K14" s="133"/>
      <c r="L14" s="133"/>
    </row>
    <row r="15" spans="1:12">
      <c r="A15" s="64">
        <f>A14+1</f>
        <v>3</v>
      </c>
      <c r="B15" s="141" t="s">
        <v>2405</v>
      </c>
      <c r="C15" s="141"/>
      <c r="D15" s="141"/>
      <c r="E15" s="141"/>
      <c r="F15" s="141"/>
      <c r="G15" s="281" t="s">
        <v>1319</v>
      </c>
      <c r="H15" s="281" t="s">
        <v>1319</v>
      </c>
      <c r="I15" s="281" t="s">
        <v>1319</v>
      </c>
      <c r="J15" s="133"/>
      <c r="K15" s="133"/>
      <c r="L15" s="133"/>
    </row>
    <row r="16" spans="1:12">
      <c r="A16" s="379">
        <f>A15+1</f>
        <v>4</v>
      </c>
      <c r="B16" s="141" t="s">
        <v>2406</v>
      </c>
      <c r="C16" s="141"/>
      <c r="D16" s="141"/>
      <c r="E16" s="141"/>
      <c r="F16" s="141"/>
      <c r="G16" s="281" t="s">
        <v>1319</v>
      </c>
      <c r="H16" s="281" t="s">
        <v>1319</v>
      </c>
      <c r="I16" s="281" t="s">
        <v>1324</v>
      </c>
      <c r="J16" s="133"/>
      <c r="K16" s="133"/>
      <c r="L16" s="133"/>
    </row>
    <row r="17" spans="1:12">
      <c r="A17" s="379">
        <f>A16+1</f>
        <v>5</v>
      </c>
      <c r="B17" s="141" t="s">
        <v>2407</v>
      </c>
      <c r="C17" s="141"/>
      <c r="D17" s="141"/>
      <c r="E17" s="141"/>
      <c r="F17" s="141"/>
      <c r="G17" s="281" t="s">
        <v>1324</v>
      </c>
      <c r="H17" s="281" t="s">
        <v>1319</v>
      </c>
      <c r="I17" s="281" t="s">
        <v>1324</v>
      </c>
      <c r="J17" s="133"/>
      <c r="K17" s="133"/>
      <c r="L17" s="133"/>
    </row>
    <row r="18" spans="1:12">
      <c r="A18" s="64">
        <f>A17+1</f>
        <v>6</v>
      </c>
      <c r="B18" s="141" t="s">
        <v>2408</v>
      </c>
      <c r="C18" s="141"/>
      <c r="D18" s="141"/>
      <c r="E18" s="141"/>
      <c r="F18" s="141"/>
      <c r="G18" s="281" t="s">
        <v>1324</v>
      </c>
      <c r="H18" s="281" t="s">
        <v>1319</v>
      </c>
      <c r="I18" s="281" t="s">
        <v>1324</v>
      </c>
      <c r="J18" s="133"/>
      <c r="K18" s="133"/>
      <c r="L18" s="133"/>
    </row>
    <row r="19" spans="1:12">
      <c r="A19" s="133"/>
      <c r="B19" s="133"/>
      <c r="C19" s="282"/>
      <c r="D19" s="141"/>
      <c r="E19" s="141"/>
      <c r="F19" s="141"/>
      <c r="G19" s="133"/>
      <c r="H19" s="133"/>
      <c r="I19" s="133"/>
      <c r="J19" s="133"/>
      <c r="K19" s="133"/>
      <c r="L19" s="133"/>
    </row>
    <row r="20" spans="1:12">
      <c r="A20" s="133"/>
      <c r="B20" s="227" t="s">
        <v>2409</v>
      </c>
      <c r="C20" s="672"/>
      <c r="D20" s="141"/>
      <c r="E20" s="141"/>
      <c r="F20" s="141"/>
      <c r="G20" s="133"/>
      <c r="H20" s="133"/>
      <c r="I20" s="133"/>
      <c r="J20" s="133"/>
      <c r="K20" s="133"/>
      <c r="L20" s="133"/>
    </row>
    <row r="21" spans="1:12">
      <c r="A21" s="133"/>
      <c r="B21" s="227"/>
      <c r="C21" s="672"/>
      <c r="D21" s="141"/>
      <c r="E21" s="141"/>
      <c r="F21" s="141"/>
      <c r="G21" s="133"/>
      <c r="H21" s="133"/>
      <c r="I21" s="133"/>
      <c r="J21" s="133"/>
      <c r="K21" s="133"/>
      <c r="L21" s="133"/>
    </row>
    <row r="22" spans="1:12">
      <c r="A22" s="133"/>
      <c r="B22" s="283" t="s">
        <v>2410</v>
      </c>
      <c r="C22" s="674"/>
      <c r="D22" s="141"/>
      <c r="E22" s="141"/>
      <c r="F22" s="141"/>
      <c r="G22" s="133"/>
      <c r="H22" s="133"/>
      <c r="I22" s="133"/>
      <c r="J22" s="133"/>
      <c r="K22" s="133"/>
      <c r="L22" s="133"/>
    </row>
    <row r="23" spans="1:12">
      <c r="A23" s="133"/>
      <c r="B23" s="147" t="s">
        <v>2411</v>
      </c>
      <c r="C23" s="674"/>
      <c r="D23" s="141"/>
      <c r="E23" s="141"/>
      <c r="F23" s="141"/>
      <c r="G23" s="133"/>
      <c r="H23" s="133"/>
      <c r="I23" s="133"/>
      <c r="J23" s="133"/>
      <c r="K23" s="133"/>
      <c r="L23" s="133"/>
    </row>
    <row r="24" spans="1:12">
      <c r="A24" s="133"/>
      <c r="B24" s="147" t="s">
        <v>2412</v>
      </c>
      <c r="C24" s="133"/>
      <c r="D24" s="133"/>
      <c r="E24" s="133"/>
      <c r="F24" s="133"/>
      <c r="G24" s="133"/>
      <c r="H24" s="133"/>
      <c r="I24" s="133"/>
      <c r="J24" s="133"/>
      <c r="K24" s="133"/>
      <c r="L24" s="133"/>
    </row>
    <row r="25" spans="1:12">
      <c r="A25" s="133"/>
      <c r="B25" s="133"/>
      <c r="C25" s="133"/>
      <c r="D25" s="133"/>
      <c r="E25" s="133"/>
      <c r="F25" s="133"/>
      <c r="G25" s="133"/>
      <c r="H25" s="52" t="s">
        <v>307</v>
      </c>
      <c r="I25" s="52" t="s">
        <v>308</v>
      </c>
      <c r="J25" s="133"/>
      <c r="K25" s="133"/>
      <c r="L25" s="133"/>
    </row>
    <row r="26" spans="1:12">
      <c r="A26" s="133"/>
      <c r="B26" s="133"/>
      <c r="C26" s="133"/>
      <c r="D26" s="133"/>
      <c r="E26" s="133"/>
      <c r="F26" s="133"/>
      <c r="G26" s="133"/>
      <c r="H26" s="284" t="s">
        <v>2413</v>
      </c>
      <c r="I26" s="133"/>
      <c r="J26" s="133"/>
      <c r="K26" s="133"/>
      <c r="L26" s="133"/>
    </row>
    <row r="27" spans="1:12">
      <c r="A27" s="133"/>
      <c r="B27" s="133"/>
      <c r="C27" s="133"/>
      <c r="D27" s="133"/>
      <c r="E27" s="133"/>
      <c r="F27" s="133"/>
      <c r="G27" s="133"/>
      <c r="H27" s="284" t="s">
        <v>2401</v>
      </c>
      <c r="I27" s="136" t="s">
        <v>1439</v>
      </c>
      <c r="J27" s="133"/>
      <c r="K27" s="133"/>
      <c r="L27" s="133"/>
    </row>
    <row r="28" spans="1:12">
      <c r="A28" s="133"/>
      <c r="B28" s="133"/>
      <c r="C28" s="133"/>
      <c r="D28" s="133"/>
      <c r="E28" s="133"/>
      <c r="F28" s="133"/>
      <c r="G28" s="14" t="s">
        <v>770</v>
      </c>
      <c r="H28" s="136" t="s">
        <v>2414</v>
      </c>
      <c r="I28" s="136" t="s">
        <v>2415</v>
      </c>
      <c r="J28" s="133"/>
      <c r="K28" s="133"/>
      <c r="L28" s="133"/>
    </row>
    <row r="29" spans="1:12" ht="15">
      <c r="A29" s="28"/>
      <c r="B29" s="133"/>
      <c r="C29" s="133"/>
      <c r="D29" s="133"/>
      <c r="E29" s="133"/>
      <c r="F29" s="133"/>
      <c r="G29" s="13" t="s">
        <v>763</v>
      </c>
      <c r="H29" s="285" t="s">
        <v>2416</v>
      </c>
      <c r="I29" s="144" t="s">
        <v>2400</v>
      </c>
      <c r="J29" s="207"/>
      <c r="K29" s="133"/>
      <c r="L29" s="133"/>
    </row>
    <row r="30" spans="1:12">
      <c r="A30" s="64">
        <f>A18+1</f>
        <v>7</v>
      </c>
      <c r="B30" s="141"/>
      <c r="C30" s="141" t="s">
        <v>2417</v>
      </c>
      <c r="D30" s="141"/>
      <c r="E30" s="141"/>
      <c r="F30" s="141"/>
      <c r="G30" s="297" t="s">
        <v>2418</v>
      </c>
      <c r="H30" s="137">
        <v>31556000</v>
      </c>
      <c r="I30" s="135">
        <v>-2176300</v>
      </c>
      <c r="J30" s="133"/>
      <c r="K30" s="133"/>
      <c r="L30" s="133"/>
    </row>
    <row r="31" spans="1:12">
      <c r="A31" s="64">
        <f>A30+1</f>
        <v>8</v>
      </c>
      <c r="B31" s="141"/>
      <c r="C31" s="141" t="s">
        <v>2419</v>
      </c>
      <c r="D31" s="141"/>
      <c r="E31" s="141"/>
      <c r="F31" s="141"/>
      <c r="G31" s="297" t="s">
        <v>2418</v>
      </c>
      <c r="H31" s="135">
        <v>-35044000</v>
      </c>
      <c r="I31" s="135">
        <v>2503000</v>
      </c>
      <c r="J31" s="133"/>
      <c r="K31" s="133"/>
      <c r="L31" s="133"/>
    </row>
    <row r="32" spans="1:12">
      <c r="A32" s="64">
        <f>A31+1</f>
        <v>9</v>
      </c>
      <c r="B32" s="141"/>
      <c r="C32" s="141" t="s">
        <v>2420</v>
      </c>
      <c r="D32" s="141"/>
      <c r="E32" s="141"/>
      <c r="F32" s="141"/>
      <c r="G32" s="297" t="s">
        <v>2418</v>
      </c>
      <c r="H32" s="137">
        <v>-624650</v>
      </c>
      <c r="I32" s="137">
        <v>43100</v>
      </c>
      <c r="J32" s="133"/>
      <c r="K32" s="133"/>
      <c r="L32" s="133"/>
    </row>
    <row r="33" spans="1:12">
      <c r="A33" s="64">
        <f>A32+1</f>
        <v>10</v>
      </c>
      <c r="B33" s="141"/>
      <c r="C33" s="141" t="s">
        <v>2421</v>
      </c>
      <c r="D33" s="141"/>
      <c r="E33" s="141"/>
      <c r="F33" s="141"/>
      <c r="G33" s="297" t="s">
        <v>2418</v>
      </c>
      <c r="H33" s="206">
        <v>-7410000</v>
      </c>
      <c r="I33" s="286">
        <v>511200</v>
      </c>
      <c r="J33" s="133"/>
      <c r="K33" s="133"/>
      <c r="L33" s="133"/>
    </row>
    <row r="34" spans="1:12">
      <c r="A34" s="64">
        <f>A33+1</f>
        <v>11</v>
      </c>
      <c r="B34" s="141"/>
      <c r="C34" s="141"/>
      <c r="D34" s="141"/>
      <c r="E34" s="141"/>
      <c r="F34" s="10"/>
      <c r="G34" s="685" t="s">
        <v>406</v>
      </c>
      <c r="H34" s="137">
        <f>SUM(H30:H33)</f>
        <v>-11522650</v>
      </c>
      <c r="I34" s="137">
        <f>SUM(I30:I33)</f>
        <v>881000</v>
      </c>
      <c r="J34" s="133"/>
      <c r="K34" s="133"/>
      <c r="L34" s="133"/>
    </row>
    <row r="35" spans="1:12">
      <c r="A35" s="64"/>
      <c r="B35" s="141"/>
      <c r="C35" s="141"/>
      <c r="D35" s="141"/>
      <c r="E35" s="141"/>
      <c r="F35" s="10"/>
      <c r="G35" s="685"/>
      <c r="H35" s="135"/>
      <c r="I35" s="135"/>
      <c r="J35" s="133"/>
      <c r="K35" s="133"/>
      <c r="L35" s="133"/>
    </row>
    <row r="36" spans="1:12">
      <c r="A36" s="64"/>
      <c r="B36" s="725" t="s">
        <v>2422</v>
      </c>
      <c r="C36" s="141"/>
      <c r="D36" s="141"/>
      <c r="E36" s="141"/>
      <c r="F36" s="10"/>
      <c r="G36" s="685"/>
      <c r="H36" s="135"/>
      <c r="I36" s="135"/>
      <c r="J36" s="133"/>
      <c r="K36" s="133"/>
      <c r="L36" s="133"/>
    </row>
    <row r="37" spans="1:12">
      <c r="A37" s="64"/>
      <c r="B37" s="291" t="s">
        <v>2423</v>
      </c>
      <c r="C37" s="141"/>
      <c r="D37" s="141"/>
      <c r="E37" s="141"/>
      <c r="F37" s="10"/>
      <c r="G37" s="685"/>
      <c r="H37" s="135"/>
      <c r="I37" s="135"/>
      <c r="J37" s="133"/>
      <c r="K37" s="133"/>
      <c r="L37" s="133"/>
    </row>
    <row r="38" spans="1:12">
      <c r="A38" s="64"/>
      <c r="B38" s="291" t="s">
        <v>2424</v>
      </c>
      <c r="C38" s="141"/>
      <c r="D38" s="141"/>
      <c r="E38" s="141"/>
      <c r="F38" s="10"/>
      <c r="G38" s="685"/>
      <c r="H38" s="135"/>
      <c r="I38" s="135"/>
      <c r="J38" s="133"/>
      <c r="K38" s="133"/>
      <c r="L38" s="133"/>
    </row>
    <row r="39" spans="1:12">
      <c r="A39" s="279"/>
      <c r="B39" s="141"/>
      <c r="C39" s="141"/>
      <c r="D39" s="141"/>
      <c r="E39" s="141"/>
      <c r="F39" s="141"/>
      <c r="G39" s="252" t="s">
        <v>770</v>
      </c>
      <c r="H39" s="133"/>
      <c r="I39" s="133"/>
      <c r="J39" s="133"/>
      <c r="K39" s="133"/>
      <c r="L39" s="133"/>
    </row>
    <row r="40" spans="1:12">
      <c r="A40" s="279"/>
      <c r="B40" s="726"/>
      <c r="C40" s="672"/>
      <c r="D40" s="141"/>
      <c r="E40" s="141"/>
      <c r="F40" s="141"/>
      <c r="G40" s="15" t="s">
        <v>763</v>
      </c>
      <c r="H40" s="2" t="s">
        <v>100</v>
      </c>
      <c r="I40" s="288" t="s">
        <v>2425</v>
      </c>
      <c r="J40" s="133"/>
      <c r="K40" s="133"/>
      <c r="L40" s="133"/>
    </row>
    <row r="41" spans="1:12">
      <c r="A41" s="64">
        <f>A34+1</f>
        <v>12</v>
      </c>
      <c r="B41" s="291" t="s">
        <v>2426</v>
      </c>
      <c r="C41" s="141"/>
      <c r="D41" s="141"/>
      <c r="E41" s="141"/>
      <c r="F41" s="141"/>
      <c r="G41" s="291" t="str">
        <f>"2-IFPTRR Line "&amp;'2-IFPTRR'!A25&amp;""</f>
        <v>2-IFPTRR Line 16</v>
      </c>
      <c r="H41" s="205">
        <f>'2-IFPTRR'!D25</f>
        <v>0.14334882159948531</v>
      </c>
      <c r="I41" s="149">
        <v>1</v>
      </c>
      <c r="J41" s="133"/>
      <c r="K41" s="133"/>
      <c r="L41" s="133"/>
    </row>
    <row r="42" spans="1:12">
      <c r="A42" s="64">
        <f>A41+1</f>
        <v>13</v>
      </c>
      <c r="B42" s="291" t="s">
        <v>1024</v>
      </c>
      <c r="C42" s="141"/>
      <c r="D42" s="141"/>
      <c r="E42" s="141"/>
      <c r="F42" s="141"/>
      <c r="G42" s="291"/>
      <c r="H42" s="289">
        <v>2018</v>
      </c>
      <c r="I42" s="149">
        <v>2</v>
      </c>
      <c r="J42" s="133"/>
      <c r="K42" s="133"/>
      <c r="L42" s="133"/>
    </row>
    <row r="43" spans="1:12">
      <c r="A43" s="64">
        <f>A42+1</f>
        <v>14</v>
      </c>
      <c r="B43" s="291" t="s">
        <v>2427</v>
      </c>
      <c r="C43" s="141"/>
      <c r="D43" s="141"/>
      <c r="E43" s="141"/>
      <c r="F43" s="141"/>
      <c r="G43" s="137"/>
      <c r="H43" s="135">
        <f>H34+ (I34*(H42-2010))</f>
        <v>-4474650</v>
      </c>
      <c r="I43" s="281">
        <v>3</v>
      </c>
      <c r="J43" s="133"/>
      <c r="K43" s="133"/>
      <c r="L43" s="133"/>
    </row>
    <row r="44" spans="1:12">
      <c r="A44" s="64">
        <f>A43+1</f>
        <v>15</v>
      </c>
      <c r="B44" s="291" t="s">
        <v>2428</v>
      </c>
      <c r="C44" s="672"/>
      <c r="D44" s="141"/>
      <c r="E44" s="141"/>
      <c r="F44" s="141"/>
      <c r="G44" s="297" t="str">
        <f>"Line "&amp;A43&amp;" * Line "&amp;A41&amp;""</f>
        <v>Line 14 * Line 12</v>
      </c>
      <c r="H44" s="137">
        <f xml:space="preserve"> H43*H41</f>
        <v>-641435.80457013694</v>
      </c>
      <c r="I44" s="133"/>
      <c r="J44" s="133"/>
      <c r="K44" s="133"/>
      <c r="L44" s="133"/>
    </row>
    <row r="45" spans="1:12">
      <c r="A45" s="10"/>
      <c r="B45" s="10"/>
      <c r="C45" s="10"/>
      <c r="D45" s="10"/>
      <c r="E45" s="10"/>
      <c r="F45" s="10"/>
      <c r="G45" s="10"/>
      <c r="H45" s="768"/>
      <c r="I45" s="768"/>
      <c r="J45" s="768"/>
      <c r="K45" s="768"/>
      <c r="L45" s="133"/>
    </row>
    <row r="46" spans="1:12">
      <c r="A46" s="768"/>
      <c r="B46" s="227" t="s">
        <v>2429</v>
      </c>
      <c r="C46" s="768"/>
      <c r="D46" s="768"/>
      <c r="E46" s="768"/>
      <c r="F46" s="768"/>
      <c r="G46" s="768"/>
      <c r="H46" s="768"/>
      <c r="I46" s="768"/>
      <c r="J46" s="768"/>
      <c r="K46" s="768"/>
      <c r="L46" s="133"/>
    </row>
    <row r="47" spans="1:12">
      <c r="A47" s="768"/>
      <c r="B47" s="768"/>
      <c r="C47" s="768"/>
      <c r="D47" s="768"/>
      <c r="E47" s="768"/>
      <c r="F47" s="768"/>
      <c r="G47" s="768"/>
      <c r="H47" s="768"/>
      <c r="I47" s="768"/>
      <c r="J47" s="768"/>
      <c r="K47" s="768"/>
      <c r="L47" s="133"/>
    </row>
    <row r="48" spans="1:12">
      <c r="A48" s="768"/>
      <c r="B48" s="133" t="str">
        <f>"The annual Wholesale Expense Difference impact is the negative of amounts stated in Lines "&amp;A30&amp;" to "&amp;A33&amp;" above, Column 2."</f>
        <v>The annual Wholesale Expense Difference impact is the negative of amounts stated in Lines 7 to 10 above, Column 2.</v>
      </c>
      <c r="C48" s="768"/>
      <c r="D48" s="768"/>
      <c r="E48" s="768"/>
      <c r="F48" s="768"/>
      <c r="G48" s="768"/>
      <c r="H48" s="768"/>
      <c r="I48" s="768"/>
      <c r="J48" s="768"/>
      <c r="K48" s="768"/>
      <c r="L48" s="133"/>
    </row>
    <row r="49" spans="1:12">
      <c r="A49" s="768"/>
      <c r="B49" s="133" t="s">
        <v>2430</v>
      </c>
      <c r="C49" s="768"/>
      <c r="D49" s="768"/>
      <c r="E49" s="768"/>
      <c r="F49" s="768"/>
      <c r="G49" s="768"/>
      <c r="H49" s="768"/>
      <c r="I49" s="768"/>
      <c r="J49" s="768"/>
      <c r="K49" s="768"/>
      <c r="L49" s="133"/>
    </row>
    <row r="50" spans="1:12">
      <c r="A50" s="133"/>
      <c r="B50" s="133" t="s">
        <v>2431</v>
      </c>
      <c r="C50" s="133"/>
      <c r="D50" s="133"/>
      <c r="E50" s="133"/>
      <c r="F50" s="133"/>
      <c r="G50" s="133"/>
      <c r="H50" s="133"/>
      <c r="I50" s="133"/>
      <c r="J50" s="133"/>
      <c r="K50" s="133"/>
      <c r="L50" s="133"/>
    </row>
    <row r="52" spans="1:12">
      <c r="A52" s="133"/>
      <c r="B52" s="41" t="s">
        <v>2432</v>
      </c>
      <c r="C52" s="133"/>
      <c r="D52" s="133"/>
      <c r="E52" s="133"/>
      <c r="F52" s="133"/>
      <c r="G52" s="133"/>
      <c r="H52" s="133"/>
      <c r="I52" s="133"/>
      <c r="J52" s="133"/>
      <c r="K52" s="133"/>
      <c r="L52" s="133"/>
    </row>
    <row r="53" spans="1:12">
      <c r="A53" s="133"/>
      <c r="B53" s="133"/>
      <c r="C53" s="133"/>
      <c r="D53" s="133"/>
      <c r="E53" s="133"/>
      <c r="F53" s="133"/>
      <c r="G53" s="14"/>
      <c r="H53" s="133"/>
      <c r="I53" s="133"/>
      <c r="J53" s="133"/>
      <c r="K53" s="133"/>
      <c r="L53" s="133"/>
    </row>
    <row r="54" spans="1:12">
      <c r="A54" s="768"/>
      <c r="B54" s="133"/>
      <c r="C54" s="133"/>
      <c r="D54" s="133"/>
      <c r="E54" s="133"/>
      <c r="F54" s="133"/>
      <c r="G54" s="13" t="s">
        <v>763</v>
      </c>
      <c r="H54" s="2" t="s">
        <v>100</v>
      </c>
      <c r="I54" s="133"/>
      <c r="J54" s="207"/>
      <c r="K54" s="133"/>
      <c r="L54" s="133"/>
    </row>
    <row r="55" spans="1:12">
      <c r="A55" s="64">
        <f>A44+1</f>
        <v>16</v>
      </c>
      <c r="B55" s="291" t="s">
        <v>2433</v>
      </c>
      <c r="C55" s="141"/>
      <c r="D55" s="141"/>
      <c r="E55" s="141"/>
      <c r="F55" s="141"/>
      <c r="G55" s="297" t="str">
        <f>"Line "&amp;A31&amp;""</f>
        <v>Line 8</v>
      </c>
      <c r="H55" s="135">
        <f>I31</f>
        <v>2503000</v>
      </c>
      <c r="I55" s="133"/>
      <c r="J55" s="133"/>
      <c r="K55" s="133"/>
      <c r="L55" s="133"/>
    </row>
    <row r="56" spans="1:12">
      <c r="A56" s="64">
        <f>A55+1</f>
        <v>17</v>
      </c>
      <c r="B56" s="297" t="s">
        <v>2434</v>
      </c>
      <c r="C56" s="141"/>
      <c r="D56" s="141"/>
      <c r="E56" s="141"/>
      <c r="F56" s="141"/>
      <c r="G56" s="291" t="str">
        <f>"1-BaseTRR L "&amp;'1-BaseTRR'!A102&amp;""</f>
        <v>1-BaseTRR L 59</v>
      </c>
      <c r="H56" s="225">
        <f>'1-BaseTRR'!K102</f>
        <v>0.27983599999999997</v>
      </c>
      <c r="I56" s="133"/>
      <c r="J56" s="133"/>
      <c r="K56" s="133"/>
      <c r="L56" s="133"/>
    </row>
    <row r="57" spans="1:12">
      <c r="A57" s="64">
        <f>A56+1</f>
        <v>18</v>
      </c>
      <c r="B57" s="297" t="s">
        <v>2435</v>
      </c>
      <c r="C57" s="141"/>
      <c r="D57" s="141"/>
      <c r="E57" s="141"/>
      <c r="F57" s="141"/>
      <c r="G57" s="676" t="s">
        <v>2436</v>
      </c>
      <c r="H57" s="290">
        <f>1/(1-H56)</f>
        <v>1.3885726029071155</v>
      </c>
      <c r="I57" s="133"/>
      <c r="J57" s="133"/>
      <c r="K57" s="133"/>
      <c r="L57" s="133"/>
    </row>
    <row r="58" spans="1:12">
      <c r="A58" s="64">
        <f>A57+1</f>
        <v>19</v>
      </c>
      <c r="B58" s="297" t="s">
        <v>2437</v>
      </c>
      <c r="C58" s="141"/>
      <c r="D58" s="141"/>
      <c r="E58" s="141"/>
      <c r="F58" s="141"/>
      <c r="G58" s="141"/>
      <c r="H58" s="133"/>
      <c r="I58" s="133"/>
      <c r="J58" s="133"/>
      <c r="K58" s="133"/>
      <c r="L58" s="133"/>
    </row>
    <row r="59" spans="1:12">
      <c r="A59" s="64">
        <f>A58+1</f>
        <v>20</v>
      </c>
      <c r="B59" s="297" t="s">
        <v>2438</v>
      </c>
      <c r="C59" s="141"/>
      <c r="D59" s="141"/>
      <c r="E59" s="141"/>
      <c r="F59" s="141"/>
      <c r="G59" s="297" t="str">
        <f>"- Line "&amp;A55&amp;" * Line "&amp;A57&amp;""</f>
        <v>- Line 16 * Line 18</v>
      </c>
      <c r="H59" s="135">
        <f>-H57*H55</f>
        <v>-3475597.2250765101</v>
      </c>
      <c r="I59" s="133"/>
      <c r="J59" s="133"/>
      <c r="K59" s="133"/>
      <c r="L59" s="133"/>
    </row>
    <row r="60" spans="1:12">
      <c r="A60" s="10"/>
      <c r="B60" s="10"/>
      <c r="C60" s="10"/>
      <c r="D60" s="10"/>
      <c r="E60" s="10"/>
      <c r="F60" s="10"/>
      <c r="G60" s="10"/>
      <c r="H60" s="768"/>
      <c r="I60" s="768"/>
      <c r="J60" s="768"/>
      <c r="K60" s="768"/>
      <c r="L60" s="768"/>
    </row>
    <row r="61" spans="1:12">
      <c r="A61" s="10"/>
      <c r="B61" s="727" t="s">
        <v>2439</v>
      </c>
      <c r="C61" s="10"/>
      <c r="D61" s="10"/>
      <c r="E61" s="10"/>
      <c r="F61" s="10"/>
      <c r="G61" s="10"/>
      <c r="H61" s="768"/>
      <c r="I61" s="768"/>
      <c r="J61" s="768"/>
      <c r="K61" s="768"/>
      <c r="L61" s="768"/>
    </row>
    <row r="62" spans="1:12">
      <c r="A62" s="10"/>
      <c r="B62" s="10"/>
      <c r="C62" s="10"/>
      <c r="D62" s="10"/>
      <c r="E62" s="10"/>
      <c r="F62" s="10"/>
      <c r="G62" s="10"/>
      <c r="H62" s="768"/>
      <c r="I62" s="768"/>
      <c r="J62" s="768"/>
      <c r="K62" s="768"/>
      <c r="L62" s="768"/>
    </row>
    <row r="63" spans="1:12">
      <c r="A63" s="10"/>
      <c r="B63" s="10"/>
      <c r="C63" s="10"/>
      <c r="D63" s="10"/>
      <c r="E63" s="10"/>
      <c r="F63" s="10"/>
      <c r="G63" s="15" t="s">
        <v>763</v>
      </c>
      <c r="H63" s="2" t="s">
        <v>100</v>
      </c>
      <c r="I63" s="768"/>
      <c r="J63" s="768"/>
      <c r="K63" s="768"/>
      <c r="L63" s="768"/>
    </row>
    <row r="64" spans="1:12">
      <c r="A64" s="64">
        <f>A59+1</f>
        <v>21</v>
      </c>
      <c r="B64" s="291" t="s">
        <v>2440</v>
      </c>
      <c r="C64" s="10"/>
      <c r="D64" s="10"/>
      <c r="E64" s="10"/>
      <c r="F64" s="10"/>
      <c r="G64" s="297" t="str">
        <f>"Line "&amp;A32&amp;""</f>
        <v>Line 9</v>
      </c>
      <c r="H64" s="5">
        <f>I32</f>
        <v>43100</v>
      </c>
      <c r="I64" s="768"/>
      <c r="J64" s="768"/>
      <c r="K64" s="768"/>
      <c r="L64" s="768"/>
    </row>
    <row r="65" spans="1:12">
      <c r="A65" s="64">
        <f>A64+1</f>
        <v>22</v>
      </c>
      <c r="B65" s="297" t="s">
        <v>2435</v>
      </c>
      <c r="C65" s="141"/>
      <c r="D65" s="141"/>
      <c r="E65" s="141"/>
      <c r="F65" s="141"/>
      <c r="G65" s="297" t="str">
        <f>"Line "&amp;A57&amp;""</f>
        <v>Line 18</v>
      </c>
      <c r="H65" s="290">
        <f>H57</f>
        <v>1.3885726029071155</v>
      </c>
      <c r="I65" s="768"/>
      <c r="J65" s="768"/>
      <c r="K65" s="768"/>
      <c r="L65" s="768"/>
    </row>
    <row r="66" spans="1:12">
      <c r="A66" s="64">
        <f>A65+1</f>
        <v>23</v>
      </c>
      <c r="B66" s="291" t="s">
        <v>2441</v>
      </c>
      <c r="C66" s="10"/>
      <c r="D66" s="10"/>
      <c r="E66" s="10"/>
      <c r="F66" s="10"/>
      <c r="G66" s="297" t="str">
        <f>"- Line "&amp;A64&amp;" * Line "&amp;A65&amp;""</f>
        <v>- Line 21 * Line 22</v>
      </c>
      <c r="H66" s="5">
        <f>-H64*H65</f>
        <v>-59847.479185296681</v>
      </c>
      <c r="I66" s="768"/>
      <c r="J66" s="768"/>
      <c r="K66" s="768"/>
      <c r="L66" s="768"/>
    </row>
    <row r="67" spans="1:12">
      <c r="A67" s="64">
        <f t="shared" ref="A67:A74" si="0">A66+1</f>
        <v>24</v>
      </c>
      <c r="B67" s="291"/>
      <c r="C67" s="10"/>
      <c r="D67" s="10"/>
      <c r="E67" s="10"/>
      <c r="F67" s="10"/>
      <c r="G67" s="297"/>
      <c r="H67" s="5"/>
      <c r="I67" s="768"/>
      <c r="J67" s="768"/>
      <c r="K67" s="768"/>
      <c r="L67" s="768"/>
    </row>
    <row r="68" spans="1:12">
      <c r="A68" s="64">
        <f t="shared" si="0"/>
        <v>25</v>
      </c>
      <c r="B68" s="727" t="s">
        <v>2442</v>
      </c>
      <c r="C68" s="10"/>
      <c r="D68" s="10"/>
      <c r="E68" s="10"/>
      <c r="F68" s="10"/>
      <c r="G68" s="297"/>
      <c r="H68" s="5"/>
      <c r="I68" s="768"/>
      <c r="J68" s="768"/>
      <c r="K68" s="768"/>
      <c r="L68" s="768"/>
    </row>
    <row r="69" spans="1:12">
      <c r="A69" s="64">
        <f t="shared" si="0"/>
        <v>26</v>
      </c>
      <c r="B69" s="291"/>
      <c r="C69" s="10"/>
      <c r="D69" s="10"/>
      <c r="E69" s="10"/>
      <c r="F69" s="10"/>
      <c r="G69" s="15" t="s">
        <v>763</v>
      </c>
      <c r="H69" s="5"/>
      <c r="I69" s="369" t="s">
        <v>2425</v>
      </c>
      <c r="J69" s="768"/>
      <c r="K69" s="768"/>
      <c r="L69" s="768"/>
    </row>
    <row r="70" spans="1:12">
      <c r="A70" s="64">
        <f t="shared" si="0"/>
        <v>27</v>
      </c>
      <c r="B70" s="291" t="s">
        <v>2443</v>
      </c>
      <c r="C70" s="10"/>
      <c r="D70" s="10"/>
      <c r="E70" s="10"/>
      <c r="F70" s="10"/>
      <c r="G70" s="297" t="s">
        <v>199</v>
      </c>
      <c r="H70" s="787">
        <v>60000</v>
      </c>
      <c r="I70" s="297" t="s">
        <v>2388</v>
      </c>
      <c r="J70" s="768"/>
      <c r="K70" s="768"/>
      <c r="L70" s="768"/>
    </row>
    <row r="71" spans="1:12">
      <c r="A71" s="64">
        <f t="shared" si="0"/>
        <v>28</v>
      </c>
      <c r="B71" s="291" t="s">
        <v>2444</v>
      </c>
      <c r="C71" s="10"/>
      <c r="D71" s="10"/>
      <c r="E71" s="10"/>
      <c r="F71" s="10"/>
      <c r="G71" s="297" t="s">
        <v>199</v>
      </c>
      <c r="H71" s="787">
        <v>1560365</v>
      </c>
      <c r="I71" s="11" t="s">
        <v>2388</v>
      </c>
      <c r="J71" s="768"/>
      <c r="K71" s="768"/>
      <c r="L71" s="768"/>
    </row>
    <row r="72" spans="1:12">
      <c r="A72" s="64">
        <f t="shared" si="0"/>
        <v>29</v>
      </c>
      <c r="B72" s="291" t="s">
        <v>2445</v>
      </c>
      <c r="C72" s="10"/>
      <c r="D72" s="10"/>
      <c r="E72" s="10"/>
      <c r="F72" s="10"/>
      <c r="G72" s="676" t="str">
        <f>"Line "&amp;A70&amp;" + "&amp;A71&amp;""</f>
        <v>Line 27 + 28</v>
      </c>
      <c r="H72" s="728">
        <f>SUM(H70:H71)</f>
        <v>1620365</v>
      </c>
      <c r="I72" s="768"/>
      <c r="J72" s="768"/>
      <c r="K72" s="768"/>
      <c r="L72" s="768"/>
    </row>
    <row r="73" spans="1:12">
      <c r="A73" s="64">
        <f t="shared" si="0"/>
        <v>30</v>
      </c>
      <c r="B73" s="291" t="s">
        <v>148</v>
      </c>
      <c r="C73" s="10"/>
      <c r="D73" s="10"/>
      <c r="E73" s="10"/>
      <c r="F73" s="10"/>
      <c r="G73" s="291" t="str">
        <f>"27-Allocators, Line "&amp;'27-Allocators'!A14&amp;""</f>
        <v>27-Allocators, Line 9</v>
      </c>
      <c r="H73" s="27">
        <f>'27-Allocators'!G14</f>
        <v>5.9033379723389116E-2</v>
      </c>
      <c r="I73" s="768"/>
      <c r="J73" s="768"/>
      <c r="K73" s="768"/>
      <c r="L73" s="768"/>
    </row>
    <row r="74" spans="1:12">
      <c r="A74" s="64">
        <f t="shared" si="0"/>
        <v>31</v>
      </c>
      <c r="B74" s="291" t="s">
        <v>2446</v>
      </c>
      <c r="C74" s="10"/>
      <c r="D74" s="10"/>
      <c r="E74" s="10"/>
      <c r="F74" s="10"/>
      <c r="G74" s="676" t="str">
        <f>"Line "&amp;A72&amp;" * "&amp;A73&amp;""</f>
        <v>Line 29 * 30</v>
      </c>
      <c r="H74" s="37">
        <f>H72*H73</f>
        <v>95655.622335489403</v>
      </c>
      <c r="I74" s="768"/>
      <c r="J74" s="768"/>
      <c r="K74" s="768"/>
      <c r="L74" s="768"/>
    </row>
    <row r="75" spans="1:12">
      <c r="A75" s="768"/>
      <c r="B75" s="768"/>
      <c r="C75" s="768"/>
      <c r="D75" s="768"/>
      <c r="E75" s="768"/>
      <c r="F75" s="768"/>
      <c r="G75" s="10"/>
      <c r="H75" s="768"/>
      <c r="I75" s="768"/>
      <c r="J75" s="768"/>
      <c r="K75" s="768"/>
      <c r="L75" s="768"/>
    </row>
    <row r="76" spans="1:12">
      <c r="A76" s="141"/>
      <c r="B76" s="725" t="s">
        <v>2447</v>
      </c>
      <c r="C76" s="141"/>
      <c r="D76" s="141"/>
      <c r="E76" s="141"/>
      <c r="F76" s="141"/>
      <c r="G76" s="141"/>
      <c r="H76" s="141"/>
      <c r="I76" s="288" t="s">
        <v>2425</v>
      </c>
      <c r="J76" s="133"/>
      <c r="K76" s="133"/>
      <c r="L76" s="133"/>
    </row>
    <row r="77" spans="1:12">
      <c r="A77" s="64">
        <f>A74+1</f>
        <v>32</v>
      </c>
      <c r="B77" s="282" t="s">
        <v>2448</v>
      </c>
      <c r="C77" s="141"/>
      <c r="D77" s="141"/>
      <c r="E77" s="141"/>
      <c r="F77" s="141"/>
      <c r="G77" s="291" t="str">
        <f>" - Line "&amp;A30&amp;", Col. 2"</f>
        <v xml:space="preserve"> - Line 7, Col. 2</v>
      </c>
      <c r="H77" s="137">
        <f>-I30</f>
        <v>2176300</v>
      </c>
      <c r="I77" s="133"/>
      <c r="J77" s="133"/>
      <c r="K77" s="133"/>
      <c r="L77" s="133"/>
    </row>
    <row r="78" spans="1:12">
      <c r="A78" s="64">
        <f>A77+1</f>
        <v>33</v>
      </c>
      <c r="B78" s="282" t="s">
        <v>2419</v>
      </c>
      <c r="C78" s="141"/>
      <c r="D78" s="141"/>
      <c r="E78" s="141"/>
      <c r="F78" s="141"/>
      <c r="G78" s="291" t="str">
        <f>"Line "&amp;A59&amp;""</f>
        <v>Line 20</v>
      </c>
      <c r="H78" s="137">
        <f>H59</f>
        <v>-3475597.2250765101</v>
      </c>
      <c r="I78" s="133"/>
      <c r="J78" s="133"/>
      <c r="K78" s="133"/>
      <c r="L78" s="133"/>
    </row>
    <row r="79" spans="1:12">
      <c r="A79" s="64">
        <f>A78+1</f>
        <v>34</v>
      </c>
      <c r="B79" s="282" t="s">
        <v>2420</v>
      </c>
      <c r="C79" s="141"/>
      <c r="D79" s="141"/>
      <c r="E79" s="141"/>
      <c r="F79" s="141"/>
      <c r="G79" s="291" t="str">
        <f>"Line "&amp;A66&amp;""</f>
        <v>Line 23</v>
      </c>
      <c r="H79" s="137">
        <f>H66</f>
        <v>-59847.479185296681</v>
      </c>
      <c r="I79" s="133"/>
      <c r="J79" s="133"/>
      <c r="K79" s="133"/>
      <c r="L79" s="133"/>
    </row>
    <row r="80" spans="1:12">
      <c r="A80" s="64">
        <f>A79+1</f>
        <v>35</v>
      </c>
      <c r="B80" s="282" t="s">
        <v>2421</v>
      </c>
      <c r="C80" s="141"/>
      <c r="D80" s="141"/>
      <c r="E80" s="141"/>
      <c r="F80" s="141"/>
      <c r="G80" s="291" t="str">
        <f>"- Line "&amp;A33&amp;", Col. 2"</f>
        <v>- Line 10, Col. 2</v>
      </c>
      <c r="H80" s="137">
        <f>-I33</f>
        <v>-511200</v>
      </c>
      <c r="I80" s="133"/>
      <c r="J80" s="133"/>
      <c r="K80" s="133"/>
      <c r="L80" s="133"/>
    </row>
    <row r="81" spans="1:12">
      <c r="A81" s="64">
        <f t="shared" ref="A81:A83" si="1">A80+1</f>
        <v>36</v>
      </c>
      <c r="B81" s="282" t="s">
        <v>2449</v>
      </c>
      <c r="C81" s="141"/>
      <c r="D81" s="141"/>
      <c r="E81" s="141"/>
      <c r="F81" s="141"/>
      <c r="G81" s="676" t="str">
        <f>" - Line "&amp;A74&amp;""</f>
        <v xml:space="preserve"> - Line 31</v>
      </c>
      <c r="H81" s="137">
        <f>-H74</f>
        <v>-95655.622335489403</v>
      </c>
      <c r="I81" s="133"/>
      <c r="J81" s="133"/>
      <c r="K81" s="133"/>
      <c r="L81" s="133"/>
    </row>
    <row r="82" spans="1:12" s="768" customFormat="1">
      <c r="A82" s="64">
        <f t="shared" si="1"/>
        <v>37</v>
      </c>
      <c r="B82" s="672" t="s">
        <v>2450</v>
      </c>
      <c r="C82" s="141"/>
      <c r="D82" s="141"/>
      <c r="E82" s="141"/>
      <c r="F82" s="141"/>
      <c r="G82" s="676"/>
      <c r="H82" s="803">
        <v>21039</v>
      </c>
      <c r="I82" s="147" t="s">
        <v>1628</v>
      </c>
      <c r="J82" s="133"/>
      <c r="K82" s="133"/>
      <c r="L82" s="133"/>
    </row>
    <row r="83" spans="1:12">
      <c r="A83" s="64">
        <f t="shared" si="1"/>
        <v>38</v>
      </c>
      <c r="B83" s="141"/>
      <c r="C83" s="141"/>
      <c r="D83" s="141"/>
      <c r="E83" s="141"/>
      <c r="F83" s="141"/>
      <c r="G83" s="685" t="s">
        <v>2451</v>
      </c>
      <c r="H83" s="137">
        <f>SUM(H77:H82)</f>
        <v>-1944961.3265972962</v>
      </c>
      <c r="I83" s="133"/>
      <c r="J83" s="133"/>
      <c r="K83" s="133"/>
      <c r="L83" s="133"/>
    </row>
    <row r="84" spans="1:12">
      <c r="A84" s="141"/>
      <c r="B84" s="141"/>
      <c r="C84" s="141"/>
      <c r="D84" s="141"/>
      <c r="E84" s="141"/>
      <c r="F84" s="141"/>
      <c r="G84" s="141"/>
      <c r="H84" s="141"/>
      <c r="I84" s="133"/>
      <c r="J84" s="133"/>
      <c r="K84" s="133"/>
      <c r="L84" s="133"/>
    </row>
    <row r="85" spans="1:12">
      <c r="A85" s="141"/>
      <c r="B85" s="729" t="s">
        <v>2452</v>
      </c>
      <c r="C85" s="141"/>
      <c r="D85" s="141"/>
      <c r="E85" s="141"/>
      <c r="F85" s="141"/>
      <c r="G85" s="141"/>
      <c r="H85" s="141"/>
      <c r="I85" s="133"/>
      <c r="J85" s="133"/>
      <c r="K85" s="133"/>
      <c r="L85" s="133"/>
    </row>
    <row r="86" spans="1:12">
      <c r="A86" s="141"/>
      <c r="B86" s="10"/>
      <c r="C86" s="141"/>
      <c r="D86" s="141"/>
      <c r="E86" s="141"/>
      <c r="F86" s="141"/>
      <c r="G86" s="15" t="s">
        <v>763</v>
      </c>
      <c r="H86" s="74" t="s">
        <v>100</v>
      </c>
      <c r="I86" s="133"/>
      <c r="J86" s="133"/>
      <c r="K86" s="133"/>
      <c r="L86" s="133"/>
    </row>
    <row r="87" spans="1:12">
      <c r="A87" s="64">
        <f>A83+1</f>
        <v>39</v>
      </c>
      <c r="B87" s="675" t="s">
        <v>2428</v>
      </c>
      <c r="C87" s="141"/>
      <c r="D87" s="141"/>
      <c r="E87" s="141"/>
      <c r="F87" s="141"/>
      <c r="G87" s="291" t="str">
        <f>"Line "&amp;A44&amp;""</f>
        <v>Line 15</v>
      </c>
      <c r="H87" s="137">
        <f>H44</f>
        <v>-641435.80457013694</v>
      </c>
      <c r="I87" s="133"/>
      <c r="J87" s="133"/>
      <c r="K87" s="133"/>
      <c r="L87" s="133"/>
    </row>
    <row r="88" spans="1:12">
      <c r="A88" s="64">
        <f>A87+1</f>
        <v>40</v>
      </c>
      <c r="B88" s="141" t="s">
        <v>2453</v>
      </c>
      <c r="C88" s="141"/>
      <c r="D88" s="141"/>
      <c r="E88" s="141"/>
      <c r="F88" s="141"/>
      <c r="G88" s="291" t="str">
        <f>"Line "&amp;A83&amp;""</f>
        <v>Line 38</v>
      </c>
      <c r="H88" s="137">
        <f>H83</f>
        <v>-1944961.3265972962</v>
      </c>
      <c r="I88" s="133"/>
      <c r="J88" s="133"/>
      <c r="K88" s="133"/>
      <c r="L88" s="133"/>
    </row>
    <row r="89" spans="1:12">
      <c r="A89" s="64">
        <f>A88+1</f>
        <v>41</v>
      </c>
      <c r="B89" s="300" t="s">
        <v>2454</v>
      </c>
      <c r="C89" s="141"/>
      <c r="D89" s="141"/>
      <c r="E89" s="141"/>
      <c r="F89" s="141"/>
      <c r="G89" s="291" t="str">
        <f>"- 1-Base TRR, L "&amp;'1-BaseTRR'!A139&amp;""</f>
        <v>- 1-Base TRR, L 80</v>
      </c>
      <c r="H89" s="137">
        <f>-'1-BaseTRR'!K139</f>
        <v>-2997516.855059477</v>
      </c>
      <c r="I89" s="133"/>
      <c r="J89" s="133"/>
      <c r="K89" s="133"/>
      <c r="L89" s="133"/>
    </row>
    <row r="90" spans="1:12">
      <c r="A90" s="64">
        <f t="shared" ref="A90:A93" si="2">A89+1</f>
        <v>42</v>
      </c>
      <c r="B90" s="300" t="s">
        <v>2455</v>
      </c>
      <c r="C90" s="141"/>
      <c r="D90" s="141"/>
      <c r="E90" s="141"/>
      <c r="F90" s="141"/>
      <c r="G90" s="291" t="str">
        <f>"- 2-IFPTRR, L "&amp;'2-IFPTRR'!A89&amp;""</f>
        <v>- 2-IFPTRR, L 80</v>
      </c>
      <c r="H90" s="286">
        <f>-'2-IFPTRR'!D89</f>
        <v>-352533.43464234378</v>
      </c>
      <c r="I90" s="133"/>
      <c r="J90" s="133"/>
      <c r="K90" s="133"/>
      <c r="L90" s="133"/>
    </row>
    <row r="91" spans="1:12">
      <c r="A91" s="64">
        <f t="shared" si="2"/>
        <v>43</v>
      </c>
      <c r="B91" s="300" t="s">
        <v>2456</v>
      </c>
      <c r="C91" s="141"/>
      <c r="D91" s="141"/>
      <c r="E91" s="141"/>
      <c r="F91" s="141"/>
      <c r="G91" s="297" t="str">
        <f>"Sum Line "&amp;A87&amp;" to Line "&amp;A90&amp;""</f>
        <v>Sum Line 39 to Line 42</v>
      </c>
      <c r="H91" s="137">
        <f>SUM(H87:H90)</f>
        <v>-5936447.4208692545</v>
      </c>
      <c r="I91" s="141"/>
      <c r="J91" s="133"/>
      <c r="K91" s="133"/>
      <c r="L91" s="133"/>
    </row>
    <row r="92" spans="1:12">
      <c r="A92" s="64">
        <f t="shared" si="2"/>
        <v>44</v>
      </c>
      <c r="B92" s="300" t="s">
        <v>2457</v>
      </c>
      <c r="C92" s="141"/>
      <c r="D92" s="141"/>
      <c r="E92" s="141"/>
      <c r="F92" s="141"/>
      <c r="G92" s="10"/>
      <c r="H92" s="286">
        <f>'28-FFU'!D22*SUM(H87+H88)</f>
        <v>-23908.655080511755</v>
      </c>
      <c r="I92" s="291" t="s">
        <v>220</v>
      </c>
      <c r="J92" s="133"/>
      <c r="K92" s="133"/>
      <c r="L92" s="133"/>
    </row>
    <row r="93" spans="1:12">
      <c r="A93" s="64">
        <f t="shared" si="2"/>
        <v>45</v>
      </c>
      <c r="B93" s="10" t="s">
        <v>2458</v>
      </c>
      <c r="C93" s="141"/>
      <c r="D93" s="141"/>
      <c r="E93" s="141"/>
      <c r="F93" s="141"/>
      <c r="G93" s="297" t="str">
        <f>"Line "&amp;A91&amp;" + Line "&amp;A92&amp;""</f>
        <v>Line 43 + Line 44</v>
      </c>
      <c r="H93" s="137">
        <f>H91+H92</f>
        <v>-5960356.0759497667</v>
      </c>
      <c r="I93" s="141"/>
      <c r="J93" s="133"/>
      <c r="K93" s="133"/>
      <c r="L93" s="133"/>
    </row>
    <row r="94" spans="1:12">
      <c r="A94" s="141"/>
      <c r="B94" s="10"/>
      <c r="C94" s="141"/>
      <c r="D94" s="141"/>
      <c r="E94" s="141"/>
      <c r="F94" s="141"/>
      <c r="G94" s="141"/>
      <c r="H94" s="141"/>
      <c r="I94" s="133"/>
      <c r="J94" s="133"/>
      <c r="K94" s="133"/>
      <c r="L94" s="133"/>
    </row>
    <row r="95" spans="1:12">
      <c r="A95" s="141"/>
      <c r="B95" s="691" t="s">
        <v>2459</v>
      </c>
      <c r="C95" s="141"/>
      <c r="D95" s="141"/>
      <c r="E95" s="141"/>
      <c r="F95" s="141"/>
      <c r="G95" s="141"/>
      <c r="H95" s="141"/>
      <c r="I95" s="133"/>
      <c r="J95" s="133"/>
      <c r="K95" s="133"/>
      <c r="L95" s="133"/>
    </row>
    <row r="96" spans="1:12">
      <c r="A96" s="141"/>
      <c r="B96" s="141" t="s">
        <v>2460</v>
      </c>
      <c r="C96" s="141"/>
      <c r="D96" s="141"/>
      <c r="E96" s="141"/>
      <c r="F96" s="141"/>
      <c r="G96" s="141"/>
      <c r="H96" s="141"/>
      <c r="I96" s="141"/>
      <c r="J96" s="133"/>
      <c r="K96" s="133"/>
      <c r="L96" s="133"/>
    </row>
    <row r="97" spans="1:12">
      <c r="A97" s="141"/>
      <c r="B97" s="141" t="s">
        <v>2461</v>
      </c>
      <c r="C97" s="141"/>
      <c r="D97" s="141"/>
      <c r="E97" s="141"/>
      <c r="F97" s="141"/>
      <c r="G97" s="141"/>
      <c r="H97" s="141"/>
      <c r="I97" s="141"/>
      <c r="J97" s="133"/>
      <c r="K97" s="133"/>
      <c r="L97" s="133"/>
    </row>
    <row r="98" spans="1:12">
      <c r="A98" s="141"/>
      <c r="B98" s="141" t="str">
        <f>"2) Input Prior Year for this Informational Filing in Line "&amp;A42&amp;"."</f>
        <v>2) Input Prior Year for this Informational Filing in Line 13.</v>
      </c>
      <c r="C98" s="10"/>
      <c r="D98" s="10"/>
      <c r="E98" s="10"/>
      <c r="F98" s="10"/>
      <c r="G98" s="10"/>
      <c r="H98" s="10"/>
      <c r="I98" s="141"/>
      <c r="J98" s="133"/>
      <c r="K98" s="133"/>
      <c r="L98" s="133"/>
    </row>
    <row r="99" spans="1:12">
      <c r="A99" s="141"/>
      <c r="B99" s="141" t="str">
        <f>"3) Calculation: (Line "&amp;A34&amp;", "&amp;H25&amp;") + ((Line "&amp;A34&amp;", "&amp;I25&amp;") * (Line "&amp;A42&amp;" - 2010))."</f>
        <v>3) Calculation: (Line 11, Col 1) + ((Line 11, Col 2) * (Line 13 - 2010)).</v>
      </c>
      <c r="C99" s="10"/>
      <c r="D99" s="10"/>
      <c r="E99" s="10"/>
      <c r="F99" s="10"/>
      <c r="G99" s="10"/>
      <c r="H99" s="10"/>
      <c r="I99" s="141"/>
      <c r="J99" s="133"/>
      <c r="K99" s="133"/>
      <c r="L99" s="133"/>
    </row>
    <row r="100" spans="1:12">
      <c r="A100" s="141"/>
      <c r="B100" s="141" t="str">
        <f>"4) Franchise Fee Exclusion is equal to the Franchise Fee Factor on the 28-FFU Line "&amp;'28-FFU'!A22&amp;""</f>
        <v>4) Franchise Fee Exclusion is equal to the Franchise Fee Factor on the 28-FFU Line 5</v>
      </c>
      <c r="C100" s="141"/>
      <c r="D100" s="141"/>
      <c r="E100" s="141"/>
      <c r="F100" s="141"/>
      <c r="G100" s="141"/>
      <c r="H100" s="141"/>
      <c r="I100" s="141"/>
      <c r="J100" s="133"/>
      <c r="K100" s="133"/>
      <c r="L100" s="133"/>
    </row>
    <row r="101" spans="1:12">
      <c r="A101" s="133"/>
      <c r="B101" s="141" t="str">
        <f>"times Line "&amp;A87&amp;" + "&amp;A88&amp;"."</f>
        <v>times Line 39 + 40.</v>
      </c>
      <c r="C101" s="141"/>
      <c r="D101" s="141"/>
      <c r="E101" s="141"/>
      <c r="F101" s="141"/>
      <c r="G101" s="141"/>
      <c r="H101" s="141"/>
      <c r="I101" s="141"/>
      <c r="J101" s="133"/>
      <c r="K101" s="133"/>
      <c r="L101" s="133"/>
    </row>
    <row r="102" spans="1:12">
      <c r="A102" s="133"/>
      <c r="B102" s="141" t="s">
        <v>2462</v>
      </c>
      <c r="C102" s="141"/>
      <c r="D102" s="141"/>
      <c r="E102" s="141"/>
      <c r="F102" s="141"/>
      <c r="G102" s="141"/>
      <c r="H102" s="141"/>
      <c r="I102" s="141"/>
      <c r="J102" s="133"/>
      <c r="K102" s="133"/>
      <c r="L102" s="133"/>
    </row>
    <row r="103" spans="1:12">
      <c r="A103" s="133"/>
      <c r="B103" s="300" t="s">
        <v>2463</v>
      </c>
      <c r="C103" s="141"/>
      <c r="D103" s="141"/>
      <c r="E103" s="141"/>
      <c r="F103" s="141"/>
      <c r="G103" s="141"/>
      <c r="H103" s="141"/>
      <c r="I103" s="141"/>
      <c r="J103" s="133"/>
      <c r="K103" s="133"/>
      <c r="L103" s="133"/>
    </row>
    <row r="104" spans="1:12">
      <c r="A104" s="133"/>
      <c r="B104" s="133"/>
      <c r="C104" s="133"/>
      <c r="D104" s="133"/>
      <c r="E104" s="133"/>
      <c r="F104" s="133"/>
      <c r="G104" s="133"/>
      <c r="H104" s="133"/>
      <c r="I104" s="133"/>
      <c r="J104" s="133"/>
      <c r="K104" s="133"/>
      <c r="L104" s="133"/>
    </row>
    <row r="105" spans="1:12">
      <c r="A105" s="133"/>
      <c r="B105" s="133"/>
      <c r="C105" s="133"/>
      <c r="D105" s="133"/>
      <c r="E105" s="133"/>
      <c r="F105" s="133"/>
      <c r="G105" s="133"/>
      <c r="H105" s="133"/>
      <c r="I105" s="133"/>
      <c r="J105" s="133"/>
      <c r="K105" s="133"/>
      <c r="L105" s="133"/>
    </row>
    <row r="106" spans="1:12">
      <c r="A106" s="133"/>
      <c r="B106" s="133"/>
      <c r="C106" s="133"/>
      <c r="D106" s="133"/>
      <c r="E106" s="133"/>
      <c r="F106" s="133"/>
      <c r="G106" s="133"/>
      <c r="H106" s="133"/>
      <c r="I106" s="133"/>
      <c r="J106" s="133"/>
      <c r="K106" s="133"/>
      <c r="L106" s="133"/>
    </row>
    <row r="107" spans="1:12">
      <c r="A107" s="133"/>
      <c r="B107" s="133"/>
      <c r="C107" s="133"/>
      <c r="D107" s="133"/>
      <c r="E107" s="133"/>
      <c r="F107" s="133"/>
      <c r="G107" s="133"/>
      <c r="H107" s="133"/>
      <c r="I107" s="133"/>
      <c r="J107" s="133"/>
      <c r="K107" s="133"/>
      <c r="L107" s="133"/>
    </row>
    <row r="108" spans="1:12">
      <c r="A108" s="133"/>
      <c r="B108" s="133"/>
      <c r="C108" s="133"/>
      <c r="D108" s="133"/>
      <c r="E108" s="133"/>
      <c r="F108" s="133"/>
      <c r="G108" s="133"/>
      <c r="H108" s="133"/>
      <c r="I108" s="133"/>
      <c r="J108" s="133"/>
      <c r="K108" s="133"/>
      <c r="L108" s="133"/>
    </row>
    <row r="109" spans="1:12">
      <c r="A109" s="133"/>
      <c r="B109" s="133"/>
      <c r="C109" s="133"/>
      <c r="D109" s="133"/>
      <c r="E109" s="133"/>
      <c r="F109" s="133"/>
      <c r="G109" s="133"/>
      <c r="H109" s="133"/>
      <c r="I109" s="133"/>
      <c r="J109" s="133"/>
      <c r="K109" s="133"/>
      <c r="L109" s="133"/>
    </row>
    <row r="110" spans="1:12">
      <c r="A110" s="133"/>
      <c r="B110" s="133"/>
      <c r="C110" s="133"/>
      <c r="D110" s="133"/>
      <c r="E110" s="133"/>
      <c r="F110" s="133"/>
      <c r="G110" s="133"/>
      <c r="H110" s="133"/>
      <c r="I110" s="133"/>
      <c r="J110" s="133"/>
      <c r="K110" s="133"/>
      <c r="L110" s="133"/>
    </row>
    <row r="111" spans="1:12">
      <c r="A111" s="133"/>
      <c r="B111" s="133"/>
      <c r="C111" s="133"/>
      <c r="D111" s="133"/>
      <c r="E111" s="133"/>
      <c r="F111" s="133"/>
      <c r="G111" s="133"/>
      <c r="H111" s="133"/>
      <c r="I111" s="133"/>
      <c r="J111" s="133"/>
      <c r="K111" s="133"/>
      <c r="L111" s="133"/>
    </row>
    <row r="112" spans="1:12">
      <c r="A112" s="133"/>
      <c r="B112" s="133"/>
      <c r="C112" s="133"/>
      <c r="D112" s="133"/>
      <c r="E112" s="133"/>
      <c r="F112" s="133"/>
      <c r="G112" s="133"/>
      <c r="H112" s="133"/>
      <c r="I112" s="133"/>
      <c r="J112" s="133"/>
      <c r="K112" s="133"/>
      <c r="L112" s="133"/>
    </row>
    <row r="113" spans="1:12">
      <c r="A113" s="133"/>
      <c r="B113" s="133"/>
      <c r="C113" s="133"/>
      <c r="D113" s="133"/>
      <c r="E113" s="133"/>
      <c r="F113" s="133"/>
      <c r="G113" s="133"/>
      <c r="H113" s="133"/>
      <c r="I113" s="133"/>
      <c r="J113" s="133"/>
      <c r="K113" s="133"/>
      <c r="L113" s="133"/>
    </row>
    <row r="114" spans="1:12">
      <c r="A114" s="133"/>
      <c r="B114" s="133"/>
      <c r="C114" s="133"/>
      <c r="D114" s="133"/>
      <c r="E114" s="133"/>
      <c r="F114" s="133"/>
      <c r="G114" s="133"/>
      <c r="H114" s="133"/>
      <c r="I114" s="133"/>
      <c r="J114" s="133"/>
      <c r="K114" s="133"/>
      <c r="L114" s="133"/>
    </row>
    <row r="115" spans="1:12">
      <c r="A115" s="133"/>
      <c r="B115" s="133"/>
      <c r="C115" s="133"/>
      <c r="D115" s="133"/>
      <c r="E115" s="133"/>
      <c r="F115" s="133"/>
      <c r="G115" s="133"/>
      <c r="H115" s="133"/>
      <c r="I115" s="133"/>
      <c r="J115" s="133"/>
      <c r="K115" s="133"/>
      <c r="L115" s="133"/>
    </row>
    <row r="116" spans="1:12">
      <c r="A116" s="133"/>
      <c r="B116" s="133"/>
      <c r="C116" s="133"/>
      <c r="D116" s="133"/>
      <c r="E116" s="133"/>
      <c r="F116" s="133"/>
      <c r="G116" s="133"/>
      <c r="H116" s="133"/>
      <c r="I116" s="133"/>
      <c r="J116" s="133"/>
      <c r="K116" s="133"/>
      <c r="L116" s="133"/>
    </row>
    <row r="117" spans="1:12">
      <c r="A117" s="133"/>
      <c r="B117" s="133"/>
      <c r="C117" s="133"/>
      <c r="D117" s="133"/>
      <c r="E117" s="133"/>
      <c r="F117" s="133"/>
      <c r="G117" s="133"/>
      <c r="H117" s="133"/>
      <c r="I117" s="133"/>
      <c r="J117" s="133"/>
      <c r="K117" s="133"/>
      <c r="L117" s="133"/>
    </row>
    <row r="118" spans="1:12">
      <c r="A118" s="133"/>
      <c r="B118" s="133"/>
      <c r="C118" s="133"/>
      <c r="D118" s="133"/>
      <c r="E118" s="133"/>
      <c r="F118" s="133"/>
      <c r="G118" s="133"/>
      <c r="H118" s="133"/>
      <c r="I118" s="133"/>
      <c r="J118" s="133"/>
      <c r="K118" s="133"/>
      <c r="L118" s="133"/>
    </row>
    <row r="119" spans="1:12">
      <c r="A119" s="133"/>
      <c r="B119" s="133"/>
      <c r="C119" s="133"/>
      <c r="D119" s="133"/>
      <c r="E119" s="133"/>
      <c r="F119" s="133"/>
      <c r="G119" s="133"/>
      <c r="H119" s="133"/>
      <c r="I119" s="133"/>
      <c r="J119" s="133"/>
      <c r="K119" s="133"/>
      <c r="L119" s="133"/>
    </row>
    <row r="120" spans="1:12">
      <c r="A120" s="133"/>
      <c r="B120" s="133"/>
      <c r="C120" s="133"/>
      <c r="D120" s="133"/>
      <c r="E120" s="133"/>
      <c r="F120" s="133"/>
      <c r="G120" s="133"/>
      <c r="H120" s="133"/>
      <c r="I120" s="133"/>
      <c r="J120" s="133"/>
      <c r="K120" s="133"/>
      <c r="L120" s="133"/>
    </row>
    <row r="121" spans="1:12">
      <c r="A121" s="133"/>
      <c r="B121" s="133"/>
      <c r="C121" s="133"/>
      <c r="D121" s="133"/>
      <c r="E121" s="133"/>
      <c r="F121" s="133"/>
      <c r="G121" s="133"/>
      <c r="H121" s="133"/>
      <c r="I121" s="133"/>
      <c r="J121" s="133"/>
      <c r="K121" s="133"/>
      <c r="L121" s="133"/>
    </row>
    <row r="122" spans="1:12">
      <c r="A122" s="133"/>
      <c r="B122" s="133"/>
      <c r="C122" s="133"/>
      <c r="D122" s="133"/>
      <c r="E122" s="133"/>
      <c r="F122" s="133"/>
      <c r="G122" s="133"/>
      <c r="H122" s="133"/>
      <c r="I122" s="133"/>
      <c r="J122" s="133"/>
      <c r="K122" s="133"/>
      <c r="L122" s="133"/>
    </row>
    <row r="123" spans="1:12">
      <c r="A123" s="133"/>
      <c r="B123" s="133"/>
      <c r="C123" s="133"/>
      <c r="D123" s="133"/>
      <c r="E123" s="133"/>
      <c r="F123" s="133"/>
      <c r="G123" s="133"/>
      <c r="H123" s="133"/>
      <c r="I123" s="133"/>
      <c r="J123" s="133"/>
      <c r="K123" s="133"/>
      <c r="L123" s="133"/>
    </row>
    <row r="124" spans="1:12">
      <c r="A124" s="133"/>
      <c r="B124" s="133"/>
      <c r="C124" s="133"/>
      <c r="D124" s="133"/>
      <c r="E124" s="133"/>
      <c r="F124" s="133"/>
      <c r="G124" s="133"/>
      <c r="H124" s="133"/>
      <c r="I124" s="133"/>
      <c r="J124" s="133"/>
      <c r="K124" s="133"/>
      <c r="L124" s="133"/>
    </row>
    <row r="125" spans="1:12">
      <c r="A125" s="133"/>
      <c r="B125" s="133"/>
      <c r="C125" s="133"/>
      <c r="D125" s="133"/>
      <c r="E125" s="133"/>
      <c r="F125" s="133"/>
      <c r="G125" s="133"/>
      <c r="H125" s="133"/>
      <c r="I125" s="133"/>
      <c r="J125" s="133"/>
      <c r="K125" s="133"/>
      <c r="L125" s="133"/>
    </row>
    <row r="126" spans="1:12">
      <c r="A126" s="133"/>
      <c r="B126" s="133"/>
      <c r="C126" s="133"/>
      <c r="D126" s="133"/>
      <c r="E126" s="133"/>
      <c r="F126" s="133"/>
      <c r="G126" s="133"/>
      <c r="H126" s="133"/>
      <c r="I126" s="133"/>
      <c r="J126" s="133"/>
      <c r="K126" s="133"/>
      <c r="L126" s="133"/>
    </row>
    <row r="127" spans="1:12">
      <c r="A127" s="133"/>
      <c r="B127" s="133"/>
      <c r="C127" s="133"/>
      <c r="D127" s="133"/>
      <c r="E127" s="133"/>
      <c r="F127" s="133"/>
      <c r="G127" s="133"/>
      <c r="H127" s="133"/>
      <c r="I127" s="133"/>
      <c r="J127" s="133"/>
      <c r="K127" s="133"/>
      <c r="L127" s="133"/>
    </row>
    <row r="128" spans="1:12">
      <c r="A128" s="133"/>
      <c r="B128" s="133"/>
      <c r="C128" s="133"/>
      <c r="D128" s="133"/>
      <c r="E128" s="133"/>
      <c r="F128" s="133"/>
      <c r="G128" s="133"/>
      <c r="H128" s="133"/>
      <c r="I128" s="133"/>
      <c r="J128" s="133"/>
      <c r="K128" s="133"/>
      <c r="L128" s="133"/>
    </row>
    <row r="129" spans="1:12">
      <c r="A129" s="133"/>
      <c r="B129" s="133"/>
      <c r="C129" s="133"/>
      <c r="D129" s="133"/>
      <c r="E129" s="133"/>
      <c r="F129" s="133"/>
      <c r="G129" s="133"/>
      <c r="H129" s="133"/>
      <c r="I129" s="133"/>
      <c r="J129" s="133"/>
      <c r="K129" s="133"/>
      <c r="L129" s="133"/>
    </row>
    <row r="130" spans="1:12">
      <c r="A130" s="133"/>
      <c r="B130" s="133"/>
      <c r="C130" s="133"/>
      <c r="D130" s="133"/>
      <c r="E130" s="133"/>
      <c r="F130" s="133"/>
      <c r="G130" s="133"/>
      <c r="H130" s="133"/>
      <c r="I130" s="133"/>
      <c r="J130" s="133"/>
      <c r="K130" s="133"/>
      <c r="L130" s="133"/>
    </row>
    <row r="131" spans="1:12">
      <c r="A131" s="133"/>
      <c r="B131" s="133"/>
      <c r="C131" s="133"/>
      <c r="D131" s="133"/>
      <c r="E131" s="133"/>
      <c r="F131" s="133"/>
      <c r="G131" s="133"/>
      <c r="H131" s="133"/>
      <c r="I131" s="133"/>
      <c r="J131" s="133"/>
      <c r="K131" s="133"/>
      <c r="L131" s="133"/>
    </row>
    <row r="132" spans="1:12">
      <c r="A132" s="133"/>
      <c r="B132" s="133"/>
      <c r="C132" s="133"/>
      <c r="D132" s="133"/>
      <c r="E132" s="133"/>
      <c r="F132" s="133"/>
      <c r="G132" s="133"/>
      <c r="H132" s="133"/>
      <c r="I132" s="133"/>
      <c r="J132" s="133"/>
      <c r="K132" s="133"/>
      <c r="L132" s="133"/>
    </row>
    <row r="133" spans="1:12">
      <c r="A133" s="133"/>
      <c r="B133" s="133"/>
      <c r="C133" s="133"/>
      <c r="D133" s="133"/>
      <c r="E133" s="133"/>
      <c r="F133" s="133"/>
      <c r="G133" s="133"/>
      <c r="H133" s="133"/>
      <c r="I133" s="133"/>
      <c r="J133" s="133"/>
      <c r="K133" s="133"/>
      <c r="L133" s="133"/>
    </row>
    <row r="134" spans="1:12">
      <c r="A134" s="133"/>
      <c r="B134" s="133"/>
      <c r="C134" s="133"/>
      <c r="D134" s="133"/>
      <c r="E134" s="133"/>
      <c r="F134" s="133"/>
      <c r="G134" s="133"/>
      <c r="H134" s="133"/>
      <c r="I134" s="133"/>
      <c r="J134" s="133"/>
      <c r="K134" s="133"/>
      <c r="L134" s="133"/>
    </row>
    <row r="135" spans="1:12">
      <c r="A135" s="133"/>
      <c r="B135" s="133"/>
      <c r="C135" s="133"/>
      <c r="D135" s="133"/>
      <c r="E135" s="133"/>
      <c r="F135" s="133"/>
      <c r="G135" s="133"/>
      <c r="H135" s="133"/>
      <c r="I135" s="133"/>
      <c r="J135" s="133"/>
      <c r="K135" s="133"/>
      <c r="L135" s="133"/>
    </row>
    <row r="136" spans="1:12">
      <c r="A136" s="133"/>
      <c r="B136" s="133"/>
      <c r="C136" s="133"/>
      <c r="D136" s="133"/>
      <c r="E136" s="133"/>
      <c r="F136" s="133"/>
      <c r="G136" s="133"/>
      <c r="H136" s="133"/>
      <c r="I136" s="133"/>
      <c r="J136" s="133"/>
      <c r="K136" s="133"/>
      <c r="L136" s="133"/>
    </row>
    <row r="137" spans="1:12">
      <c r="A137" s="133"/>
      <c r="B137" s="133"/>
      <c r="C137" s="133"/>
      <c r="D137" s="133"/>
      <c r="E137" s="133"/>
      <c r="F137" s="133"/>
      <c r="G137" s="133"/>
      <c r="H137" s="133"/>
      <c r="I137" s="133"/>
      <c r="J137" s="133"/>
      <c r="K137" s="133"/>
      <c r="L137" s="133"/>
    </row>
    <row r="138" spans="1:12">
      <c r="A138" s="133"/>
      <c r="B138" s="133"/>
      <c r="C138" s="133"/>
      <c r="D138" s="133"/>
      <c r="E138" s="133"/>
      <c r="F138" s="133"/>
      <c r="G138" s="133"/>
      <c r="H138" s="133"/>
      <c r="I138" s="133"/>
      <c r="J138" s="133"/>
      <c r="K138" s="133"/>
      <c r="L138" s="133"/>
    </row>
    <row r="139" spans="1:12">
      <c r="A139" s="133"/>
      <c r="B139" s="133"/>
      <c r="C139" s="133"/>
      <c r="D139" s="133"/>
      <c r="E139" s="133"/>
      <c r="F139" s="133"/>
      <c r="G139" s="133"/>
      <c r="H139" s="133"/>
      <c r="I139" s="133"/>
      <c r="J139" s="133"/>
      <c r="K139" s="133"/>
      <c r="L139" s="133"/>
    </row>
    <row r="140" spans="1:12">
      <c r="A140" s="133"/>
      <c r="B140" s="133"/>
      <c r="C140" s="133"/>
      <c r="D140" s="133"/>
      <c r="E140" s="133"/>
      <c r="F140" s="133"/>
      <c r="G140" s="133"/>
      <c r="H140" s="133"/>
      <c r="I140" s="133"/>
      <c r="J140" s="133"/>
      <c r="K140" s="133"/>
      <c r="L140" s="133"/>
    </row>
    <row r="141" spans="1:12">
      <c r="A141" s="133"/>
      <c r="B141" s="133"/>
      <c r="C141" s="133"/>
      <c r="D141" s="133"/>
      <c r="E141" s="133"/>
      <c r="F141" s="133"/>
      <c r="G141" s="133"/>
      <c r="H141" s="133"/>
      <c r="I141" s="133"/>
      <c r="J141" s="133"/>
      <c r="K141" s="133"/>
      <c r="L141" s="133"/>
    </row>
    <row r="142" spans="1:12">
      <c r="A142" s="133"/>
      <c r="B142" s="133"/>
      <c r="C142" s="133"/>
      <c r="D142" s="133"/>
      <c r="E142" s="133"/>
      <c r="F142" s="133"/>
      <c r="G142" s="133"/>
      <c r="H142" s="133"/>
      <c r="I142" s="133"/>
      <c r="J142" s="133"/>
      <c r="K142" s="133"/>
      <c r="L142" s="133"/>
    </row>
    <row r="143" spans="1:12">
      <c r="A143" s="133"/>
      <c r="B143" s="133"/>
      <c r="C143" s="133"/>
      <c r="D143" s="133"/>
      <c r="E143" s="133"/>
      <c r="F143" s="133"/>
      <c r="G143" s="133"/>
      <c r="H143" s="133"/>
      <c r="I143" s="133"/>
      <c r="J143" s="133"/>
      <c r="K143" s="133"/>
      <c r="L143" s="133"/>
    </row>
    <row r="144" spans="1:12">
      <c r="A144" s="133"/>
      <c r="B144" s="133"/>
      <c r="C144" s="133"/>
      <c r="D144" s="133"/>
      <c r="E144" s="133"/>
      <c r="F144" s="133"/>
      <c r="G144" s="133"/>
      <c r="H144" s="133"/>
      <c r="I144" s="133"/>
      <c r="J144" s="133"/>
      <c r="K144" s="133"/>
      <c r="L144" s="133"/>
    </row>
    <row r="145" spans="1:12">
      <c r="A145" s="133"/>
      <c r="B145" s="133"/>
      <c r="C145" s="133"/>
      <c r="D145" s="133"/>
      <c r="E145" s="133"/>
      <c r="F145" s="133"/>
      <c r="G145" s="133"/>
      <c r="H145" s="133"/>
      <c r="I145" s="133"/>
      <c r="J145" s="133"/>
      <c r="K145" s="133"/>
      <c r="L145" s="133"/>
    </row>
    <row r="146" spans="1:12">
      <c r="A146" s="133"/>
      <c r="B146" s="133"/>
      <c r="C146" s="133"/>
      <c r="D146" s="133"/>
      <c r="E146" s="133"/>
      <c r="F146" s="133"/>
      <c r="G146" s="133"/>
      <c r="H146" s="133"/>
      <c r="I146" s="133"/>
      <c r="J146" s="133"/>
      <c r="K146" s="133"/>
      <c r="L146" s="133"/>
    </row>
    <row r="147" spans="1:12">
      <c r="A147" s="133"/>
      <c r="B147" s="133"/>
      <c r="C147" s="133"/>
      <c r="D147" s="133"/>
      <c r="E147" s="133"/>
      <c r="F147" s="133"/>
      <c r="G147" s="133"/>
      <c r="H147" s="133"/>
      <c r="I147" s="133"/>
      <c r="J147" s="133"/>
      <c r="K147" s="133"/>
      <c r="L147" s="133"/>
    </row>
    <row r="148" spans="1:12">
      <c r="A148" s="133"/>
      <c r="B148" s="133"/>
      <c r="C148" s="133"/>
      <c r="D148" s="133"/>
      <c r="E148" s="133"/>
      <c r="F148" s="133"/>
      <c r="G148" s="133"/>
      <c r="H148" s="133"/>
      <c r="I148" s="133"/>
      <c r="J148" s="133"/>
      <c r="K148" s="133"/>
      <c r="L148" s="133"/>
    </row>
    <row r="149" spans="1:12">
      <c r="A149" s="133"/>
      <c r="B149" s="133"/>
      <c r="C149" s="133"/>
      <c r="D149" s="133"/>
      <c r="E149" s="133"/>
      <c r="F149" s="133"/>
      <c r="G149" s="133"/>
      <c r="H149" s="133"/>
      <c r="I149" s="133"/>
      <c r="J149" s="133"/>
      <c r="K149" s="133"/>
      <c r="L149" s="133"/>
    </row>
    <row r="150" spans="1:12">
      <c r="A150" s="133"/>
      <c r="B150" s="133"/>
      <c r="C150" s="133"/>
      <c r="D150" s="133"/>
      <c r="E150" s="133"/>
      <c r="F150" s="133"/>
      <c r="G150" s="133"/>
      <c r="H150" s="133"/>
      <c r="I150" s="133"/>
      <c r="J150" s="133"/>
      <c r="K150" s="133"/>
      <c r="L150" s="133"/>
    </row>
    <row r="151" spans="1:12">
      <c r="A151" s="133"/>
      <c r="B151" s="133"/>
      <c r="C151" s="133"/>
      <c r="D151" s="133"/>
      <c r="E151" s="133"/>
      <c r="F151" s="133"/>
      <c r="G151" s="133"/>
      <c r="H151" s="133"/>
      <c r="I151" s="133"/>
      <c r="J151" s="133"/>
      <c r="K151" s="133"/>
      <c r="L151" s="133"/>
    </row>
    <row r="152" spans="1:12">
      <c r="A152" s="133"/>
      <c r="B152" s="133"/>
      <c r="C152" s="133"/>
      <c r="D152" s="133"/>
      <c r="E152" s="133"/>
      <c r="F152" s="133"/>
      <c r="G152" s="133"/>
      <c r="H152" s="133"/>
      <c r="I152" s="133"/>
      <c r="J152" s="133"/>
      <c r="K152" s="133"/>
      <c r="L152" s="133"/>
    </row>
    <row r="153" spans="1:12">
      <c r="A153" s="133"/>
      <c r="B153" s="133"/>
      <c r="C153" s="133"/>
      <c r="D153" s="133"/>
      <c r="E153" s="133"/>
      <c r="F153" s="133"/>
      <c r="G153" s="133"/>
      <c r="H153" s="133"/>
      <c r="I153" s="133"/>
      <c r="J153" s="133"/>
      <c r="K153" s="133"/>
      <c r="L153" s="133"/>
    </row>
  </sheetData>
  <pageMargins left="0.7" right="0.7" top="0.75" bottom="0.75" header="0.3" footer="0.3"/>
  <pageSetup scale="80" orientation="portrait" cellComments="asDisplayed" r:id="rId1"/>
  <headerFooter>
    <oddHeader>&amp;CSchedule 25
Wholesale Differences to Base TRR
&amp;RTO2020 Draft Annual Update 
Attachment1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2.140625" bestFit="1" customWidth="1"/>
  </cols>
  <sheetData>
    <row r="1" spans="1:5">
      <c r="A1" s="1" t="s">
        <v>2464</v>
      </c>
      <c r="B1" s="768"/>
      <c r="C1" s="768"/>
      <c r="D1" s="768"/>
      <c r="E1" s="768"/>
    </row>
    <row r="3" spans="1:5">
      <c r="A3" s="768"/>
      <c r="B3" s="1" t="s">
        <v>2465</v>
      </c>
      <c r="C3" s="768"/>
      <c r="D3" s="768"/>
      <c r="E3" s="58" t="s">
        <v>738</v>
      </c>
    </row>
    <row r="4" spans="1:5">
      <c r="A4" s="768"/>
      <c r="B4" s="768"/>
      <c r="C4" s="768"/>
      <c r="D4" s="379" t="s">
        <v>2466</v>
      </c>
      <c r="E4" s="768"/>
    </row>
    <row r="5" spans="1:5">
      <c r="A5" s="768"/>
      <c r="B5" s="768"/>
      <c r="C5" s="379" t="s">
        <v>347</v>
      </c>
      <c r="D5" s="379" t="s">
        <v>2467</v>
      </c>
      <c r="E5" s="768"/>
    </row>
    <row r="6" spans="1:5">
      <c r="A6" s="2" t="s">
        <v>243</v>
      </c>
      <c r="B6" s="768"/>
      <c r="C6" s="2" t="s">
        <v>343</v>
      </c>
      <c r="D6" s="2" t="s">
        <v>2468</v>
      </c>
      <c r="E6" s="2" t="s">
        <v>763</v>
      </c>
    </row>
    <row r="7" spans="1:5">
      <c r="A7" s="379">
        <v>1</v>
      </c>
      <c r="B7" s="768"/>
      <c r="C7" s="353">
        <v>2020</v>
      </c>
      <c r="D7" s="997">
        <v>0.21</v>
      </c>
      <c r="E7" s="690" t="s">
        <v>2469</v>
      </c>
    </row>
    <row r="8" spans="1:5">
      <c r="A8" s="379">
        <f>A7+1</f>
        <v>2</v>
      </c>
      <c r="B8" s="768"/>
      <c r="C8" s="768"/>
      <c r="D8" s="768"/>
      <c r="E8" s="297"/>
    </row>
    <row r="9" spans="1:5">
      <c r="A9" s="379">
        <f t="shared" ref="A9:A23" si="0">A8+1</f>
        <v>3</v>
      </c>
      <c r="B9" s="1" t="s">
        <v>2470</v>
      </c>
      <c r="C9" s="768"/>
      <c r="D9" s="768"/>
      <c r="E9" s="768"/>
    </row>
    <row r="10" spans="1:5">
      <c r="A10" s="379">
        <f t="shared" si="0"/>
        <v>4</v>
      </c>
      <c r="B10" s="1"/>
      <c r="C10" s="768"/>
      <c r="D10" s="379"/>
      <c r="E10" s="768"/>
    </row>
    <row r="11" spans="1:5">
      <c r="A11" s="379">
        <f t="shared" si="0"/>
        <v>5</v>
      </c>
      <c r="B11" s="768"/>
      <c r="C11" s="768"/>
      <c r="D11" s="379" t="s">
        <v>2471</v>
      </c>
      <c r="E11" s="768"/>
    </row>
    <row r="12" spans="1:5">
      <c r="A12" s="379">
        <f t="shared" si="0"/>
        <v>6</v>
      </c>
      <c r="B12" s="768"/>
      <c r="C12" s="379" t="s">
        <v>347</v>
      </c>
      <c r="D12" s="379" t="s">
        <v>2467</v>
      </c>
      <c r="E12" s="768"/>
    </row>
    <row r="13" spans="1:5">
      <c r="A13" s="379">
        <f t="shared" si="0"/>
        <v>7</v>
      </c>
      <c r="B13" s="768"/>
      <c r="C13" s="2" t="s">
        <v>343</v>
      </c>
      <c r="D13" s="2" t="s">
        <v>2472</v>
      </c>
      <c r="E13" s="2" t="s">
        <v>763</v>
      </c>
    </row>
    <row r="14" spans="1:5">
      <c r="A14" s="379">
        <f t="shared" si="0"/>
        <v>8</v>
      </c>
      <c r="B14" s="768"/>
      <c r="C14" s="353">
        <v>2020</v>
      </c>
      <c r="D14" s="854">
        <v>8.8400000000000006E-2</v>
      </c>
      <c r="E14" s="690" t="s">
        <v>170</v>
      </c>
    </row>
    <row r="15" spans="1:5">
      <c r="A15" s="379">
        <f t="shared" si="0"/>
        <v>9</v>
      </c>
      <c r="B15" s="768"/>
      <c r="C15" s="31"/>
      <c r="D15" s="10"/>
      <c r="E15" s="302"/>
    </row>
    <row r="16" spans="1:5">
      <c r="A16" s="379">
        <f t="shared" si="0"/>
        <v>10</v>
      </c>
      <c r="B16" s="768"/>
      <c r="C16" s="31"/>
      <c r="D16" s="10"/>
      <c r="E16" s="11"/>
    </row>
    <row r="17" spans="1:9">
      <c r="A17" s="379">
        <f t="shared" si="0"/>
        <v>11</v>
      </c>
      <c r="B17" s="768"/>
      <c r="C17" s="1109"/>
      <c r="D17" s="768"/>
      <c r="E17" s="11"/>
      <c r="F17" s="768"/>
      <c r="G17" s="768"/>
      <c r="H17" s="768"/>
      <c r="I17" s="768"/>
    </row>
    <row r="18" spans="1:9" ht="12.75" customHeight="1">
      <c r="A18" s="379">
        <f t="shared" si="0"/>
        <v>12</v>
      </c>
      <c r="B18" s="1" t="s">
        <v>2473</v>
      </c>
      <c r="C18" s="768"/>
      <c r="D18" s="768"/>
      <c r="E18" s="11"/>
      <c r="F18" s="768"/>
      <c r="G18" s="768"/>
      <c r="H18" s="768"/>
      <c r="I18" s="768"/>
    </row>
    <row r="19" spans="1:9" ht="12.75" customHeight="1">
      <c r="A19" s="379">
        <f t="shared" si="0"/>
        <v>13</v>
      </c>
      <c r="B19" s="768"/>
      <c r="C19" s="768"/>
      <c r="D19" s="768"/>
      <c r="E19" s="371"/>
      <c r="F19" s="2" t="s">
        <v>79</v>
      </c>
      <c r="G19" s="768"/>
      <c r="H19" s="768"/>
      <c r="I19" s="768"/>
    </row>
    <row r="20" spans="1:9" ht="12.75" customHeight="1">
      <c r="A20" s="379">
        <f t="shared" si="0"/>
        <v>14</v>
      </c>
      <c r="B20" s="10"/>
      <c r="C20" s="10" t="str">
        <f>"Total Electric Payroll Tax Expense (From 1-BaseTRR, Line "&amp;'1-BaseTRR'!A52&amp;")"</f>
        <v>Total Electric Payroll Tax Expense (From 1-BaseTRR, Line 31)</v>
      </c>
      <c r="D20" s="10"/>
      <c r="E20" s="10"/>
      <c r="F20" s="5">
        <f>'1-BaseTRR'!K52</f>
        <v>119136716</v>
      </c>
      <c r="G20" s="298"/>
      <c r="H20" s="768"/>
      <c r="I20" s="768"/>
    </row>
    <row r="21" spans="1:9" ht="12.75" customHeight="1">
      <c r="A21" s="379">
        <f t="shared" si="0"/>
        <v>15</v>
      </c>
      <c r="B21" s="10"/>
      <c r="C21" s="300" t="s">
        <v>2474</v>
      </c>
      <c r="D21" s="10"/>
      <c r="E21" s="10"/>
      <c r="F21" s="400">
        <v>0.39800000000000002</v>
      </c>
      <c r="G21" s="298"/>
      <c r="H21" s="768"/>
      <c r="I21" s="768"/>
    </row>
    <row r="22" spans="1:9" ht="12.75" customHeight="1">
      <c r="A22" s="379">
        <f t="shared" si="0"/>
        <v>16</v>
      </c>
      <c r="B22" s="10"/>
      <c r="C22" s="300" t="str">
        <f>"Capitalized Overhead portion of Electric Payroll Tax Expense (Line "&amp;A20&amp;" * Line "&amp;A21&amp;")"</f>
        <v>Capitalized Overhead portion of Electric Payroll Tax Expense (Line 14 * Line 15)</v>
      </c>
      <c r="D22" s="10"/>
      <c r="E22" s="10"/>
      <c r="F22" s="286">
        <f>F20*F21</f>
        <v>47416412.968000002</v>
      </c>
      <c r="G22" s="300"/>
      <c r="H22" s="10"/>
      <c r="I22" s="300"/>
    </row>
    <row r="23" spans="1:9">
      <c r="A23" s="379">
        <f t="shared" si="0"/>
        <v>17</v>
      </c>
      <c r="B23" s="10"/>
      <c r="C23" s="300" t="str">
        <f>"Non-Capitalized Overhead portion of Electric Payroll Tax Expense (Line "&amp;A20&amp;" - Line "&amp;A22&amp;")"</f>
        <v>Non-Capitalized Overhead portion of Electric Payroll Tax Expense (Line 14 - Line 16)</v>
      </c>
      <c r="D23" s="10"/>
      <c r="E23" s="10"/>
      <c r="F23" s="5">
        <f>F20-F22</f>
        <v>71720303.032000005</v>
      </c>
      <c r="G23" s="298"/>
      <c r="H23" s="10"/>
      <c r="I23" s="768"/>
    </row>
    <row r="25" spans="1:9">
      <c r="A25" s="768"/>
      <c r="B25" s="28" t="s">
        <v>226</v>
      </c>
      <c r="C25" s="768"/>
      <c r="D25" s="768"/>
      <c r="E25" s="768"/>
      <c r="F25" s="768"/>
      <c r="G25" s="768"/>
      <c r="H25" s="768"/>
      <c r="I25" s="768"/>
    </row>
    <row r="26" spans="1:9">
      <c r="A26" s="768"/>
      <c r="B26" s="1116" t="s">
        <v>2475</v>
      </c>
      <c r="C26" s="10"/>
      <c r="D26" s="770" t="s">
        <v>2476</v>
      </c>
      <c r="E26" s="770"/>
      <c r="F26" s="58"/>
      <c r="G26" s="768"/>
      <c r="H26" s="768"/>
      <c r="I26" s="768"/>
    </row>
    <row r="27" spans="1:9">
      <c r="A27" s="768"/>
      <c r="B27" s="1116" t="s">
        <v>2477</v>
      </c>
      <c r="C27" s="10"/>
      <c r="D27" s="10"/>
      <c r="E27" s="10"/>
      <c r="F27" s="10"/>
      <c r="G27" s="768"/>
      <c r="H27" s="768"/>
      <c r="I27" s="768"/>
    </row>
    <row r="28" spans="1:9">
      <c r="A28" s="768"/>
      <c r="B28" s="481"/>
      <c r="C28" s="10"/>
      <c r="D28" s="58" t="s">
        <v>2478</v>
      </c>
      <c r="E28" s="58"/>
      <c r="F28" s="58"/>
      <c r="G28" s="768"/>
      <c r="H28" s="768"/>
      <c r="I28" s="768"/>
    </row>
    <row r="29" spans="1:9">
      <c r="A29" s="768"/>
      <c r="B29" s="300" t="s">
        <v>2479</v>
      </c>
      <c r="C29" s="10"/>
      <c r="D29" s="10"/>
      <c r="E29" s="770" t="s">
        <v>2480</v>
      </c>
      <c r="F29" s="768"/>
      <c r="G29" s="768"/>
      <c r="H29" s="768"/>
      <c r="I29" s="768"/>
    </row>
    <row r="30" spans="1:9">
      <c r="A30" s="768"/>
      <c r="B30" s="297" t="s">
        <v>2481</v>
      </c>
      <c r="C30" s="10"/>
      <c r="D30" s="10"/>
      <c r="E30" s="745" t="s">
        <v>2482</v>
      </c>
      <c r="F30" s="768"/>
      <c r="G30" s="768"/>
      <c r="H30" s="768"/>
      <c r="I30" s="768"/>
    </row>
    <row r="31" spans="1:9">
      <c r="A31" s="768"/>
      <c r="B31" s="298" t="s">
        <v>2483</v>
      </c>
      <c r="C31" s="768"/>
      <c r="D31" s="768"/>
      <c r="E31" s="768"/>
      <c r="F31" s="768"/>
      <c r="G31" s="768"/>
      <c r="H31" s="768"/>
      <c r="I31" s="768"/>
    </row>
    <row r="32" spans="1:9">
      <c r="A32" s="768"/>
      <c r="B32" s="298" t="s">
        <v>2484</v>
      </c>
      <c r="C32" s="768"/>
      <c r="D32" s="768"/>
      <c r="E32" s="768"/>
      <c r="F32" s="768"/>
      <c r="G32" s="768"/>
      <c r="H32" s="768"/>
      <c r="I32" s="768"/>
    </row>
    <row r="33" spans="2:2">
      <c r="B33" s="298" t="s">
        <v>2485</v>
      </c>
    </row>
    <row r="34" spans="2:2">
      <c r="B34" s="298" t="s">
        <v>2486</v>
      </c>
    </row>
    <row r="35" spans="2:2">
      <c r="B35" s="298" t="s">
        <v>2487</v>
      </c>
    </row>
    <row r="36" spans="2:2">
      <c r="B36" s="298" t="s">
        <v>2488</v>
      </c>
    </row>
    <row r="37" spans="2:2">
      <c r="B37" s="298" t="s">
        <v>2489</v>
      </c>
    </row>
    <row r="38" spans="2:2">
      <c r="B38" s="298" t="s">
        <v>2490</v>
      </c>
    </row>
    <row r="39" spans="2:2">
      <c r="B39" s="298" t="s">
        <v>2491</v>
      </c>
    </row>
    <row r="40" spans="2:2">
      <c r="B40" s="298" t="s">
        <v>2492</v>
      </c>
    </row>
  </sheetData>
  <phoneticPr fontId="22" type="noConversion"/>
  <pageMargins left="0.75" right="0.75" top="1" bottom="1" header="0.5" footer="0.5"/>
  <pageSetup scale="75" orientation="portrait" cellComments="asDisplayed" r:id="rId1"/>
  <headerFooter alignWithMargins="0">
    <oddHeader>&amp;CSchedule 26
Tax Rates
&amp;RTO2020 Draft Annual Update 
Attachment1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5"/>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61</v>
      </c>
      <c r="B1" s="1"/>
      <c r="C1" s="768"/>
      <c r="D1" s="768"/>
      <c r="E1" s="768"/>
      <c r="F1" s="768"/>
      <c r="G1" s="768"/>
      <c r="H1" s="768"/>
      <c r="I1" s="768"/>
    </row>
    <row r="2" spans="1:9">
      <c r="A2" s="1"/>
      <c r="B2" s="1"/>
      <c r="C2" s="768"/>
      <c r="D2" s="768"/>
      <c r="E2" s="58" t="s">
        <v>738</v>
      </c>
      <c r="F2" s="768"/>
      <c r="G2" s="768"/>
      <c r="H2" s="768"/>
      <c r="I2" s="768"/>
    </row>
    <row r="3" spans="1:9">
      <c r="A3" s="379"/>
      <c r="B3" s="1" t="s">
        <v>2493</v>
      </c>
      <c r="C3" s="768"/>
      <c r="D3" s="768"/>
      <c r="E3" s="768"/>
      <c r="F3" s="768"/>
      <c r="G3" s="60"/>
      <c r="H3" s="768"/>
      <c r="I3" s="768"/>
    </row>
    <row r="4" spans="1:9">
      <c r="A4" s="379"/>
      <c r="B4" s="768"/>
      <c r="C4" s="1"/>
      <c r="D4" s="379"/>
      <c r="E4" s="379" t="s">
        <v>96</v>
      </c>
      <c r="F4" s="768"/>
      <c r="G4" s="3" t="s">
        <v>1024</v>
      </c>
      <c r="H4" s="768"/>
      <c r="I4" s="768"/>
    </row>
    <row r="5" spans="1:9">
      <c r="A5" s="28" t="s">
        <v>243</v>
      </c>
      <c r="B5" s="768"/>
      <c r="C5" s="1"/>
      <c r="D5" s="2" t="s">
        <v>98</v>
      </c>
      <c r="E5" s="2" t="s">
        <v>99</v>
      </c>
      <c r="F5" s="768"/>
      <c r="G5" s="2" t="s">
        <v>100</v>
      </c>
      <c r="H5" s="768"/>
      <c r="I5" s="768"/>
    </row>
    <row r="6" spans="1:9">
      <c r="A6" s="379">
        <v>1</v>
      </c>
      <c r="B6" s="768"/>
      <c r="C6" s="730" t="s">
        <v>2494</v>
      </c>
      <c r="D6" s="10"/>
      <c r="E6" s="300" t="str">
        <f>"19-OandM Line "&amp;'19-OandM'!A124&amp;", Col. 7"</f>
        <v>19-OandM Line 91, Col. 7</v>
      </c>
      <c r="F6" s="768"/>
      <c r="G6" s="5">
        <f>'19-OandM'!H124</f>
        <v>34568762.448507801</v>
      </c>
      <c r="H6" s="768"/>
      <c r="I6" s="298"/>
    </row>
    <row r="7" spans="1:9">
      <c r="A7" s="379">
        <f>A6+1</f>
        <v>2</v>
      </c>
      <c r="B7" s="768"/>
      <c r="C7" s="730" t="s">
        <v>2495</v>
      </c>
      <c r="D7" s="10"/>
      <c r="E7" s="300" t="s">
        <v>1026</v>
      </c>
      <c r="F7" s="768"/>
      <c r="G7" s="4">
        <v>751177566</v>
      </c>
      <c r="H7" s="768"/>
      <c r="I7" s="768"/>
    </row>
    <row r="8" spans="1:9">
      <c r="A8" s="379">
        <f t="shared" ref="A8:A43" si="0">A7+1</f>
        <v>3</v>
      </c>
      <c r="B8" s="768"/>
      <c r="C8" s="693" t="s">
        <v>2496</v>
      </c>
      <c r="D8" s="10"/>
      <c r="E8" s="300" t="s">
        <v>2497</v>
      </c>
      <c r="F8" s="768"/>
      <c r="G8" s="4">
        <v>220649268</v>
      </c>
      <c r="H8" s="768"/>
      <c r="I8" s="768"/>
    </row>
    <row r="9" spans="1:9">
      <c r="A9" s="379">
        <f t="shared" si="0"/>
        <v>4</v>
      </c>
      <c r="B9" s="768"/>
      <c r="C9" s="730" t="s">
        <v>2498</v>
      </c>
      <c r="D9" s="10"/>
      <c r="E9" s="300" t="str">
        <f>"Line "&amp;A7&amp;" - Line "&amp;A8&amp;""</f>
        <v>Line 2 - Line 3</v>
      </c>
      <c r="F9" s="768"/>
      <c r="G9" s="5">
        <f>G7-G8</f>
        <v>530528298</v>
      </c>
      <c r="H9" s="768"/>
      <c r="I9" s="768"/>
    </row>
    <row r="10" spans="1:9">
      <c r="A10" s="379">
        <f t="shared" si="0"/>
        <v>5</v>
      </c>
      <c r="B10" s="768"/>
      <c r="C10" s="730" t="s">
        <v>2499</v>
      </c>
      <c r="D10" s="10"/>
      <c r="E10" s="300" t="str">
        <f>"20-AandG, Note 2"</f>
        <v>20-AandG, Note 2</v>
      </c>
      <c r="F10" s="768"/>
      <c r="G10" s="37">
        <f>'20-AandG'!E63</f>
        <v>82490008.079999626</v>
      </c>
      <c r="H10" s="768"/>
      <c r="I10" s="298"/>
    </row>
    <row r="11" spans="1:9">
      <c r="A11" s="379">
        <f t="shared" si="0"/>
        <v>6</v>
      </c>
      <c r="B11" s="768"/>
      <c r="C11" s="693" t="s">
        <v>2500</v>
      </c>
      <c r="D11" s="10"/>
      <c r="E11" s="300" t="str">
        <f>"20-AandG, Note 2"</f>
        <v>20-AandG, Note 2</v>
      </c>
      <c r="F11" s="768"/>
      <c r="G11" s="305">
        <f>'20-AandG'!E60</f>
        <v>27438374.683803394</v>
      </c>
      <c r="H11" s="768"/>
      <c r="I11" s="768"/>
    </row>
    <row r="12" spans="1:9">
      <c r="A12" s="379">
        <f t="shared" si="0"/>
        <v>7</v>
      </c>
      <c r="B12" s="768"/>
      <c r="C12" s="730" t="s">
        <v>2501</v>
      </c>
      <c r="D12" s="10"/>
      <c r="E12" s="300" t="str">
        <f>"Line "&amp;A10&amp;" - Line "&amp;A11&amp;""</f>
        <v>Line 5 - Line 6</v>
      </c>
      <c r="F12" s="768"/>
      <c r="G12" s="5">
        <f>G10-G11</f>
        <v>55051633.396196231</v>
      </c>
      <c r="H12" s="768"/>
      <c r="I12" s="768"/>
    </row>
    <row r="13" spans="1:9">
      <c r="A13" s="379">
        <f t="shared" si="0"/>
        <v>8</v>
      </c>
      <c r="B13" s="768"/>
      <c r="C13" s="730" t="s">
        <v>2502</v>
      </c>
      <c r="D13" s="10"/>
      <c r="E13" s="300" t="str">
        <f>"Line "&amp;A9&amp;" + Line "&amp;A12&amp;""</f>
        <v>Line 4 + Line 7</v>
      </c>
      <c r="F13" s="768"/>
      <c r="G13" s="5">
        <f>G9+G12</f>
        <v>585579931.39619625</v>
      </c>
      <c r="H13" s="768"/>
      <c r="I13" s="768"/>
    </row>
    <row r="14" spans="1:9">
      <c r="A14" s="379">
        <f t="shared" si="0"/>
        <v>9</v>
      </c>
      <c r="B14" s="768"/>
      <c r="C14" s="10" t="s">
        <v>2503</v>
      </c>
      <c r="D14" s="10"/>
      <c r="E14" s="300" t="str">
        <f>"Line "&amp;A6&amp;" / Line "&amp;A13&amp;""</f>
        <v>Line 1 / Line 8</v>
      </c>
      <c r="F14" s="768"/>
      <c r="G14" s="6">
        <f>G6/G13</f>
        <v>5.9033379723389116E-2</v>
      </c>
      <c r="H14" s="768"/>
      <c r="I14" s="768"/>
    </row>
    <row r="15" spans="1:9">
      <c r="A15" s="379">
        <f t="shared" si="0"/>
        <v>10</v>
      </c>
      <c r="B15" s="768"/>
      <c r="C15" s="10"/>
      <c r="D15" s="10"/>
      <c r="E15" s="10"/>
      <c r="F15" s="768"/>
      <c r="G15" s="768"/>
      <c r="H15" s="768"/>
      <c r="I15" s="768"/>
    </row>
    <row r="16" spans="1:9">
      <c r="A16" s="379">
        <f t="shared" si="0"/>
        <v>11</v>
      </c>
      <c r="B16" s="1" t="s">
        <v>2504</v>
      </c>
      <c r="C16" s="10"/>
      <c r="D16" s="10"/>
      <c r="E16" s="10"/>
      <c r="F16" s="768"/>
      <c r="G16" s="60"/>
      <c r="H16" s="768"/>
      <c r="I16" s="768"/>
    </row>
    <row r="17" spans="1:11">
      <c r="A17" s="379">
        <f t="shared" si="0"/>
        <v>12</v>
      </c>
      <c r="B17" s="768"/>
      <c r="C17" s="10"/>
      <c r="D17" s="64"/>
      <c r="E17" s="64" t="s">
        <v>96</v>
      </c>
      <c r="F17" s="768"/>
      <c r="G17" s="3" t="s">
        <v>1024</v>
      </c>
      <c r="H17" s="768"/>
      <c r="I17" s="768"/>
      <c r="J17" s="768"/>
      <c r="K17" s="768"/>
    </row>
    <row r="18" spans="1:11">
      <c r="A18" s="379">
        <f t="shared" si="0"/>
        <v>13</v>
      </c>
      <c r="B18" s="768"/>
      <c r="C18" s="10"/>
      <c r="D18" s="74" t="s">
        <v>98</v>
      </c>
      <c r="E18" s="74" t="s">
        <v>99</v>
      </c>
      <c r="F18" s="768"/>
      <c r="G18" s="2" t="s">
        <v>100</v>
      </c>
      <c r="H18" s="768"/>
      <c r="I18" s="768"/>
      <c r="J18" s="768"/>
      <c r="K18" s="768"/>
    </row>
    <row r="19" spans="1:11">
      <c r="A19" s="379">
        <f t="shared" si="0"/>
        <v>14</v>
      </c>
      <c r="B19" s="768"/>
      <c r="C19" s="10" t="s">
        <v>2505</v>
      </c>
      <c r="D19" s="10"/>
      <c r="E19" s="300" t="str">
        <f>"7-PlantStudy, Line "&amp;'7-PlantStudy'!A28&amp;""</f>
        <v>7-PlantStudy, Line 21</v>
      </c>
      <c r="F19" s="768"/>
      <c r="G19" s="37">
        <f>'7-PlantStudy'!E28</f>
        <v>8787478997.7532921</v>
      </c>
      <c r="H19" s="768"/>
      <c r="I19" s="768"/>
      <c r="J19" s="768"/>
      <c r="K19" s="768"/>
    </row>
    <row r="20" spans="1:11">
      <c r="A20" s="379">
        <f t="shared" si="0"/>
        <v>15</v>
      </c>
      <c r="B20" s="768"/>
      <c r="C20" s="10" t="s">
        <v>2506</v>
      </c>
      <c r="D20" s="10"/>
      <c r="E20" s="300" t="str">
        <f>"7-PlantStudy, Line "&amp;'7-PlantStudy'!A42&amp;""</f>
        <v>7-PlantStudy, Line 30</v>
      </c>
      <c r="F20" s="768"/>
      <c r="G20" s="37">
        <f>'7-PlantStudy'!E42</f>
        <v>0</v>
      </c>
      <c r="H20" s="768"/>
      <c r="I20" s="768"/>
      <c r="J20" s="768"/>
      <c r="K20" s="768"/>
    </row>
    <row r="21" spans="1:11">
      <c r="A21" s="379">
        <f t="shared" si="0"/>
        <v>16</v>
      </c>
      <c r="B21" s="768"/>
      <c r="C21" s="10" t="s">
        <v>2507</v>
      </c>
      <c r="D21" s="10"/>
      <c r="E21" s="300" t="str">
        <f>"6-PlantInService, Line "&amp;'6-PlantInService'!A53&amp;", C2"</f>
        <v>6-PlantInService, Line 21, C2</v>
      </c>
      <c r="F21" s="768"/>
      <c r="G21" s="37">
        <f>'6-PlantInService'!G53</f>
        <v>1211743818</v>
      </c>
      <c r="H21" s="60"/>
      <c r="I21" s="768"/>
      <c r="J21" s="768"/>
      <c r="K21" s="768"/>
    </row>
    <row r="22" spans="1:11">
      <c r="A22" s="379">
        <f t="shared" si="0"/>
        <v>17</v>
      </c>
      <c r="B22" s="768"/>
      <c r="C22" s="10" t="s">
        <v>2508</v>
      </c>
      <c r="D22" s="10"/>
      <c r="E22" s="10" t="str">
        <f>"Line "&amp;A21&amp;" * Line "&amp;A14&amp;""</f>
        <v>Line 16 * Line 9</v>
      </c>
      <c r="F22" s="768"/>
      <c r="G22" s="37">
        <f>G21*G14</f>
        <v>71533332.935463309</v>
      </c>
      <c r="H22" s="768"/>
      <c r="I22" s="768"/>
      <c r="J22" s="768"/>
      <c r="K22" s="768"/>
    </row>
    <row r="23" spans="1:11">
      <c r="A23" s="379">
        <f t="shared" si="0"/>
        <v>18</v>
      </c>
      <c r="B23" s="768"/>
      <c r="C23" s="10" t="s">
        <v>2509</v>
      </c>
      <c r="D23" s="10"/>
      <c r="E23" s="300" t="str">
        <f>"6-PlantInService, Line "&amp;'6-PlantInService'!A53&amp;", C1"</f>
        <v>6-PlantInService, Line 21, C1</v>
      </c>
      <c r="F23" s="768"/>
      <c r="G23" s="37">
        <f>'6-PlantInService'!F53</f>
        <v>3095312496</v>
      </c>
      <c r="H23" s="768"/>
      <c r="I23" s="768"/>
      <c r="J23" s="768"/>
      <c r="K23" s="768"/>
    </row>
    <row r="24" spans="1:11">
      <c r="A24" s="379">
        <f t="shared" si="0"/>
        <v>19</v>
      </c>
      <c r="B24" s="768"/>
      <c r="C24" s="10" t="s">
        <v>2510</v>
      </c>
      <c r="D24" s="10"/>
      <c r="E24" s="10" t="str">
        <f>"Line "&amp;A23&amp;" * Line "&amp;A14&amp;""</f>
        <v>Line 18 * Line 9</v>
      </c>
      <c r="F24" s="768"/>
      <c r="G24" s="37">
        <f>G23*G14</f>
        <v>182726757.93891937</v>
      </c>
      <c r="H24" s="768"/>
      <c r="I24" s="768"/>
      <c r="J24" s="768"/>
      <c r="K24" s="768"/>
    </row>
    <row r="25" spans="1:11">
      <c r="A25" s="379">
        <f t="shared" si="0"/>
        <v>20</v>
      </c>
      <c r="B25" s="768"/>
      <c r="C25" s="300" t="s">
        <v>2511</v>
      </c>
      <c r="D25" s="10"/>
      <c r="E25" s="10" t="s">
        <v>1037</v>
      </c>
      <c r="F25" s="768"/>
      <c r="G25" s="4">
        <v>48205871081</v>
      </c>
      <c r="H25" s="768"/>
      <c r="I25" s="768"/>
      <c r="J25" s="768"/>
      <c r="K25" s="768"/>
    </row>
    <row r="26" spans="1:11">
      <c r="A26" s="379">
        <f t="shared" si="0"/>
        <v>21</v>
      </c>
      <c r="B26" s="768"/>
      <c r="C26" s="10"/>
      <c r="D26" s="10"/>
      <c r="E26" s="10"/>
      <c r="F26" s="768"/>
      <c r="G26" s="60"/>
      <c r="H26" s="768"/>
      <c r="I26" s="768"/>
      <c r="J26" s="768"/>
      <c r="K26" s="768"/>
    </row>
    <row r="27" spans="1:11">
      <c r="A27" s="379">
        <f t="shared" si="0"/>
        <v>22</v>
      </c>
      <c r="B27" s="768"/>
      <c r="C27" s="10" t="s">
        <v>126</v>
      </c>
      <c r="D27" s="10"/>
      <c r="E27" s="300" t="str">
        <f>"(L"&amp;A19&amp;" + L"&amp;A20&amp;" + L"&amp;A22&amp;" + L"&amp;A24&amp;") / L"&amp;A25&amp;""</f>
        <v>(L14 + L15 + L17 + L19) / L20</v>
      </c>
      <c r="F27" s="768"/>
      <c r="G27" s="6">
        <f>(G19+G20+G22+G24)/G25</f>
        <v>0.18756510121837444</v>
      </c>
      <c r="H27" s="768"/>
      <c r="I27" s="768"/>
      <c r="J27" s="768"/>
      <c r="K27" s="768"/>
    </row>
    <row r="28" spans="1:11">
      <c r="A28" s="379">
        <f t="shared" si="0"/>
        <v>23</v>
      </c>
      <c r="B28" s="768"/>
      <c r="C28" s="10"/>
      <c r="D28" s="10"/>
      <c r="E28" s="300"/>
      <c r="F28" s="768"/>
      <c r="G28" s="6"/>
      <c r="H28" s="768"/>
      <c r="I28" s="768"/>
      <c r="J28" s="768"/>
      <c r="K28" s="768"/>
    </row>
    <row r="29" spans="1:11">
      <c r="A29" s="64">
        <f t="shared" si="0"/>
        <v>24</v>
      </c>
      <c r="B29" s="25" t="s">
        <v>2512</v>
      </c>
      <c r="C29" s="10"/>
      <c r="D29" s="10"/>
      <c r="E29" s="10"/>
      <c r="F29" s="10"/>
      <c r="G29" s="10"/>
      <c r="H29" s="10"/>
      <c r="I29" s="10"/>
      <c r="J29" s="10"/>
      <c r="K29" s="10"/>
    </row>
    <row r="30" spans="1:11">
      <c r="A30" s="64">
        <f t="shared" si="0"/>
        <v>25</v>
      </c>
      <c r="B30" s="300"/>
      <c r="C30" s="10"/>
      <c r="D30" s="10"/>
      <c r="E30" s="10"/>
      <c r="F30" s="10"/>
      <c r="G30" s="10"/>
      <c r="H30" s="10"/>
      <c r="I30" s="10"/>
      <c r="J30" s="10"/>
      <c r="K30" s="10"/>
    </row>
    <row r="31" spans="1:11">
      <c r="A31" s="64">
        <f t="shared" si="0"/>
        <v>26</v>
      </c>
      <c r="B31" s="300" t="s">
        <v>2513</v>
      </c>
      <c r="C31" s="10"/>
      <c r="D31" s="74" t="s">
        <v>2514</v>
      </c>
      <c r="E31" s="74" t="s">
        <v>98</v>
      </c>
      <c r="F31" s="10"/>
      <c r="G31" s="369" t="s">
        <v>2515</v>
      </c>
      <c r="H31" s="10"/>
      <c r="I31" s="10"/>
      <c r="J31" s="10"/>
      <c r="K31" s="10"/>
    </row>
    <row r="32" spans="1:11">
      <c r="A32" s="64">
        <f t="shared" si="0"/>
        <v>27</v>
      </c>
      <c r="B32" s="10"/>
      <c r="C32" s="300" t="s">
        <v>2516</v>
      </c>
      <c r="D32" s="765">
        <v>5702</v>
      </c>
      <c r="E32" s="74"/>
      <c r="F32" s="10"/>
      <c r="G32" s="399" t="s">
        <v>2517</v>
      </c>
      <c r="H32" s="10"/>
      <c r="I32" s="10"/>
      <c r="J32" s="10"/>
      <c r="K32" s="10"/>
    </row>
    <row r="33" spans="1:11">
      <c r="A33" s="64">
        <f t="shared" si="0"/>
        <v>28</v>
      </c>
      <c r="B33" s="10"/>
      <c r="C33" s="300" t="s">
        <v>2518</v>
      </c>
      <c r="D33" s="765">
        <v>6457</v>
      </c>
      <c r="E33" s="74"/>
      <c r="F33" s="10"/>
      <c r="G33" s="399" t="s">
        <v>1593</v>
      </c>
      <c r="H33" s="10"/>
      <c r="I33" s="10"/>
      <c r="J33" s="10"/>
      <c r="K33" s="10"/>
    </row>
    <row r="34" spans="1:11">
      <c r="A34" s="64">
        <f t="shared" si="0"/>
        <v>29</v>
      </c>
      <c r="B34" s="10"/>
      <c r="C34" s="300" t="s">
        <v>2519</v>
      </c>
      <c r="D34" s="66">
        <f>SUM(D32:D33)</f>
        <v>12159</v>
      </c>
      <c r="E34" s="300" t="str">
        <f>" = L"&amp;A32&amp;" + L"&amp;A33&amp;""</f>
        <v xml:space="preserve"> = L27 + L28</v>
      </c>
      <c r="F34" s="10"/>
      <c r="G34" s="399" t="s">
        <v>2520</v>
      </c>
      <c r="H34" s="10"/>
      <c r="I34" s="10"/>
      <c r="J34" s="10"/>
      <c r="K34" s="10"/>
    </row>
    <row r="35" spans="1:11">
      <c r="A35" s="64">
        <f t="shared" si="0"/>
        <v>30</v>
      </c>
      <c r="B35" s="10"/>
      <c r="C35" s="300" t="s">
        <v>2521</v>
      </c>
      <c r="D35" s="731">
        <f>D32/D34</f>
        <v>0.46895303890122542</v>
      </c>
      <c r="E35" s="300" t="str">
        <f>" = L"&amp;A32&amp;" / L"&amp;A34&amp;""</f>
        <v xml:space="preserve"> = L27 / L29</v>
      </c>
      <c r="F35" s="10"/>
      <c r="G35" s="694"/>
      <c r="H35" s="10"/>
      <c r="I35" s="10"/>
      <c r="J35" s="10"/>
      <c r="K35" s="10"/>
    </row>
    <row r="36" spans="1:11">
      <c r="A36" s="64">
        <f t="shared" si="0"/>
        <v>31</v>
      </c>
      <c r="B36" s="74"/>
      <c r="C36" s="74"/>
      <c r="D36" s="10"/>
      <c r="E36" s="74"/>
      <c r="F36" s="10"/>
      <c r="G36" s="74"/>
      <c r="H36" s="10"/>
      <c r="I36" s="10"/>
      <c r="J36" s="10"/>
      <c r="K36" s="10"/>
    </row>
    <row r="37" spans="1:11">
      <c r="A37" s="64">
        <f t="shared" si="0"/>
        <v>32</v>
      </c>
      <c r="B37" s="300" t="s">
        <v>2522</v>
      </c>
      <c r="C37" s="10"/>
      <c r="D37" s="74" t="s">
        <v>2514</v>
      </c>
      <c r="E37" s="74" t="s">
        <v>98</v>
      </c>
      <c r="F37" s="10"/>
      <c r="G37" s="369" t="s">
        <v>2515</v>
      </c>
      <c r="H37" s="10"/>
      <c r="I37" s="10"/>
      <c r="J37" s="10"/>
      <c r="K37" s="10"/>
    </row>
    <row r="38" spans="1:11">
      <c r="A38" s="64">
        <f t="shared" si="0"/>
        <v>33</v>
      </c>
      <c r="B38" s="666"/>
      <c r="C38" s="300" t="s">
        <v>2523</v>
      </c>
      <c r="D38" s="765">
        <v>5</v>
      </c>
      <c r="E38" s="74"/>
      <c r="F38" s="10"/>
      <c r="G38" s="694" t="s">
        <v>2524</v>
      </c>
      <c r="H38" s="10"/>
      <c r="I38" s="10"/>
      <c r="J38" s="10"/>
      <c r="K38" s="10"/>
    </row>
    <row r="39" spans="1:11">
      <c r="A39" s="64">
        <f t="shared" si="0"/>
        <v>34</v>
      </c>
      <c r="B39" s="666"/>
      <c r="C39" s="300" t="s">
        <v>2525</v>
      </c>
      <c r="D39" s="765">
        <v>358</v>
      </c>
      <c r="E39" s="74"/>
      <c r="F39" s="10"/>
      <c r="G39" s="694" t="s">
        <v>2526</v>
      </c>
      <c r="H39" s="10"/>
      <c r="I39" s="10"/>
      <c r="J39" s="10"/>
      <c r="K39" s="10"/>
    </row>
    <row r="40" spans="1:11">
      <c r="A40" s="64">
        <f t="shared" si="0"/>
        <v>35</v>
      </c>
      <c r="B40" s="666"/>
      <c r="C40" s="300" t="s">
        <v>2527</v>
      </c>
      <c r="D40" s="66">
        <f>SUM(D38:D39)</f>
        <v>363</v>
      </c>
      <c r="E40" s="300" t="str">
        <f>" = L"&amp;A38&amp;" + L"&amp;A39&amp;""</f>
        <v xml:space="preserve"> = L33 + L34</v>
      </c>
      <c r="F40" s="10"/>
      <c r="G40" s="10"/>
      <c r="H40" s="10"/>
      <c r="I40" s="10"/>
      <c r="J40" s="10"/>
      <c r="K40" s="10"/>
    </row>
    <row r="41" spans="1:11">
      <c r="A41" s="64">
        <f t="shared" si="0"/>
        <v>36</v>
      </c>
      <c r="B41" s="666"/>
      <c r="C41" s="300" t="s">
        <v>2528</v>
      </c>
      <c r="D41" s="731">
        <f>D38/D40</f>
        <v>1.3774104683195593E-2</v>
      </c>
      <c r="E41" s="300" t="str">
        <f>" = L"&amp;A38&amp;" / L"&amp;A40&amp;""</f>
        <v xml:space="preserve"> = L33 / L35</v>
      </c>
      <c r="F41" s="10"/>
      <c r="G41" s="10"/>
      <c r="H41" s="10"/>
      <c r="I41" s="10"/>
      <c r="J41" s="10"/>
      <c r="K41" s="10"/>
    </row>
    <row r="42" spans="1:11">
      <c r="A42" s="64">
        <f t="shared" si="0"/>
        <v>37</v>
      </c>
      <c r="B42" s="666"/>
      <c r="C42" s="67"/>
      <c r="D42" s="10"/>
      <c r="E42" s="74"/>
      <c r="F42" s="10"/>
      <c r="G42" s="37"/>
      <c r="H42" s="10"/>
      <c r="I42" s="10"/>
      <c r="J42" s="10"/>
      <c r="K42" s="10"/>
    </row>
    <row r="43" spans="1:11">
      <c r="A43" s="64">
        <f t="shared" si="0"/>
        <v>38</v>
      </c>
      <c r="B43" s="300" t="s">
        <v>2529</v>
      </c>
      <c r="C43" s="10"/>
      <c r="D43" s="74" t="s">
        <v>2514</v>
      </c>
      <c r="E43" s="74" t="s">
        <v>98</v>
      </c>
      <c r="F43" s="10"/>
      <c r="G43" s="369" t="s">
        <v>2515</v>
      </c>
      <c r="H43" s="10"/>
      <c r="I43" s="10"/>
      <c r="J43" s="10"/>
      <c r="K43" s="10"/>
    </row>
    <row r="44" spans="1:11">
      <c r="A44" s="64">
        <f t="shared" ref="A44:A53" si="1">A43+1</f>
        <v>39</v>
      </c>
      <c r="B44" s="666"/>
      <c r="C44" s="300" t="s">
        <v>2530</v>
      </c>
      <c r="D44" s="765">
        <v>1233</v>
      </c>
      <c r="E44" s="74"/>
      <c r="F44" s="10"/>
      <c r="G44" s="694" t="s">
        <v>2531</v>
      </c>
      <c r="H44" s="10"/>
      <c r="I44" s="10"/>
      <c r="J44" s="10"/>
      <c r="K44" s="10"/>
    </row>
    <row r="45" spans="1:11">
      <c r="A45" s="64">
        <f t="shared" si="1"/>
        <v>40</v>
      </c>
      <c r="B45" s="666"/>
      <c r="C45" s="300" t="s">
        <v>2532</v>
      </c>
      <c r="D45" s="765">
        <v>2093</v>
      </c>
      <c r="E45" s="74"/>
      <c r="F45" s="10"/>
      <c r="G45" s="694"/>
      <c r="H45" s="10"/>
      <c r="I45" s="10"/>
      <c r="J45" s="10"/>
      <c r="K45" s="10"/>
    </row>
    <row r="46" spans="1:11">
      <c r="A46" s="64">
        <f t="shared" si="1"/>
        <v>41</v>
      </c>
      <c r="B46" s="666"/>
      <c r="C46" s="300" t="s">
        <v>2533</v>
      </c>
      <c r="D46" s="66">
        <f>SUM(D44:D45)</f>
        <v>3326</v>
      </c>
      <c r="E46" s="300" t="str">
        <f>" = L"&amp;A44&amp;" + L"&amp;A45&amp;""</f>
        <v xml:space="preserve"> = L39 + L40</v>
      </c>
      <c r="F46" s="10"/>
      <c r="G46" s="10"/>
      <c r="H46" s="10"/>
      <c r="I46" s="10"/>
      <c r="J46" s="10"/>
      <c r="K46" s="10"/>
    </row>
    <row r="47" spans="1:11">
      <c r="A47" s="64">
        <f t="shared" si="1"/>
        <v>42</v>
      </c>
      <c r="B47" s="666"/>
      <c r="C47" s="300" t="s">
        <v>2534</v>
      </c>
      <c r="D47" s="731">
        <f>D44/D46</f>
        <v>0.37071557426337942</v>
      </c>
      <c r="E47" s="300" t="str">
        <f>" = L"&amp;A44&amp;" / L"&amp;A46&amp;""</f>
        <v xml:space="preserve"> = L39 / L41</v>
      </c>
      <c r="F47" s="10"/>
      <c r="G47" s="10"/>
      <c r="H47" s="10"/>
      <c r="I47" s="10"/>
      <c r="J47" s="10"/>
      <c r="K47" s="10"/>
    </row>
    <row r="48" spans="1:11">
      <c r="A48" s="64">
        <f t="shared" si="1"/>
        <v>43</v>
      </c>
      <c r="B48" s="10"/>
      <c r="C48" s="48"/>
      <c r="D48" s="10"/>
      <c r="E48" s="10"/>
      <c r="F48" s="10"/>
      <c r="G48" s="10"/>
      <c r="H48" s="10"/>
      <c r="I48" s="10"/>
      <c r="J48" s="10"/>
      <c r="K48" s="10"/>
    </row>
    <row r="49" spans="1:11">
      <c r="A49" s="64">
        <f t="shared" si="1"/>
        <v>44</v>
      </c>
      <c r="B49" s="300" t="s">
        <v>2535</v>
      </c>
      <c r="C49" s="10"/>
      <c r="D49" s="74" t="s">
        <v>2514</v>
      </c>
      <c r="E49" s="74" t="s">
        <v>98</v>
      </c>
      <c r="F49" s="10"/>
      <c r="G49" s="369" t="s">
        <v>2515</v>
      </c>
      <c r="H49" s="10"/>
      <c r="I49" s="10"/>
      <c r="J49" s="10"/>
      <c r="K49" s="10"/>
    </row>
    <row r="50" spans="1:11">
      <c r="A50" s="64">
        <f t="shared" si="1"/>
        <v>45</v>
      </c>
      <c r="B50" s="666"/>
      <c r="C50" s="300" t="s">
        <v>2536</v>
      </c>
      <c r="D50" s="765">
        <v>0</v>
      </c>
      <c r="E50" s="74"/>
      <c r="F50" s="10"/>
      <c r="G50" s="399" t="s">
        <v>1611</v>
      </c>
      <c r="H50" s="10"/>
      <c r="I50" s="10"/>
      <c r="J50" s="10"/>
      <c r="K50" s="10"/>
    </row>
    <row r="51" spans="1:11">
      <c r="A51" s="64">
        <f t="shared" si="1"/>
        <v>46</v>
      </c>
      <c r="B51" s="666"/>
      <c r="C51" s="300" t="s">
        <v>2537</v>
      </c>
      <c r="D51" s="765">
        <v>8841</v>
      </c>
      <c r="E51" s="74"/>
      <c r="F51" s="10"/>
      <c r="G51" s="399" t="s">
        <v>1612</v>
      </c>
      <c r="H51" s="10"/>
      <c r="I51" s="10"/>
      <c r="J51" s="10"/>
      <c r="K51" s="10"/>
    </row>
    <row r="52" spans="1:11">
      <c r="A52" s="64">
        <f t="shared" si="1"/>
        <v>47</v>
      </c>
      <c r="B52" s="666"/>
      <c r="C52" s="300" t="s">
        <v>2538</v>
      </c>
      <c r="D52" s="66">
        <f>D50+D51</f>
        <v>8841</v>
      </c>
      <c r="E52" s="300" t="str">
        <f>" = L"&amp;A50&amp;" + L"&amp;A51&amp;""</f>
        <v xml:space="preserve"> = L45 + L46</v>
      </c>
      <c r="F52" s="10"/>
      <c r="G52" s="399" t="s">
        <v>1613</v>
      </c>
      <c r="H52" s="10"/>
      <c r="I52" s="10"/>
      <c r="J52" s="10"/>
      <c r="K52" s="10"/>
    </row>
    <row r="53" spans="1:11">
      <c r="A53" s="64">
        <f t="shared" si="1"/>
        <v>48</v>
      </c>
      <c r="B53" s="666"/>
      <c r="C53" s="300" t="s">
        <v>2539</v>
      </c>
      <c r="D53" s="731">
        <f>D50/D52</f>
        <v>0</v>
      </c>
      <c r="E53" s="300" t="str">
        <f>" = L"&amp;A50&amp;" / L"&amp;A52&amp;""</f>
        <v xml:space="preserve"> = L45 / L47</v>
      </c>
      <c r="F53" s="10"/>
      <c r="G53" s="399" t="s">
        <v>1614</v>
      </c>
      <c r="H53" s="10"/>
      <c r="I53" s="10"/>
      <c r="J53" s="10"/>
      <c r="K53" s="10"/>
    </row>
    <row r="54" spans="1:11">
      <c r="A54" s="379"/>
      <c r="B54" s="768"/>
      <c r="C54" s="768"/>
      <c r="D54" s="768"/>
      <c r="E54" s="10"/>
      <c r="F54" s="10"/>
      <c r="G54" s="10"/>
      <c r="H54" s="10"/>
      <c r="I54" s="10"/>
      <c r="J54" s="10"/>
      <c r="K54" s="10"/>
    </row>
    <row r="55" spans="1:11">
      <c r="A55" s="379"/>
      <c r="B55" s="768"/>
      <c r="C55" s="768"/>
      <c r="D55" s="768"/>
      <c r="E55" s="10"/>
      <c r="F55" s="10"/>
      <c r="G55" s="10"/>
      <c r="H55" s="10"/>
      <c r="I55" s="10"/>
      <c r="J55" s="10"/>
      <c r="K55" s="10"/>
    </row>
    <row r="56" spans="1:11">
      <c r="A56" s="379"/>
      <c r="B56" s="768"/>
      <c r="C56" s="768"/>
      <c r="D56" s="768"/>
      <c r="E56" s="10"/>
      <c r="F56" s="10"/>
      <c r="G56" s="10"/>
      <c r="H56" s="10"/>
      <c r="I56" s="10"/>
      <c r="J56" s="10"/>
      <c r="K56" s="10"/>
    </row>
    <row r="57" spans="1:11">
      <c r="A57" s="379"/>
      <c r="B57" s="768"/>
      <c r="C57" s="768"/>
      <c r="D57" s="768"/>
      <c r="E57" s="768"/>
      <c r="F57" s="768"/>
      <c r="G57" s="768"/>
      <c r="H57" s="768"/>
      <c r="I57" s="768"/>
      <c r="J57" s="768"/>
      <c r="K57" s="768"/>
    </row>
    <row r="58" spans="1:11">
      <c r="A58" s="379"/>
      <c r="B58" s="768"/>
      <c r="C58" s="768"/>
      <c r="D58" s="768"/>
      <c r="E58" s="768"/>
      <c r="F58" s="768"/>
      <c r="G58" s="768"/>
      <c r="H58" s="768"/>
      <c r="I58" s="768"/>
      <c r="J58" s="768"/>
      <c r="K58" s="768"/>
    </row>
    <row r="59" spans="1:11">
      <c r="A59" s="379"/>
      <c r="B59" s="768"/>
      <c r="C59" s="768"/>
      <c r="D59" s="768"/>
      <c r="E59" s="768"/>
      <c r="F59" s="768"/>
      <c r="G59" s="768"/>
      <c r="H59" s="768"/>
      <c r="I59" s="768"/>
      <c r="J59" s="768"/>
      <c r="K59" s="768"/>
    </row>
    <row r="60" spans="1:11">
      <c r="A60" s="379"/>
      <c r="B60" s="768"/>
      <c r="C60" s="768"/>
      <c r="D60" s="768"/>
      <c r="E60" s="768"/>
      <c r="F60" s="768"/>
      <c r="G60" s="768"/>
      <c r="H60" s="768"/>
      <c r="I60" s="768"/>
      <c r="J60" s="768"/>
      <c r="K60" s="768"/>
    </row>
    <row r="61" spans="1:11">
      <c r="A61" s="379"/>
      <c r="B61" s="768"/>
      <c r="C61" s="768"/>
      <c r="D61" s="768"/>
      <c r="E61" s="768"/>
      <c r="F61" s="768"/>
      <c r="G61" s="768"/>
      <c r="H61" s="768"/>
      <c r="I61" s="768"/>
      <c r="J61" s="768"/>
      <c r="K61" s="768"/>
    </row>
    <row r="62" spans="1:11">
      <c r="A62" s="379"/>
      <c r="B62" s="768"/>
      <c r="C62" s="768"/>
      <c r="D62" s="768"/>
      <c r="E62" s="768"/>
      <c r="F62" s="768"/>
      <c r="G62" s="768"/>
      <c r="H62" s="768"/>
      <c r="I62" s="768"/>
      <c r="J62" s="768"/>
      <c r="K62" s="768"/>
    </row>
    <row r="63" spans="1:11">
      <c r="A63" s="379"/>
      <c r="B63" s="768"/>
      <c r="C63" s="768"/>
      <c r="D63" s="768"/>
      <c r="E63" s="768"/>
      <c r="F63" s="768"/>
      <c r="G63" s="768"/>
      <c r="H63" s="768"/>
      <c r="I63" s="768"/>
      <c r="J63" s="768"/>
      <c r="K63" s="768"/>
    </row>
    <row r="64" spans="1:11">
      <c r="A64" s="379"/>
      <c r="B64" s="768"/>
      <c r="C64" s="768"/>
      <c r="D64" s="768"/>
      <c r="E64" s="768"/>
      <c r="F64" s="768"/>
      <c r="G64" s="768"/>
      <c r="H64" s="768"/>
      <c r="I64" s="768"/>
      <c r="J64" s="768"/>
      <c r="K64" s="768"/>
    </row>
    <row r="65" spans="1:1">
      <c r="A65" s="379"/>
    </row>
  </sheetData>
  <phoneticPr fontId="22" type="noConversion"/>
  <pageMargins left="0.75" right="0.75" top="1" bottom="1" header="0.5" footer="0.5"/>
  <pageSetup scale="70" orientation="landscape" cellComments="asDisplayed" r:id="rId1"/>
  <headerFooter alignWithMargins="0">
    <oddHeader>&amp;CSchedule 27
Allocation Factors
&amp;RTO2020 Draft Annual Update 
Attachment1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2540</v>
      </c>
      <c r="B1" s="768"/>
      <c r="C1" s="768"/>
      <c r="D1" s="768"/>
      <c r="E1" s="768"/>
      <c r="F1" s="768"/>
      <c r="G1" s="768"/>
      <c r="H1" s="768"/>
      <c r="I1" s="768"/>
    </row>
    <row r="3" spans="1:9">
      <c r="A3" s="768"/>
      <c r="B3" s="1" t="s">
        <v>2541</v>
      </c>
      <c r="C3" s="768"/>
      <c r="D3" s="768"/>
      <c r="E3" s="768"/>
      <c r="F3" s="768"/>
      <c r="G3" s="768"/>
      <c r="H3" s="768"/>
      <c r="I3" s="58" t="s">
        <v>738</v>
      </c>
    </row>
    <row r="4" spans="1:9">
      <c r="A4" s="768"/>
      <c r="B4" s="1"/>
      <c r="C4" s="768"/>
      <c r="D4" s="768"/>
      <c r="E4" s="768"/>
      <c r="F4" s="768"/>
      <c r="G4" s="768"/>
      <c r="H4" s="768"/>
      <c r="I4" s="10"/>
    </row>
    <row r="5" spans="1:9">
      <c r="A5" s="768"/>
      <c r="B5" s="768"/>
      <c r="C5" s="768"/>
      <c r="D5" s="768"/>
      <c r="E5" s="64" t="s">
        <v>2542</v>
      </c>
      <c r="F5" s="768"/>
      <c r="G5" s="768"/>
      <c r="H5" s="768"/>
      <c r="I5" s="768"/>
    </row>
    <row r="6" spans="1:9">
      <c r="A6" s="28" t="s">
        <v>243</v>
      </c>
      <c r="B6" s="768"/>
      <c r="C6" s="2" t="s">
        <v>478</v>
      </c>
      <c r="D6" s="2" t="s">
        <v>479</v>
      </c>
      <c r="E6" s="732" t="s">
        <v>1024</v>
      </c>
      <c r="F6" s="768"/>
      <c r="G6" s="2" t="s">
        <v>2543</v>
      </c>
      <c r="H6" s="768"/>
      <c r="I6" s="28" t="s">
        <v>251</v>
      </c>
    </row>
    <row r="7" spans="1:9">
      <c r="A7" s="379">
        <v>1</v>
      </c>
      <c r="B7" s="768"/>
      <c r="C7" s="94">
        <v>2018</v>
      </c>
      <c r="D7" s="770" t="s">
        <v>2544</v>
      </c>
      <c r="E7" s="58">
        <v>365</v>
      </c>
      <c r="F7" s="768"/>
      <c r="G7" s="782">
        <v>9.2440000000000005E-3</v>
      </c>
      <c r="H7" s="768"/>
      <c r="I7" s="541" t="s">
        <v>2545</v>
      </c>
    </row>
    <row r="8" spans="1:9">
      <c r="A8" s="379">
        <v>2</v>
      </c>
      <c r="B8" s="768"/>
      <c r="C8" s="58"/>
      <c r="D8" s="58"/>
      <c r="E8" s="58"/>
      <c r="F8" s="768"/>
      <c r="G8" s="58"/>
      <c r="H8" s="768"/>
      <c r="I8" s="770"/>
    </row>
    <row r="10" spans="1:9">
      <c r="A10" s="768"/>
      <c r="B10" s="1" t="s">
        <v>2546</v>
      </c>
      <c r="C10" s="768"/>
      <c r="D10" s="768"/>
      <c r="E10" s="768"/>
      <c r="F10" s="768"/>
      <c r="G10" s="768"/>
      <c r="H10" s="768"/>
      <c r="I10" s="768"/>
    </row>
    <row r="11" spans="1:9">
      <c r="A11" s="768"/>
      <c r="B11" s="1"/>
      <c r="C11" s="768"/>
      <c r="D11" s="768"/>
      <c r="E11" s="768"/>
      <c r="F11" s="768"/>
      <c r="G11" s="768"/>
      <c r="H11" s="768"/>
      <c r="I11" s="768"/>
    </row>
    <row r="12" spans="1:9">
      <c r="A12" s="768"/>
      <c r="B12" s="768"/>
      <c r="C12" s="768"/>
      <c r="D12" s="768"/>
      <c r="E12" s="64" t="s">
        <v>2542</v>
      </c>
      <c r="F12" s="768"/>
      <c r="G12" s="768"/>
      <c r="H12" s="768"/>
      <c r="I12" s="768"/>
    </row>
    <row r="13" spans="1:9">
      <c r="A13" s="768"/>
      <c r="B13" s="768"/>
      <c r="C13" s="2" t="s">
        <v>478</v>
      </c>
      <c r="D13" s="2" t="s">
        <v>479</v>
      </c>
      <c r="E13" s="732" t="s">
        <v>1024</v>
      </c>
      <c r="F13" s="768"/>
      <c r="G13" s="2" t="s">
        <v>2547</v>
      </c>
      <c r="H13" s="768"/>
      <c r="I13" s="28" t="s">
        <v>251</v>
      </c>
    </row>
    <row r="14" spans="1:9">
      <c r="A14" s="379">
        <v>3</v>
      </c>
      <c r="B14" s="768"/>
      <c r="C14" s="94">
        <v>2018</v>
      </c>
      <c r="D14" s="58" t="s">
        <v>2544</v>
      </c>
      <c r="E14" s="58">
        <v>365</v>
      </c>
      <c r="F14" s="768"/>
      <c r="G14" s="53">
        <v>2.134E-3</v>
      </c>
      <c r="H14" s="768"/>
      <c r="I14" s="770" t="s">
        <v>2548</v>
      </c>
    </row>
    <row r="15" spans="1:9">
      <c r="A15" s="379">
        <v>4</v>
      </c>
      <c r="B15" s="768"/>
      <c r="C15" s="94"/>
      <c r="D15" s="58"/>
      <c r="E15" s="58"/>
      <c r="F15" s="768"/>
      <c r="G15" s="53"/>
      <c r="H15" s="768"/>
      <c r="I15" s="770"/>
    </row>
    <row r="18" spans="1:9">
      <c r="A18" s="768"/>
      <c r="B18" s="1" t="s">
        <v>2549</v>
      </c>
      <c r="C18" s="768"/>
      <c r="D18" s="768"/>
      <c r="E18" s="768"/>
      <c r="F18" s="768"/>
      <c r="G18" s="768"/>
      <c r="H18" s="768"/>
      <c r="I18" s="768"/>
    </row>
    <row r="19" spans="1:9">
      <c r="A19" s="768"/>
      <c r="B19" s="1"/>
      <c r="C19" s="768"/>
      <c r="D19" s="768"/>
      <c r="E19" s="768"/>
      <c r="F19" s="768"/>
      <c r="G19" s="768"/>
      <c r="H19" s="768"/>
      <c r="I19" s="768"/>
    </row>
    <row r="20" spans="1:9">
      <c r="A20" s="768"/>
      <c r="B20" s="768"/>
      <c r="C20" s="379" t="s">
        <v>387</v>
      </c>
      <c r="D20" s="379"/>
      <c r="E20" s="379"/>
      <c r="F20" s="768"/>
      <c r="G20" s="768"/>
      <c r="H20" s="768"/>
      <c r="I20" s="768"/>
    </row>
    <row r="21" spans="1:9">
      <c r="A21" s="768"/>
      <c r="B21" s="768"/>
      <c r="C21" s="2" t="s">
        <v>343</v>
      </c>
      <c r="D21" s="2" t="s">
        <v>2543</v>
      </c>
      <c r="E21" s="2" t="s">
        <v>2547</v>
      </c>
      <c r="F21" s="768"/>
      <c r="G21" s="768"/>
      <c r="H21" s="768"/>
      <c r="I21" s="28" t="s">
        <v>98</v>
      </c>
    </row>
    <row r="22" spans="1:9">
      <c r="A22" s="379">
        <v>5</v>
      </c>
      <c r="B22" s="768"/>
      <c r="C22" s="95">
        <v>2018</v>
      </c>
      <c r="D22" s="733">
        <f>E41</f>
        <v>9.2440000000000005E-3</v>
      </c>
      <c r="E22" s="733">
        <f>E42</f>
        <v>2.134E-3</v>
      </c>
      <c r="F22" s="10"/>
      <c r="G22" s="10"/>
      <c r="H22" s="10"/>
      <c r="I22" s="300" t="s">
        <v>2550</v>
      </c>
    </row>
    <row r="24" spans="1:9">
      <c r="A24" s="768"/>
      <c r="B24" s="1" t="s">
        <v>226</v>
      </c>
      <c r="C24" s="768"/>
      <c r="D24" s="768"/>
      <c r="E24" s="768"/>
      <c r="F24" s="768"/>
      <c r="G24" s="768"/>
      <c r="H24" s="768"/>
      <c r="I24" s="768"/>
    </row>
    <row r="25" spans="1:9">
      <c r="A25" s="768"/>
      <c r="B25" s="298" t="s">
        <v>2551</v>
      </c>
      <c r="C25" s="768"/>
      <c r="D25" s="768"/>
      <c r="E25" s="768"/>
      <c r="F25" s="768"/>
      <c r="G25" s="768"/>
      <c r="H25" s="768"/>
      <c r="I25" s="768"/>
    </row>
    <row r="26" spans="1:9">
      <c r="A26" s="768"/>
      <c r="B26" s="298" t="s">
        <v>2552</v>
      </c>
      <c r="C26" s="768"/>
      <c r="D26" s="768"/>
      <c r="E26" s="768"/>
      <c r="F26" s="768"/>
      <c r="G26" s="768"/>
      <c r="H26" s="768"/>
      <c r="I26" s="768"/>
    </row>
    <row r="28" spans="1:9">
      <c r="A28" s="768"/>
      <c r="B28" s="1" t="s">
        <v>408</v>
      </c>
      <c r="C28" s="768"/>
      <c r="D28" s="768"/>
      <c r="E28" s="768"/>
      <c r="F28" s="768"/>
      <c r="G28" s="768"/>
      <c r="H28" s="768"/>
      <c r="I28" s="768"/>
    </row>
    <row r="29" spans="1:9">
      <c r="A29" s="768"/>
      <c r="B29" s="300" t="s">
        <v>2553</v>
      </c>
      <c r="C29" s="10"/>
      <c r="D29" s="10"/>
      <c r="E29" s="10"/>
      <c r="F29" s="10"/>
      <c r="G29" s="10"/>
      <c r="H29" s="10"/>
      <c r="I29" s="10"/>
    </row>
    <row r="30" spans="1:9">
      <c r="A30" s="768"/>
      <c r="B30" s="300" t="s">
        <v>2554</v>
      </c>
      <c r="C30" s="10"/>
      <c r="D30" s="10"/>
      <c r="E30" s="10"/>
      <c r="F30" s="10"/>
      <c r="G30" s="10"/>
      <c r="H30" s="10"/>
      <c r="I30" s="10"/>
    </row>
    <row r="31" spans="1:9">
      <c r="A31" s="768"/>
      <c r="B31" s="300" t="s">
        <v>2555</v>
      </c>
      <c r="C31" s="10"/>
      <c r="D31" s="10"/>
      <c r="E31" s="10"/>
      <c r="F31" s="10"/>
      <c r="G31" s="10"/>
      <c r="H31" s="10"/>
      <c r="I31" s="10"/>
    </row>
    <row r="32" spans="1:9">
      <c r="A32" s="768"/>
      <c r="B32" s="300" t="s">
        <v>2556</v>
      </c>
      <c r="C32" s="10"/>
      <c r="D32" s="10"/>
      <c r="E32" s="10"/>
      <c r="F32" s="10"/>
      <c r="G32" s="10"/>
      <c r="H32" s="10"/>
      <c r="I32" s="10"/>
    </row>
    <row r="33" spans="2:9">
      <c r="B33" s="300" t="s">
        <v>2557</v>
      </c>
      <c r="C33" s="10"/>
      <c r="D33" s="10"/>
      <c r="E33" s="10"/>
      <c r="F33" s="10"/>
      <c r="G33" s="10"/>
      <c r="H33" s="10"/>
      <c r="I33" s="10"/>
    </row>
    <row r="34" spans="2:9">
      <c r="B34" s="300" t="s">
        <v>2558</v>
      </c>
      <c r="C34" s="10"/>
      <c r="D34" s="10"/>
      <c r="E34" s="10"/>
      <c r="F34" s="10"/>
      <c r="G34" s="10"/>
      <c r="H34" s="10"/>
      <c r="I34" s="10"/>
    </row>
    <row r="35" spans="2:9">
      <c r="B35" s="300" t="s">
        <v>2559</v>
      </c>
      <c r="C35" s="10"/>
      <c r="D35" s="10"/>
      <c r="E35" s="10"/>
      <c r="F35" s="10"/>
      <c r="G35" s="10"/>
      <c r="H35" s="10"/>
      <c r="I35" s="10"/>
    </row>
    <row r="36" spans="2:9">
      <c r="B36" s="300" t="s">
        <v>2560</v>
      </c>
      <c r="C36" s="10"/>
      <c r="D36" s="10"/>
      <c r="E36" s="10"/>
      <c r="F36" s="10"/>
      <c r="G36" s="10"/>
      <c r="H36" s="10"/>
      <c r="I36" s="10"/>
    </row>
    <row r="37" spans="2:9">
      <c r="B37" s="300" t="s">
        <v>2561</v>
      </c>
      <c r="C37" s="10"/>
      <c r="D37" s="10"/>
      <c r="E37" s="10"/>
      <c r="F37" s="10"/>
      <c r="G37" s="10"/>
      <c r="H37" s="10"/>
      <c r="I37" s="10"/>
    </row>
    <row r="38" spans="2:9">
      <c r="B38" s="300" t="s">
        <v>2562</v>
      </c>
      <c r="C38" s="10"/>
      <c r="D38" s="10"/>
      <c r="E38" s="10"/>
      <c r="F38" s="10"/>
      <c r="G38" s="10"/>
      <c r="H38" s="10"/>
      <c r="I38" s="10"/>
    </row>
    <row r="39" spans="2:9">
      <c r="B39" s="10"/>
      <c r="C39" s="10"/>
      <c r="D39" s="10"/>
      <c r="E39" s="10"/>
      <c r="F39" s="10"/>
      <c r="G39" s="10"/>
      <c r="H39" s="10"/>
      <c r="I39" s="10"/>
    </row>
    <row r="40" spans="2:9">
      <c r="B40" s="10"/>
      <c r="C40" s="10"/>
      <c r="D40" s="10"/>
      <c r="E40" s="74" t="s">
        <v>1631</v>
      </c>
      <c r="F40" s="10"/>
      <c r="G40" s="663" t="s">
        <v>441</v>
      </c>
      <c r="H40" s="10"/>
      <c r="I40" s="10"/>
    </row>
    <row r="41" spans="2:9">
      <c r="B41" s="10"/>
      <c r="C41" s="10"/>
      <c r="D41" s="669" t="s">
        <v>2563</v>
      </c>
      <c r="E41" s="733">
        <f>((G7*E7) + (G8*E8))/(E7+E8)</f>
        <v>9.2440000000000005E-3</v>
      </c>
      <c r="F41" s="10"/>
      <c r="G41" s="399" t="s">
        <v>2564</v>
      </c>
      <c r="H41" s="10"/>
      <c r="I41" s="10"/>
    </row>
    <row r="42" spans="2:9">
      <c r="B42" s="10"/>
      <c r="C42" s="10"/>
      <c r="D42" s="669" t="s">
        <v>2565</v>
      </c>
      <c r="E42" s="733">
        <f>((G14*E14) + (G15*E15))/(E14+E15)</f>
        <v>2.134E-3</v>
      </c>
      <c r="F42" s="10"/>
      <c r="G42" s="399" t="s">
        <v>2566</v>
      </c>
      <c r="H42" s="10"/>
      <c r="I42" s="10"/>
    </row>
  </sheetData>
  <phoneticPr fontId="22" type="noConversion"/>
  <pageMargins left="0.75" right="0.75" top="1" bottom="1" header="0.5" footer="0.5"/>
  <pageSetup scale="82" orientation="portrait" cellComments="asDisplayed" r:id="rId1"/>
  <headerFooter alignWithMargins="0">
    <oddHeader>&amp;CSchedule 28
FF and U
&amp;RTO2020 Draft Annual Update 
Attachment1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110" zoomScaleNormal="110" workbookViewId="0"/>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2567</v>
      </c>
      <c r="B1" s="768"/>
      <c r="C1" s="768"/>
      <c r="D1" s="768"/>
      <c r="E1" s="768"/>
      <c r="F1" s="768"/>
      <c r="G1" s="768"/>
      <c r="H1" s="768"/>
      <c r="I1" s="768"/>
      <c r="J1" s="768"/>
    </row>
    <row r="2" spans="1:10">
      <c r="A2" s="768"/>
      <c r="B2" s="768"/>
      <c r="C2" s="768"/>
      <c r="D2" s="768"/>
      <c r="E2" s="768"/>
      <c r="F2" s="768"/>
      <c r="G2" s="24" t="s">
        <v>738</v>
      </c>
      <c r="H2" s="24"/>
      <c r="I2" s="58"/>
      <c r="J2" s="768"/>
    </row>
    <row r="3" spans="1:10">
      <c r="A3" s="2" t="s">
        <v>243</v>
      </c>
      <c r="B3" s="2" t="s">
        <v>2568</v>
      </c>
      <c r="C3" s="768"/>
      <c r="D3" s="768"/>
      <c r="E3" s="768"/>
      <c r="F3" s="28" t="s">
        <v>98</v>
      </c>
      <c r="G3" s="28" t="s">
        <v>763</v>
      </c>
      <c r="H3" s="768"/>
      <c r="I3" s="768"/>
      <c r="J3" s="28"/>
    </row>
    <row r="4" spans="1:10">
      <c r="A4" s="379">
        <v>1</v>
      </c>
      <c r="B4" s="311">
        <f ca="1">'1-BaseTRR'!K156</f>
        <v>1319693955.4224732</v>
      </c>
      <c r="C4" s="29" t="s">
        <v>2569</v>
      </c>
      <c r="D4" s="768"/>
      <c r="E4" s="768"/>
      <c r="F4" s="768"/>
      <c r="G4" s="300" t="str">
        <f>"1-BaseTRR, Line "&amp;'1-BaseTRR'!A156&amp;""</f>
        <v>1-BaseTRR, Line 89</v>
      </c>
      <c r="H4" s="10"/>
      <c r="I4" s="768"/>
      <c r="J4" s="768"/>
    </row>
    <row r="5" spans="1:10">
      <c r="A5" s="379">
        <f t="shared" ref="A5:A10" si="0">A4+1</f>
        <v>2</v>
      </c>
      <c r="B5" s="807">
        <v>-72958322</v>
      </c>
      <c r="C5" s="29" t="s">
        <v>2570</v>
      </c>
      <c r="D5" s="768"/>
      <c r="E5" s="768"/>
      <c r="F5" s="300" t="s">
        <v>150</v>
      </c>
      <c r="G5" s="797" t="s">
        <v>2571</v>
      </c>
      <c r="H5" s="799"/>
      <c r="I5" s="797"/>
      <c r="J5" s="768"/>
    </row>
    <row r="6" spans="1:10">
      <c r="A6" s="379">
        <f t="shared" si="0"/>
        <v>3</v>
      </c>
      <c r="B6" s="807">
        <v>-72644844</v>
      </c>
      <c r="C6" s="29" t="s">
        <v>2572</v>
      </c>
      <c r="D6" s="768"/>
      <c r="E6" s="768"/>
      <c r="F6" s="10"/>
      <c r="G6" s="797" t="s">
        <v>2571</v>
      </c>
      <c r="H6" s="799"/>
      <c r="I6" s="797"/>
      <c r="J6" s="768"/>
    </row>
    <row r="7" spans="1:10">
      <c r="A7" s="379">
        <f t="shared" si="0"/>
        <v>4</v>
      </c>
      <c r="B7" s="807">
        <v>-313478</v>
      </c>
      <c r="C7" s="29" t="s">
        <v>2573</v>
      </c>
      <c r="D7" s="768"/>
      <c r="E7" s="768"/>
      <c r="F7" s="10"/>
      <c r="G7" s="797" t="s">
        <v>2571</v>
      </c>
      <c r="H7" s="799"/>
      <c r="I7" s="797"/>
      <c r="J7" s="768"/>
    </row>
    <row r="8" spans="1:10">
      <c r="A8" s="379">
        <f t="shared" si="0"/>
        <v>5</v>
      </c>
      <c r="B8" s="311">
        <f ca="1">-'33-RetailRates'!E61</f>
        <v>-9311420.4461445268</v>
      </c>
      <c r="C8" s="29" t="s">
        <v>2574</v>
      </c>
      <c r="D8" s="768"/>
      <c r="E8" s="768"/>
      <c r="F8" s="10" t="s">
        <v>170</v>
      </c>
      <c r="G8" s="768" t="s">
        <v>2575</v>
      </c>
      <c r="H8" s="768"/>
      <c r="I8" s="768"/>
      <c r="J8" s="768"/>
    </row>
    <row r="9" spans="1:10">
      <c r="A9" s="379">
        <f t="shared" si="0"/>
        <v>6</v>
      </c>
      <c r="B9" s="6">
        <f>'31-HVLV'!C45</f>
        <v>0.97028862389640069</v>
      </c>
      <c r="C9" s="29" t="s">
        <v>2576</v>
      </c>
      <c r="D9" s="768"/>
      <c r="E9" s="768"/>
      <c r="F9" s="768"/>
      <c r="G9" s="300" t="str">
        <f>"31-HVLV, Line "&amp;'31-HVLV'!A45&amp;""</f>
        <v>31-HVLV, Line 37</v>
      </c>
      <c r="H9" s="10"/>
      <c r="I9" s="10"/>
      <c r="J9" s="768"/>
    </row>
    <row r="10" spans="1:10">
      <c r="A10" s="379">
        <f t="shared" si="0"/>
        <v>7</v>
      </c>
      <c r="B10" s="6">
        <f>'31-HVLV'!D45</f>
        <v>2.9711376103599432E-2</v>
      </c>
      <c r="C10" s="29" t="s">
        <v>2577</v>
      </c>
      <c r="D10" s="768"/>
      <c r="E10" s="768"/>
      <c r="F10" s="768"/>
      <c r="G10" s="300" t="str">
        <f>"31-HVLV, Line "&amp;'31-HVLV'!A45&amp;""</f>
        <v>31-HVLV, Line 37</v>
      </c>
      <c r="H10" s="10"/>
      <c r="I10" s="10"/>
      <c r="J10" s="768"/>
    </row>
    <row r="11" spans="1:10">
      <c r="A11" s="768"/>
      <c r="B11" s="768"/>
      <c r="C11" s="18"/>
      <c r="D11" s="1270"/>
      <c r="E11" s="1270"/>
      <c r="F11" s="1270"/>
      <c r="G11" s="1270"/>
      <c r="H11" s="1270"/>
      <c r="I11" s="768"/>
      <c r="J11" s="1270"/>
    </row>
    <row r="12" spans="1:10">
      <c r="A12" s="768"/>
      <c r="B12" s="1" t="s">
        <v>2578</v>
      </c>
      <c r="C12" s="18"/>
      <c r="D12" s="1270"/>
      <c r="E12" s="1270"/>
      <c r="F12" s="1270"/>
      <c r="G12" s="1270"/>
      <c r="H12" s="1270"/>
      <c r="I12" s="768"/>
      <c r="J12" s="768"/>
    </row>
    <row r="13" spans="1:10">
      <c r="A13" s="768"/>
      <c r="B13" s="1"/>
      <c r="C13" s="18"/>
      <c r="D13" s="1270"/>
      <c r="E13" s="1270"/>
      <c r="F13" s="1270"/>
      <c r="G13" s="1270"/>
      <c r="H13" s="1270"/>
      <c r="I13" s="768"/>
      <c r="J13" s="768"/>
    </row>
    <row r="14" spans="1:10">
      <c r="A14" s="768"/>
      <c r="B14" s="1"/>
      <c r="C14" s="18"/>
      <c r="D14" s="52" t="s">
        <v>307</v>
      </c>
      <c r="E14" s="52" t="s">
        <v>308</v>
      </c>
      <c r="F14" s="52" t="s">
        <v>309</v>
      </c>
      <c r="G14" s="1270"/>
      <c r="H14" s="1270"/>
      <c r="I14" s="768"/>
      <c r="J14" s="768"/>
    </row>
    <row r="15" spans="1:10">
      <c r="A15" s="768"/>
      <c r="B15" s="1"/>
      <c r="C15" s="18"/>
      <c r="D15" s="768"/>
      <c r="E15" s="768"/>
      <c r="F15" s="1270"/>
      <c r="G15" s="1270"/>
      <c r="H15" s="1270"/>
      <c r="I15" s="768"/>
      <c r="J15" s="768"/>
    </row>
    <row r="16" spans="1:10">
      <c r="A16" s="768"/>
      <c r="B16" s="768"/>
      <c r="C16" s="768"/>
      <c r="D16" s="768"/>
      <c r="E16" s="379" t="s">
        <v>2579</v>
      </c>
      <c r="F16" s="379" t="s">
        <v>2580</v>
      </c>
      <c r="G16" s="768"/>
      <c r="H16" s="768"/>
      <c r="I16" s="768"/>
      <c r="J16" s="768"/>
    </row>
    <row r="17" spans="1:9">
      <c r="A17" s="768"/>
      <c r="B17" s="768"/>
      <c r="C17" s="18"/>
      <c r="D17" s="2" t="s">
        <v>2581</v>
      </c>
      <c r="E17" s="2" t="s">
        <v>2582</v>
      </c>
      <c r="F17" s="2" t="s">
        <v>2582</v>
      </c>
      <c r="G17" s="2"/>
      <c r="H17" s="2" t="s">
        <v>763</v>
      </c>
      <c r="I17" s="768"/>
    </row>
    <row r="18" spans="1:9">
      <c r="A18" s="379">
        <f>A10+1</f>
        <v>8</v>
      </c>
      <c r="B18" s="54"/>
      <c r="C18" s="40" t="s">
        <v>2583</v>
      </c>
      <c r="D18" s="5">
        <f ca="1">B4</f>
        <v>1319693955.4224732</v>
      </c>
      <c r="E18" s="5">
        <f ca="1">D18*B9</f>
        <v>1280484031.9712694</v>
      </c>
      <c r="F18" s="5">
        <f ca="1">D18*B10</f>
        <v>39209923.451203883</v>
      </c>
      <c r="G18" s="5"/>
      <c r="H18" s="300" t="s">
        <v>318</v>
      </c>
      <c r="I18" s="768"/>
    </row>
    <row r="19" spans="1:9">
      <c r="A19" s="379">
        <f>A18+1</f>
        <v>9</v>
      </c>
      <c r="B19" s="54"/>
      <c r="C19" s="40" t="s">
        <v>2584</v>
      </c>
      <c r="D19" s="5">
        <f>'24-CWIPTRR'!E145</f>
        <v>133292914.8806138</v>
      </c>
      <c r="E19" s="5">
        <f>'24-CWIPTRR'!E145</f>
        <v>133292914.8806138</v>
      </c>
      <c r="F19" s="5">
        <v>0</v>
      </c>
      <c r="G19" s="5"/>
      <c r="H19" s="300" t="s">
        <v>319</v>
      </c>
      <c r="I19" s="768"/>
    </row>
    <row r="20" spans="1:9">
      <c r="A20" s="379">
        <f>A19+1</f>
        <v>10</v>
      </c>
      <c r="B20" s="54"/>
      <c r="C20" s="40" t="s">
        <v>2585</v>
      </c>
      <c r="D20" s="5">
        <f ca="1">D18-D19</f>
        <v>1186401040.5418594</v>
      </c>
      <c r="E20" s="5">
        <f t="shared" ref="E20:F20" ca="1" si="1">E18-E19</f>
        <v>1147191117.0906556</v>
      </c>
      <c r="F20" s="5">
        <f t="shared" ca="1" si="1"/>
        <v>39209923.451203883</v>
      </c>
      <c r="G20" s="5"/>
      <c r="H20" s="300" t="s">
        <v>321</v>
      </c>
      <c r="I20" s="768"/>
    </row>
    <row r="21" spans="1:9">
      <c r="A21" s="768"/>
      <c r="B21" s="54"/>
      <c r="C21" s="54"/>
      <c r="D21" s="5"/>
      <c r="E21" s="5"/>
      <c r="F21" s="5"/>
      <c r="G21" s="5"/>
      <c r="H21" s="10"/>
      <c r="I21" s="768"/>
    </row>
    <row r="22" spans="1:9">
      <c r="A22" s="379">
        <f>A20+1</f>
        <v>11</v>
      </c>
      <c r="B22" s="1"/>
      <c r="C22" s="40" t="s">
        <v>2586</v>
      </c>
      <c r="D22" s="5">
        <f>B5</f>
        <v>-72958322</v>
      </c>
      <c r="E22" s="5">
        <f>B6</f>
        <v>-72644844</v>
      </c>
      <c r="F22" s="5">
        <f>B7</f>
        <v>-313478</v>
      </c>
      <c r="G22" s="5"/>
      <c r="H22" s="10" t="str">
        <f>"Lines "&amp;A5&amp;" to "&amp;A7&amp;""</f>
        <v>Lines 2 to 4</v>
      </c>
      <c r="I22" s="768"/>
    </row>
    <row r="23" spans="1:9">
      <c r="A23" s="768"/>
      <c r="B23" s="1"/>
      <c r="C23" s="40"/>
      <c r="D23" s="5"/>
      <c r="E23" s="5"/>
      <c r="F23" s="5"/>
      <c r="G23" s="5"/>
      <c r="H23" s="768"/>
      <c r="I23" s="768"/>
    </row>
    <row r="24" spans="1:9">
      <c r="A24" s="379">
        <f>A22+1</f>
        <v>12</v>
      </c>
      <c r="B24" s="1"/>
      <c r="C24" s="40" t="s">
        <v>2587</v>
      </c>
      <c r="D24" s="55">
        <f ca="1">$B$8</f>
        <v>-9311420.4461445268</v>
      </c>
      <c r="E24" s="55">
        <f ca="1">$B$8*$B$9</f>
        <v>-9034765.3312103823</v>
      </c>
      <c r="F24" s="55">
        <f ca="1">$B$8*$B$10</f>
        <v>-276655.11493414565</v>
      </c>
      <c r="G24" s="55"/>
      <c r="H24" s="298" t="s">
        <v>322</v>
      </c>
      <c r="I24" s="768"/>
    </row>
    <row r="25" spans="1:9">
      <c r="A25" s="379"/>
      <c r="B25" s="1"/>
      <c r="C25" s="40"/>
      <c r="D25" s="55"/>
      <c r="E25" s="55"/>
      <c r="F25" s="55"/>
      <c r="G25" s="55"/>
      <c r="H25" s="298"/>
      <c r="I25" s="768"/>
    </row>
    <row r="26" spans="1:9">
      <c r="A26" s="768"/>
      <c r="B26" s="1"/>
      <c r="C26" s="40" t="s">
        <v>2588</v>
      </c>
      <c r="D26" s="55"/>
      <c r="E26" s="55"/>
      <c r="F26" s="55"/>
      <c r="G26" s="55"/>
      <c r="H26" s="768"/>
      <c r="I26" s="768"/>
    </row>
    <row r="27" spans="1:9">
      <c r="A27" s="379">
        <f>A24+1</f>
        <v>13</v>
      </c>
      <c r="B27" s="1"/>
      <c r="C27" s="40" t="s">
        <v>2589</v>
      </c>
      <c r="D27" s="5">
        <f ca="1">D18+D22+D24</f>
        <v>1237424212.9763286</v>
      </c>
      <c r="E27" s="5">
        <f ca="1">E18+E22+E24</f>
        <v>1198804422.640059</v>
      </c>
      <c r="F27" s="5">
        <f ca="1">F18+F22+F24</f>
        <v>38619790.336269736</v>
      </c>
      <c r="G27" s="5"/>
      <c r="H27" s="311" t="str">
        <f>"Sum of Lines "&amp;A18&amp;", "&amp;A22&amp;", and "&amp;A24&amp;""</f>
        <v>Sum of Lines 8, 11, and 12</v>
      </c>
      <c r="I27" s="10"/>
    </row>
    <row r="28" spans="1:9">
      <c r="A28" s="768"/>
      <c r="B28" s="768"/>
      <c r="C28" s="768"/>
      <c r="D28" s="768"/>
      <c r="E28" s="5"/>
      <c r="F28" s="768"/>
      <c r="G28" s="768"/>
      <c r="H28" s="768"/>
      <c r="I28" s="768"/>
    </row>
    <row r="29" spans="1:9">
      <c r="A29" s="768"/>
      <c r="B29" s="28" t="s">
        <v>226</v>
      </c>
      <c r="C29" s="768"/>
      <c r="D29" s="768"/>
      <c r="E29" s="768"/>
      <c r="F29" s="768"/>
      <c r="G29" s="768"/>
      <c r="H29" s="768"/>
      <c r="I29" s="768"/>
    </row>
    <row r="30" spans="1:9">
      <c r="A30" s="768"/>
      <c r="B30" s="298" t="s">
        <v>2590</v>
      </c>
      <c r="C30" s="768"/>
      <c r="D30" s="768"/>
      <c r="E30" s="768"/>
      <c r="F30" s="768"/>
      <c r="G30" s="768"/>
      <c r="H30" s="768"/>
      <c r="I30" s="768"/>
    </row>
    <row r="31" spans="1:9">
      <c r="A31" s="768"/>
      <c r="B31" s="298" t="s">
        <v>2591</v>
      </c>
      <c r="C31" s="768"/>
      <c r="D31" s="768"/>
      <c r="E31" s="768"/>
      <c r="F31" s="768"/>
      <c r="G31" s="768"/>
      <c r="H31" s="768"/>
      <c r="I31" s="768"/>
    </row>
    <row r="32" spans="1:9">
      <c r="A32" s="768"/>
      <c r="B32" s="298" t="s">
        <v>2592</v>
      </c>
      <c r="C32" s="768"/>
      <c r="D32" s="768"/>
      <c r="E32" s="768"/>
      <c r="F32" s="768"/>
      <c r="G32" s="768"/>
      <c r="H32" s="768"/>
      <c r="I32" s="768"/>
    </row>
    <row r="33" spans="2:6">
      <c r="B33" s="300" t="s">
        <v>2593</v>
      </c>
      <c r="C33" s="10"/>
      <c r="D33" s="58" t="s">
        <v>2594</v>
      </c>
      <c r="E33" s="58"/>
      <c r="F33" s="10"/>
    </row>
    <row r="34" spans="2:6">
      <c r="B34" s="300" t="str">
        <f>"3) Column 1 is from Line "&amp;A4&amp;"."</f>
        <v>3) Column 1 is from Line 1.</v>
      </c>
      <c r="C34" s="10"/>
      <c r="D34" s="768"/>
      <c r="E34" s="768"/>
      <c r="F34" s="768"/>
    </row>
    <row r="35" spans="2:6">
      <c r="B35" s="297" t="str">
        <f>"Column 2 equals Column 1 * Line "&amp;A9&amp;"."</f>
        <v>Column 2 equals Column 1 * Line 6.</v>
      </c>
      <c r="C35" s="10"/>
      <c r="D35" s="768"/>
      <c r="E35" s="768"/>
      <c r="F35" s="768"/>
    </row>
    <row r="36" spans="2:6">
      <c r="B36" s="297" t="str">
        <f>"Column 3 equals Column 1 * Line "&amp;A10&amp;"."</f>
        <v>Column 3 equals Column 1 * Line 7.</v>
      </c>
      <c r="C36" s="10"/>
      <c r="D36" s="768"/>
      <c r="E36" s="768"/>
      <c r="F36" s="768"/>
    </row>
    <row r="37" spans="2:6">
      <c r="B37" s="10" t="str">
        <f>"4) From 24-CWIPTRR, Line "&amp;'24-CWIPTRR'!A145&amp;".  All High Voltage."</f>
        <v>4) From 24-CWIPTRR, Line 88.  All High Voltage.</v>
      </c>
      <c r="C37" s="10"/>
      <c r="D37" s="768"/>
      <c r="E37" s="768"/>
      <c r="F37" s="768"/>
    </row>
    <row r="38" spans="2:6">
      <c r="B38" s="10" t="str">
        <f>"5) Line "&amp;A18&amp;" - Line "&amp;A19&amp;""</f>
        <v>5) Line 8 - Line 9</v>
      </c>
      <c r="C38" s="10"/>
      <c r="D38" s="768"/>
      <c r="E38" s="768"/>
      <c r="F38" s="768"/>
    </row>
    <row r="39" spans="2:6">
      <c r="B39" s="300" t="str">
        <f>"6) Column 1 is from Line "&amp;A8&amp;"."</f>
        <v>6) Column 1 is from Line 5.</v>
      </c>
      <c r="C39" s="10"/>
      <c r="D39" s="768"/>
      <c r="E39" s="768"/>
      <c r="F39" s="768"/>
    </row>
    <row r="40" spans="2:6">
      <c r="B40" s="297" t="str">
        <f>"Column 2 equals Column 1 * Line "&amp;A9&amp;"."</f>
        <v>Column 2 equals Column 1 * Line 6.</v>
      </c>
      <c r="C40" s="10"/>
      <c r="D40" s="768"/>
      <c r="E40" s="768"/>
      <c r="F40" s="768"/>
    </row>
    <row r="41" spans="2:6">
      <c r="B41" s="302" t="str">
        <f>"Column 3 equals Column 1 * Line "&amp;A10&amp;"."</f>
        <v>Column 3 equals Column 1 * Line 7.</v>
      </c>
      <c r="C41" s="768"/>
      <c r="D41" s="768"/>
      <c r="E41" s="768"/>
      <c r="F41" s="768"/>
    </row>
  </sheetData>
  <phoneticPr fontId="22" type="noConversion"/>
  <pageMargins left="0.75" right="0.75" top="1" bottom="1" header="0.5" footer="0.5"/>
  <pageSetup scale="90" orientation="landscape" cellComments="asDisplayed" r:id="rId1"/>
  <headerFooter alignWithMargins="0">
    <oddHeader>&amp;CSchedule 29
Wholesale TRRs
&amp;RTO2020 Draft Annual Update 
Attachment1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3"/>
  <sheetViews>
    <sheetView zoomScaleNormal="100" workbookViewId="0"/>
  </sheetViews>
  <sheetFormatPr defaultRowHeight="12.75"/>
  <cols>
    <col min="1" max="2" width="4.7109375" customWidth="1"/>
    <col min="4" max="4" width="24.42578125" customWidth="1"/>
    <col min="5" max="5" width="17.7109375" customWidth="1"/>
    <col min="6" max="6" width="9.140625" style="11"/>
    <col min="7" max="7" width="10.140625" bestFit="1" customWidth="1"/>
  </cols>
  <sheetData>
    <row r="1" spans="1:9">
      <c r="A1" s="1" t="s">
        <v>2595</v>
      </c>
      <c r="B1" s="768"/>
      <c r="C1" s="768"/>
      <c r="D1" s="768"/>
      <c r="E1" s="768"/>
      <c r="G1" s="768"/>
      <c r="H1" s="768"/>
      <c r="I1" s="768"/>
    </row>
    <row r="2" spans="1:9">
      <c r="A2" s="768"/>
      <c r="B2" s="1"/>
      <c r="C2" s="768"/>
      <c r="D2" s="768"/>
      <c r="E2" s="768"/>
      <c r="G2" s="768"/>
      <c r="H2" s="768"/>
      <c r="I2" s="768"/>
    </row>
    <row r="3" spans="1:9">
      <c r="A3" s="768"/>
      <c r="B3" s="298" t="s">
        <v>2596</v>
      </c>
      <c r="C3" s="768"/>
      <c r="D3" s="768"/>
      <c r="E3" s="10"/>
      <c r="F3" s="67"/>
      <c r="G3" s="768"/>
      <c r="H3" s="768"/>
      <c r="I3" s="768"/>
    </row>
    <row r="4" spans="1:9">
      <c r="A4" s="768"/>
      <c r="B4" s="298"/>
      <c r="C4" s="768"/>
      <c r="D4" s="768"/>
      <c r="E4" s="768"/>
      <c r="G4" s="768"/>
      <c r="H4" s="768"/>
      <c r="I4" s="768"/>
    </row>
    <row r="5" spans="1:9">
      <c r="A5" s="768"/>
      <c r="B5" s="302" t="s">
        <v>2597</v>
      </c>
      <c r="C5" s="768"/>
      <c r="D5" s="768"/>
      <c r="E5" s="768"/>
      <c r="G5" s="768"/>
      <c r="H5" s="768"/>
      <c r="I5" s="768"/>
    </row>
    <row r="6" spans="1:9">
      <c r="A6" s="768"/>
      <c r="B6" s="302" t="s">
        <v>2598</v>
      </c>
      <c r="C6" s="768"/>
      <c r="D6" s="768"/>
      <c r="E6" s="768"/>
      <c r="G6" s="768"/>
      <c r="H6" s="768"/>
      <c r="I6" s="768"/>
    </row>
    <row r="7" spans="1:9">
      <c r="A7" s="768"/>
      <c r="B7" s="302" t="s">
        <v>2599</v>
      </c>
      <c r="C7" s="768"/>
      <c r="D7" s="768"/>
      <c r="E7" s="768"/>
      <c r="G7" s="768"/>
      <c r="H7" s="768"/>
      <c r="I7" s="768"/>
    </row>
    <row r="8" spans="1:9">
      <c r="A8" s="768"/>
      <c r="B8" s="298"/>
      <c r="C8" s="768"/>
      <c r="D8" s="768"/>
      <c r="E8" s="768"/>
      <c r="G8" s="768"/>
      <c r="H8" s="768"/>
      <c r="I8" s="768"/>
    </row>
    <row r="9" spans="1:9">
      <c r="A9" s="768"/>
      <c r="B9" s="298"/>
      <c r="C9" s="768"/>
      <c r="D9" s="768"/>
      <c r="E9" s="768"/>
      <c r="G9" s="768"/>
      <c r="H9" s="768"/>
      <c r="I9" s="768"/>
    </row>
    <row r="10" spans="1:9">
      <c r="A10" s="768"/>
      <c r="B10" s="1" t="s">
        <v>2600</v>
      </c>
      <c r="C10" s="768"/>
      <c r="D10" s="768"/>
      <c r="E10" s="768"/>
      <c r="G10" s="768"/>
      <c r="H10" s="768"/>
      <c r="I10" s="768"/>
    </row>
    <row r="11" spans="1:9">
      <c r="A11" s="2" t="s">
        <v>243</v>
      </c>
      <c r="B11" s="768"/>
      <c r="C11" s="768"/>
      <c r="D11" s="768"/>
      <c r="E11" s="768"/>
      <c r="G11" s="2" t="s">
        <v>763</v>
      </c>
      <c r="H11" s="768"/>
      <c r="I11" s="768"/>
    </row>
    <row r="12" spans="1:9">
      <c r="A12" s="379">
        <v>1</v>
      </c>
      <c r="B12" s="768"/>
      <c r="C12" s="768"/>
      <c r="D12" s="296" t="s">
        <v>2601</v>
      </c>
      <c r="E12" s="5">
        <f ca="1">'29-WholesaleTRRs'!F27</f>
        <v>38619790.336269736</v>
      </c>
      <c r="G12" s="297" t="str">
        <f>"29-WholesaleTRRs, Line "&amp;'29-WholesaleTRRs'!A27&amp;", C3"</f>
        <v>29-WholesaleTRRs, Line 13, C3</v>
      </c>
      <c r="H12" s="10"/>
      <c r="I12" s="10"/>
    </row>
    <row r="13" spans="1:9">
      <c r="A13" s="379">
        <f>A12+1</f>
        <v>2</v>
      </c>
      <c r="B13" s="768"/>
      <c r="C13" s="768"/>
      <c r="D13" s="296" t="s">
        <v>2602</v>
      </c>
      <c r="E13" s="66">
        <f>'32-GrossLoad'!F8</f>
        <v>87036035</v>
      </c>
      <c r="F13" s="302" t="s">
        <v>2603</v>
      </c>
      <c r="G13" s="297" t="str">
        <f>"32-Gross Load, Line "&amp;'32-GrossLoad'!A8&amp;""</f>
        <v>32-Gross Load, Line 4</v>
      </c>
      <c r="H13" s="10"/>
      <c r="I13" s="10"/>
    </row>
    <row r="14" spans="1:9">
      <c r="A14" s="379">
        <f>A13+1</f>
        <v>3</v>
      </c>
      <c r="B14" s="768"/>
      <c r="C14" s="768"/>
      <c r="D14" s="296" t="s">
        <v>2604</v>
      </c>
      <c r="E14" s="56">
        <f ca="1">E12/(E13*1000)</f>
        <v>4.4372184849952938E-4</v>
      </c>
      <c r="F14" s="11" t="s">
        <v>2605</v>
      </c>
      <c r="G14" s="67" t="str">
        <f>"Line "&amp;A12&amp;" / (Line "&amp;A13&amp;" * 1000)"</f>
        <v>Line 1 / (Line 2 * 1000)</v>
      </c>
      <c r="H14" s="10"/>
      <c r="I14" s="10"/>
    </row>
    <row r="15" spans="1:9">
      <c r="A15" s="768"/>
      <c r="B15" s="768"/>
      <c r="C15" s="768"/>
      <c r="D15" s="18"/>
      <c r="E15" s="42"/>
      <c r="G15" s="10"/>
      <c r="H15" s="10"/>
      <c r="I15" s="10"/>
    </row>
    <row r="16" spans="1:9">
      <c r="A16" s="768"/>
      <c r="B16" s="768"/>
      <c r="C16" s="768"/>
      <c r="D16" s="768"/>
      <c r="E16" s="768"/>
      <c r="G16" s="10"/>
      <c r="H16" s="10"/>
      <c r="I16" s="10"/>
    </row>
    <row r="17" spans="1:9">
      <c r="A17" s="768"/>
      <c r="B17" s="1" t="s">
        <v>2606</v>
      </c>
      <c r="C17" s="768"/>
      <c r="D17" s="768"/>
      <c r="E17" s="768"/>
      <c r="G17" s="10"/>
      <c r="H17" s="10"/>
      <c r="I17" s="10"/>
    </row>
    <row r="18" spans="1:9">
      <c r="A18" s="768"/>
      <c r="B18" s="768"/>
      <c r="C18" s="29" t="s">
        <v>2607</v>
      </c>
      <c r="D18" s="768"/>
      <c r="E18" s="768"/>
      <c r="G18" s="10"/>
      <c r="H18" s="10"/>
      <c r="I18" s="10"/>
    </row>
    <row r="19" spans="1:9">
      <c r="A19" s="768"/>
      <c r="B19" s="768"/>
      <c r="C19" s="768"/>
      <c r="D19" s="768"/>
      <c r="E19" s="768"/>
      <c r="G19" s="74" t="s">
        <v>763</v>
      </c>
      <c r="H19" s="10"/>
      <c r="I19" s="10"/>
    </row>
    <row r="20" spans="1:9">
      <c r="A20" s="379">
        <f>A14+1</f>
        <v>4</v>
      </c>
      <c r="B20" s="768"/>
      <c r="C20" s="768"/>
      <c r="D20" s="18" t="s">
        <v>2608</v>
      </c>
      <c r="E20" s="5">
        <f ca="1">'29-WholesaleTRRs'!E27</f>
        <v>1198804422.640059</v>
      </c>
      <c r="G20" s="297" t="str">
        <f>"29-WholesaleTRRs, Line "&amp;'29-WholesaleTRRs'!A27&amp;", C2"</f>
        <v>29-WholesaleTRRs, Line 13, C2</v>
      </c>
      <c r="H20" s="10"/>
      <c r="I20" s="10"/>
    </row>
    <row r="21" spans="1:9">
      <c r="A21" s="379">
        <f>A20+1</f>
        <v>5</v>
      </c>
      <c r="B21" s="768"/>
      <c r="C21" s="768"/>
      <c r="D21" s="296" t="s">
        <v>2602</v>
      </c>
      <c r="E21" s="66">
        <f>'32-GrossLoad'!F8</f>
        <v>87036035</v>
      </c>
      <c r="F21" s="302" t="s">
        <v>2603</v>
      </c>
      <c r="G21" s="297" t="str">
        <f>"32-Gross Load, Line "&amp;'32-GrossLoad'!A8&amp;""</f>
        <v>32-Gross Load, Line 4</v>
      </c>
      <c r="H21" s="10"/>
      <c r="I21" s="10"/>
    </row>
    <row r="22" spans="1:9">
      <c r="A22" s="379">
        <f>A21+1</f>
        <v>6</v>
      </c>
      <c r="B22" s="768"/>
      <c r="C22" s="768"/>
      <c r="D22" s="296" t="s">
        <v>2609</v>
      </c>
      <c r="E22" s="57">
        <f ca="1">E20/(E21*1000)</f>
        <v>1.3773656194702102E-2</v>
      </c>
      <c r="F22" s="11" t="s">
        <v>2605</v>
      </c>
      <c r="G22" s="67" t="str">
        <f>"Line "&amp;A20&amp;" / (Line "&amp;A21&amp;" * 1000)"</f>
        <v>Line 4 / (Line 5 * 1000)</v>
      </c>
      <c r="H22" s="10"/>
      <c r="I22" s="10"/>
    </row>
    <row r="23" spans="1:9">
      <c r="A23" s="768"/>
      <c r="B23" s="768"/>
      <c r="C23" s="768"/>
      <c r="D23" s="768"/>
      <c r="E23" s="768"/>
      <c r="G23" s="10"/>
      <c r="H23" s="10"/>
      <c r="I23" s="10"/>
    </row>
    <row r="24" spans="1:9">
      <c r="A24" s="768"/>
      <c r="B24" s="1" t="s">
        <v>2610</v>
      </c>
      <c r="C24" s="768"/>
      <c r="D24" s="768"/>
      <c r="E24" s="768"/>
      <c r="G24" s="10"/>
      <c r="H24" s="10"/>
      <c r="I24" s="10"/>
    </row>
    <row r="25" spans="1:9">
      <c r="A25" s="768"/>
      <c r="B25" s="768"/>
      <c r="C25" s="768"/>
      <c r="D25" s="768"/>
      <c r="E25" s="768"/>
      <c r="G25" s="74" t="s">
        <v>763</v>
      </c>
      <c r="H25" s="10"/>
      <c r="I25" s="10"/>
    </row>
    <row r="26" spans="1:9">
      <c r="A26" s="379">
        <f>A22+1</f>
        <v>7</v>
      </c>
      <c r="B26" s="768"/>
      <c r="C26" s="768"/>
      <c r="D26" s="296" t="s">
        <v>2611</v>
      </c>
      <c r="E26" s="5">
        <f ca="1">'29-WholesaleTRRs'!E27</f>
        <v>1198804422.640059</v>
      </c>
      <c r="G26" s="297" t="str">
        <f>"29-WholesaleTRRs, Line "&amp;'29-WholesaleTRRs'!A27&amp;", C2"</f>
        <v>29-WholesaleTRRs, Line 13, C2</v>
      </c>
      <c r="H26" s="10"/>
      <c r="I26" s="10"/>
    </row>
    <row r="27" spans="1:9">
      <c r="A27" s="379">
        <f>A26+1</f>
        <v>8</v>
      </c>
      <c r="B27" s="768"/>
      <c r="C27" s="768"/>
      <c r="D27" s="296" t="s">
        <v>2612</v>
      </c>
      <c r="E27" s="66">
        <f>'32-GrossLoad'!F11</f>
        <v>177229</v>
      </c>
      <c r="F27" s="11" t="s">
        <v>2613</v>
      </c>
      <c r="G27" s="297" t="str">
        <f>"32-Gross Load, Line "&amp;'32-GrossLoad'!A11&amp;""</f>
        <v>32-Gross Load, Line 5</v>
      </c>
      <c r="H27" s="10"/>
      <c r="I27" s="10"/>
    </row>
    <row r="28" spans="1:9">
      <c r="A28" s="379">
        <f>A27+1</f>
        <v>9</v>
      </c>
      <c r="B28" s="768"/>
      <c r="C28" s="768"/>
      <c r="D28" s="296" t="s">
        <v>2614</v>
      </c>
      <c r="E28" s="42">
        <f ca="1">ROUND((E26/(E27*1000)),2)</f>
        <v>6.76</v>
      </c>
      <c r="F28" s="302" t="s">
        <v>2615</v>
      </c>
      <c r="G28" s="67" t="str">
        <f>"Line "&amp;A26&amp;" / (Line "&amp;A27&amp;" * 1000)"</f>
        <v>Line 7 / (Line 8 * 1000)</v>
      </c>
      <c r="H28" s="10"/>
      <c r="I28" s="10"/>
    </row>
    <row r="29" spans="1:9">
      <c r="A29" s="768"/>
      <c r="B29" s="768"/>
      <c r="C29" s="768"/>
      <c r="D29" s="768"/>
      <c r="E29" s="768"/>
      <c r="G29" s="10"/>
      <c r="H29" s="10"/>
      <c r="I29" s="10"/>
    </row>
    <row r="31" spans="1:9">
      <c r="A31" s="768"/>
      <c r="B31" s="28" t="s">
        <v>226</v>
      </c>
      <c r="C31" s="768"/>
      <c r="D31" s="768"/>
      <c r="E31" s="768"/>
      <c r="G31" s="768"/>
      <c r="H31" s="768"/>
      <c r="I31" s="768"/>
    </row>
    <row r="32" spans="1:9">
      <c r="A32" s="768"/>
      <c r="B32" s="298" t="s">
        <v>2616</v>
      </c>
      <c r="C32" s="768"/>
      <c r="D32" s="768"/>
      <c r="E32" s="768"/>
      <c r="G32" s="768"/>
      <c r="H32" s="768"/>
      <c r="I32" s="768"/>
    </row>
    <row r="33" spans="2:4">
      <c r="B33" s="298" t="s">
        <v>2617</v>
      </c>
      <c r="C33" s="768"/>
      <c r="D33" s="10"/>
    </row>
  </sheetData>
  <phoneticPr fontId="22" type="noConversion"/>
  <pageMargins left="0.75" right="0.75" top="1" bottom="1" header="0.5" footer="0.5"/>
  <pageSetup scale="84" orientation="portrait" cellComments="asDisplayed" r:id="rId1"/>
  <headerFooter alignWithMargins="0">
    <oddHeader>&amp;CSchedule 30
Wholesale Rates
&amp;RTO2020 Draft Annual Update 
Attachment1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51"/>
  <sheetViews>
    <sheetView zoomScaleNormal="100" workbookViewId="0"/>
  </sheetViews>
  <sheetFormatPr defaultRowHeight="12.75"/>
  <cols>
    <col min="1" max="1" width="4.7109375" customWidth="1"/>
    <col min="2" max="2" width="38" style="88" customWidth="1"/>
    <col min="3" max="3" width="16.28515625" style="88" customWidth="1"/>
    <col min="4" max="4" width="14.7109375" style="88" customWidth="1"/>
    <col min="5" max="5" width="16" style="88" customWidth="1"/>
    <col min="6" max="6" width="3.42578125" style="88" bestFit="1" customWidth="1"/>
    <col min="7" max="8" width="14.7109375" style="88" customWidth="1"/>
    <col min="9" max="9" width="17.28515625" style="88" customWidth="1"/>
    <col min="10" max="11" width="14.7109375" style="88" customWidth="1"/>
  </cols>
  <sheetData>
    <row r="1" spans="1:11">
      <c r="A1" s="151" t="s">
        <v>2618</v>
      </c>
      <c r="B1" s="310"/>
      <c r="C1" s="310"/>
      <c r="D1" s="310"/>
      <c r="E1" s="310"/>
      <c r="F1" s="310"/>
      <c r="G1" s="310"/>
      <c r="H1" s="310"/>
      <c r="I1" s="310"/>
      <c r="J1" s="310"/>
      <c r="K1" s="310"/>
    </row>
    <row r="2" spans="1:11">
      <c r="A2" s="310" t="s">
        <v>2619</v>
      </c>
      <c r="B2" s="310"/>
      <c r="C2" s="310"/>
      <c r="D2" s="310"/>
      <c r="E2" s="310"/>
      <c r="F2" s="310"/>
      <c r="G2" s="310"/>
      <c r="H2" s="310"/>
      <c r="I2" s="621" t="s">
        <v>812</v>
      </c>
      <c r="J2" s="621"/>
      <c r="K2" s="310"/>
    </row>
    <row r="3" spans="1:11">
      <c r="A3" s="298"/>
      <c r="B3" s="310"/>
      <c r="C3" s="310"/>
      <c r="D3" s="310"/>
      <c r="E3" s="310"/>
      <c r="F3" s="310"/>
      <c r="G3" s="310"/>
      <c r="H3" s="310"/>
      <c r="I3" s="310"/>
      <c r="J3" s="310"/>
      <c r="K3" s="310"/>
    </row>
    <row r="4" spans="1:11">
      <c r="A4" s="298"/>
      <c r="B4" s="310"/>
      <c r="C4" s="310"/>
      <c r="D4" s="310"/>
      <c r="E4" s="310"/>
      <c r="F4" s="310"/>
      <c r="G4" s="308" t="s">
        <v>2620</v>
      </c>
      <c r="H4" s="308"/>
      <c r="I4" s="308"/>
      <c r="J4" s="308"/>
      <c r="K4" s="310"/>
    </row>
    <row r="5" spans="1:11">
      <c r="A5" s="298"/>
      <c r="B5" s="151" t="s">
        <v>2621</v>
      </c>
      <c r="C5" s="310"/>
      <c r="D5" s="310"/>
      <c r="E5" s="310"/>
      <c r="F5" s="310"/>
      <c r="G5" s="308" t="s">
        <v>2622</v>
      </c>
      <c r="H5" s="308"/>
      <c r="I5" s="308"/>
      <c r="J5" s="308"/>
      <c r="K5" s="310"/>
    </row>
    <row r="6" spans="1:11">
      <c r="A6" s="298"/>
      <c r="B6" s="310"/>
      <c r="C6" s="14" t="s">
        <v>2623</v>
      </c>
      <c r="D6" s="14"/>
      <c r="E6" s="14"/>
      <c r="F6" s="14"/>
      <c r="G6" s="14"/>
      <c r="H6" s="14"/>
      <c r="I6" s="14" t="s">
        <v>2624</v>
      </c>
      <c r="J6" s="14" t="s">
        <v>2625</v>
      </c>
      <c r="K6" s="14" t="s">
        <v>2626</v>
      </c>
    </row>
    <row r="7" spans="1:11">
      <c r="A7" s="298"/>
      <c r="B7" s="151" t="s">
        <v>2627</v>
      </c>
      <c r="C7" s="16" t="s">
        <v>1416</v>
      </c>
      <c r="D7" s="16" t="s">
        <v>824</v>
      </c>
      <c r="E7" s="16" t="s">
        <v>2628</v>
      </c>
      <c r="F7" s="16"/>
      <c r="G7" s="16" t="s">
        <v>2629</v>
      </c>
      <c r="H7" s="16" t="s">
        <v>2630</v>
      </c>
      <c r="I7" s="16" t="s">
        <v>2628</v>
      </c>
      <c r="J7" s="16" t="s">
        <v>2628</v>
      </c>
      <c r="K7" s="16" t="s">
        <v>2631</v>
      </c>
    </row>
    <row r="8" spans="1:11">
      <c r="A8" s="2" t="s">
        <v>243</v>
      </c>
      <c r="B8" s="151"/>
      <c r="C8" s="16"/>
      <c r="D8" s="16"/>
      <c r="E8" s="16"/>
      <c r="F8" s="16"/>
      <c r="G8" s="16"/>
      <c r="H8" s="16"/>
      <c r="I8" s="16"/>
      <c r="J8" s="16"/>
      <c r="K8" s="16"/>
    </row>
    <row r="9" spans="1:11">
      <c r="A9" s="379">
        <v>1</v>
      </c>
      <c r="B9" s="152" t="s">
        <v>2632</v>
      </c>
      <c r="C9" s="153"/>
      <c r="D9" s="154"/>
      <c r="E9" s="154"/>
      <c r="F9" s="155"/>
      <c r="G9" s="153"/>
      <c r="H9" s="156"/>
      <c r="I9" s="156"/>
      <c r="J9" s="156"/>
      <c r="K9" s="156"/>
    </row>
    <row r="10" spans="1:11">
      <c r="A10" s="379">
        <f>A9+1</f>
        <v>2</v>
      </c>
      <c r="B10" s="1271" t="s">
        <v>2633</v>
      </c>
      <c r="C10" s="1272">
        <f>SUM(D10:E10)</f>
        <v>4535240490.373744</v>
      </c>
      <c r="D10" s="1273">
        <f>G10+H10</f>
        <v>207142732.27821863</v>
      </c>
      <c r="E10" s="1273">
        <f>I10+J10</f>
        <v>4328097758.0955257</v>
      </c>
      <c r="F10" s="1274"/>
      <c r="G10" s="896">
        <v>207142732.27821863</v>
      </c>
      <c r="H10" s="896">
        <v>0</v>
      </c>
      <c r="I10" s="896">
        <v>4328097758.0955257</v>
      </c>
      <c r="J10" s="896">
        <v>0</v>
      </c>
      <c r="K10" s="896">
        <v>0</v>
      </c>
    </row>
    <row r="11" spans="1:11">
      <c r="A11" s="379">
        <f t="shared" ref="A11:A47" si="0">A10+1</f>
        <v>3</v>
      </c>
      <c r="B11" s="1271" t="s">
        <v>2634</v>
      </c>
      <c r="C11" s="157">
        <f>SUM(D11:E11)</f>
        <v>108889670.1880255</v>
      </c>
      <c r="D11" s="158">
        <f>G11+H11</f>
        <v>5561930.7751644915</v>
      </c>
      <c r="E11" s="158">
        <f>I11+J11</f>
        <v>103327739.41286102</v>
      </c>
      <c r="F11" s="159"/>
      <c r="G11" s="897">
        <v>0</v>
      </c>
      <c r="H11" s="897">
        <v>5561930.7751644915</v>
      </c>
      <c r="I11" s="897">
        <v>0</v>
      </c>
      <c r="J11" s="897">
        <v>103327739.41286102</v>
      </c>
      <c r="K11" s="897">
        <v>0</v>
      </c>
    </row>
    <row r="12" spans="1:11">
      <c r="A12" s="379">
        <f t="shared" si="0"/>
        <v>4</v>
      </c>
      <c r="B12" s="1040" t="s">
        <v>2635</v>
      </c>
      <c r="C12" s="1275">
        <f>SUM(C10:C11)</f>
        <v>4644130160.5617695</v>
      </c>
      <c r="D12" s="1275">
        <f t="shared" ref="D12:K12" si="1">SUM(D10:D11)</f>
        <v>212704663.05338311</v>
      </c>
      <c r="E12" s="1275">
        <f t="shared" si="1"/>
        <v>4431425497.5083866</v>
      </c>
      <c r="F12" s="1275"/>
      <c r="G12" s="1275">
        <f t="shared" si="1"/>
        <v>207142732.27821863</v>
      </c>
      <c r="H12" s="1275">
        <f t="shared" si="1"/>
        <v>5561930.7751644915</v>
      </c>
      <c r="I12" s="1275">
        <f t="shared" si="1"/>
        <v>4328097758.0955257</v>
      </c>
      <c r="J12" s="1275">
        <f t="shared" si="1"/>
        <v>103327739.41286102</v>
      </c>
      <c r="K12" s="1275">
        <f t="shared" si="1"/>
        <v>0</v>
      </c>
    </row>
    <row r="13" spans="1:11">
      <c r="A13" s="379">
        <f t="shared" si="0"/>
        <v>5</v>
      </c>
      <c r="B13" s="308"/>
      <c r="C13" s="1276"/>
      <c r="D13" s="1276"/>
      <c r="E13" s="1276"/>
      <c r="F13" s="1277"/>
      <c r="G13" s="1276"/>
      <c r="H13" s="1278"/>
      <c r="I13" s="1279"/>
      <c r="J13" s="1278"/>
      <c r="K13" s="1278"/>
    </row>
    <row r="14" spans="1:11">
      <c r="A14" s="379">
        <f t="shared" si="0"/>
        <v>6</v>
      </c>
      <c r="B14" s="160" t="s">
        <v>2636</v>
      </c>
      <c r="C14" s="1276"/>
      <c r="D14" s="1276"/>
      <c r="E14" s="1276"/>
      <c r="F14" s="1277"/>
      <c r="G14" s="1276"/>
      <c r="H14" s="1278"/>
      <c r="I14" s="1279"/>
      <c r="J14" s="1278"/>
      <c r="K14" s="1278"/>
    </row>
    <row r="15" spans="1:11">
      <c r="A15" s="379">
        <f t="shared" si="0"/>
        <v>7</v>
      </c>
      <c r="B15" s="1280" t="s">
        <v>2637</v>
      </c>
      <c r="C15" s="1273">
        <f>SUM(D15:E15)</f>
        <v>3635804185.7312407</v>
      </c>
      <c r="D15" s="1273">
        <f>G15+H15</f>
        <v>39571602.254335657</v>
      </c>
      <c r="E15" s="1273">
        <f>I15+J15</f>
        <v>3596232583.4769049</v>
      </c>
      <c r="F15" s="740"/>
      <c r="G15" s="767">
        <v>39571602.254335657</v>
      </c>
      <c r="H15" s="898">
        <v>0</v>
      </c>
      <c r="I15" s="767">
        <v>3596232583.4769049</v>
      </c>
      <c r="J15" s="898">
        <v>0</v>
      </c>
      <c r="K15" s="898">
        <v>0</v>
      </c>
    </row>
    <row r="16" spans="1:11">
      <c r="A16" s="379">
        <f t="shared" si="0"/>
        <v>8</v>
      </c>
      <c r="B16" s="661" t="s">
        <v>2638</v>
      </c>
      <c r="C16" s="1276">
        <f>SUM(D16:E16)</f>
        <v>464104071.37367809</v>
      </c>
      <c r="D16" s="1273">
        <f>G16+H16</f>
        <v>191615.21529774633</v>
      </c>
      <c r="E16" s="1273">
        <f>I16+J16+K16</f>
        <v>463912456.15838033</v>
      </c>
      <c r="F16" s="1277"/>
      <c r="G16" s="898">
        <v>107608.99899987664</v>
      </c>
      <c r="H16" s="898">
        <v>84006.216297869687</v>
      </c>
      <c r="I16" s="898">
        <v>271869850.24969947</v>
      </c>
      <c r="J16" s="898">
        <v>130090917.85631087</v>
      </c>
      <c r="K16" s="898">
        <v>61951688.052370027</v>
      </c>
    </row>
    <row r="17" spans="1:11" ht="15">
      <c r="A17" s="379">
        <f t="shared" si="0"/>
        <v>9</v>
      </c>
      <c r="B17" s="661" t="s">
        <v>2639</v>
      </c>
      <c r="C17" s="161">
        <f>SUM(D17:E17)</f>
        <v>43440579.644270055</v>
      </c>
      <c r="D17" s="158">
        <f>G17+H17</f>
        <v>146756.72143581422</v>
      </c>
      <c r="E17" s="162">
        <f>I17+J17</f>
        <v>43293822.92283424</v>
      </c>
      <c r="F17" s="163"/>
      <c r="G17" s="899">
        <v>0</v>
      </c>
      <c r="H17" s="900">
        <v>146756.72143581422</v>
      </c>
      <c r="I17" s="899">
        <v>0</v>
      </c>
      <c r="J17" s="900">
        <v>43293822.92283424</v>
      </c>
      <c r="K17" s="899">
        <v>0</v>
      </c>
    </row>
    <row r="18" spans="1:11">
      <c r="A18" s="379">
        <f t="shared" si="0"/>
        <v>10</v>
      </c>
      <c r="B18" s="734" t="s">
        <v>2640</v>
      </c>
      <c r="C18" s="1273">
        <f>SUM(C15:C17)</f>
        <v>4143348836.7491889</v>
      </c>
      <c r="D18" s="1273">
        <f>SUM(D15:D17)</f>
        <v>39909974.191069216</v>
      </c>
      <c r="E18" s="1273">
        <f>SUM(E15:E17)</f>
        <v>4103438862.5581198</v>
      </c>
      <c r="F18" s="1281"/>
      <c r="G18" s="1273">
        <f>SUM(G15:G17)</f>
        <v>39679211.253335536</v>
      </c>
      <c r="H18" s="1273">
        <f>SUM(H15:H17)</f>
        <v>230762.93773368391</v>
      </c>
      <c r="I18" s="1273">
        <f>SUM(I15:I17)</f>
        <v>3868102433.7266045</v>
      </c>
      <c r="J18" s="1273">
        <f>SUM(J15:J17)</f>
        <v>173384740.77914512</v>
      </c>
      <c r="K18" s="1273">
        <f>SUM(K15:K17)</f>
        <v>61951688.052370027</v>
      </c>
    </row>
    <row r="19" spans="1:11">
      <c r="A19" s="379">
        <f t="shared" si="0"/>
        <v>11</v>
      </c>
      <c r="B19" s="308"/>
      <c r="C19" s="1282"/>
      <c r="D19" s="1282"/>
      <c r="E19" s="1282"/>
      <c r="F19" s="1283"/>
      <c r="G19" s="1284"/>
      <c r="H19" s="1284"/>
      <c r="I19" s="1284"/>
      <c r="J19" s="1284"/>
      <c r="K19" s="1284"/>
    </row>
    <row r="20" spans="1:11">
      <c r="A20" s="379">
        <f t="shared" si="0"/>
        <v>12</v>
      </c>
      <c r="B20" s="734" t="s">
        <v>2641</v>
      </c>
      <c r="C20" s="1285">
        <f>C12+C18</f>
        <v>8787478997.3109589</v>
      </c>
      <c r="D20" s="1285">
        <f t="shared" ref="D20:K20" si="2">D12+D18</f>
        <v>252614637.24445233</v>
      </c>
      <c r="E20" s="1285">
        <f>E12+E18</f>
        <v>8534864360.0665064</v>
      </c>
      <c r="F20" s="1286"/>
      <c r="G20" s="1286">
        <f t="shared" si="2"/>
        <v>246821943.53155416</v>
      </c>
      <c r="H20" s="1286">
        <f t="shared" si="2"/>
        <v>5792693.7128981752</v>
      </c>
      <c r="I20" s="1286">
        <f t="shared" si="2"/>
        <v>8196200191.8221302</v>
      </c>
      <c r="J20" s="1286">
        <f t="shared" si="2"/>
        <v>276712480.19200611</v>
      </c>
      <c r="K20" s="1286">
        <f t="shared" si="2"/>
        <v>61951688.052370027</v>
      </c>
    </row>
    <row r="21" spans="1:11">
      <c r="A21" s="379">
        <f t="shared" si="0"/>
        <v>13</v>
      </c>
      <c r="B21" s="310"/>
      <c r="C21" s="1287"/>
      <c r="D21" s="1288"/>
      <c r="E21" s="1287"/>
      <c r="F21" s="310"/>
      <c r="G21" s="1287"/>
      <c r="H21" s="1287"/>
      <c r="I21" s="1287"/>
      <c r="J21" s="1287"/>
      <c r="K21" s="1287"/>
    </row>
    <row r="22" spans="1:11">
      <c r="A22" s="379">
        <f t="shared" si="0"/>
        <v>14</v>
      </c>
      <c r="B22" s="310"/>
      <c r="C22" s="1287"/>
      <c r="D22" s="1288"/>
      <c r="E22" s="1287"/>
      <c r="F22" s="310"/>
      <c r="G22" s="1287"/>
      <c r="H22" s="1287"/>
      <c r="I22" s="1287"/>
      <c r="J22" s="1287"/>
      <c r="K22" s="1287"/>
    </row>
    <row r="23" spans="1:11">
      <c r="A23" s="379">
        <f t="shared" si="0"/>
        <v>15</v>
      </c>
      <c r="B23" s="310" t="s">
        <v>2642</v>
      </c>
      <c r="C23" s="1287"/>
      <c r="D23" s="1288"/>
      <c r="E23" s="1287"/>
      <c r="F23" s="310"/>
      <c r="G23" s="1287"/>
      <c r="H23" s="1287"/>
      <c r="I23" s="1287"/>
      <c r="J23" s="1287"/>
      <c r="K23" s="1287"/>
    </row>
    <row r="24" spans="1:11">
      <c r="A24" s="379">
        <f t="shared" si="0"/>
        <v>16</v>
      </c>
      <c r="B24" s="310"/>
      <c r="C24" s="164" t="s">
        <v>2579</v>
      </c>
      <c r="D24" s="14" t="s">
        <v>2580</v>
      </c>
      <c r="E24" s="14"/>
      <c r="F24" s="310"/>
      <c r="G24" s="310"/>
      <c r="H24" s="310"/>
      <c r="I24" s="310"/>
      <c r="J24" s="310"/>
      <c r="K24" s="310"/>
    </row>
    <row r="25" spans="1:11">
      <c r="A25" s="379">
        <f t="shared" si="0"/>
        <v>17</v>
      </c>
      <c r="B25" s="310" t="s">
        <v>128</v>
      </c>
      <c r="C25" s="16" t="s">
        <v>2582</v>
      </c>
      <c r="D25" s="16" t="s">
        <v>2582</v>
      </c>
      <c r="E25" s="16" t="s">
        <v>388</v>
      </c>
      <c r="F25" s="310"/>
      <c r="G25" s="165" t="s">
        <v>226</v>
      </c>
      <c r="H25" s="310"/>
      <c r="I25" s="310"/>
      <c r="J25" s="310"/>
      <c r="K25" s="310"/>
    </row>
    <row r="26" spans="1:11">
      <c r="A26" s="379">
        <f t="shared" si="0"/>
        <v>18</v>
      </c>
      <c r="B26" s="1174" t="s">
        <v>824</v>
      </c>
      <c r="C26" s="1286">
        <f>G20</f>
        <v>246821943.53155416</v>
      </c>
      <c r="D26" s="1286">
        <f>H20</f>
        <v>5792693.7128981752</v>
      </c>
      <c r="E26" s="1289">
        <f>SUM(C26:D26)</f>
        <v>252614637.24445233</v>
      </c>
      <c r="F26" s="310"/>
      <c r="G26" s="308" t="s">
        <v>2643</v>
      </c>
      <c r="H26" s="308"/>
      <c r="I26" s="308"/>
      <c r="J26" s="308"/>
      <c r="K26" s="308"/>
    </row>
    <row r="27" spans="1:11">
      <c r="A27" s="379">
        <f t="shared" si="0"/>
        <v>19</v>
      </c>
      <c r="B27" s="1174" t="s">
        <v>2628</v>
      </c>
      <c r="C27" s="1286">
        <f>I20</f>
        <v>8196200191.8221302</v>
      </c>
      <c r="D27" s="1286">
        <f>J20</f>
        <v>276712480.19200611</v>
      </c>
      <c r="E27" s="1289">
        <f>SUM(C27:D27)</f>
        <v>8472912672.0141363</v>
      </c>
      <c r="F27" s="310"/>
      <c r="G27" s="308" t="s">
        <v>2643</v>
      </c>
      <c r="H27" s="308"/>
      <c r="I27" s="308"/>
      <c r="J27" s="308"/>
      <c r="K27" s="308"/>
    </row>
    <row r="28" spans="1:11">
      <c r="A28" s="379">
        <f t="shared" si="0"/>
        <v>20</v>
      </c>
      <c r="B28" s="1204" t="s">
        <v>2644</v>
      </c>
      <c r="C28" s="1286">
        <f>SUM(C26:C27)</f>
        <v>8443022135.3536844</v>
      </c>
      <c r="D28" s="1286">
        <f>SUM(D26:D27)</f>
        <v>282505173.90490431</v>
      </c>
      <c r="E28" s="1286">
        <f>SUM(C28:D28)</f>
        <v>8725527309.2585888</v>
      </c>
      <c r="F28" s="310"/>
      <c r="G28" s="308" t="s">
        <v>2645</v>
      </c>
      <c r="H28" s="308"/>
      <c r="I28" s="308"/>
      <c r="J28" s="308"/>
      <c r="K28" s="308"/>
    </row>
    <row r="29" spans="1:11">
      <c r="A29" s="64">
        <f t="shared" si="0"/>
        <v>21</v>
      </c>
      <c r="B29" s="1290" t="s">
        <v>2646</v>
      </c>
      <c r="C29" s="1291">
        <f>C28/E28</f>
        <v>0.96762314025363938</v>
      </c>
      <c r="D29" s="1291">
        <f>D28/E28</f>
        <v>3.2376859746360578E-2</v>
      </c>
      <c r="E29" s="1292"/>
      <c r="F29" s="735"/>
      <c r="G29" s="741" t="s">
        <v>2647</v>
      </c>
      <c r="H29" s="308"/>
      <c r="I29" s="308"/>
      <c r="J29" s="308"/>
      <c r="K29" s="735"/>
    </row>
    <row r="30" spans="1:11">
      <c r="A30" s="64">
        <f t="shared" si="0"/>
        <v>22</v>
      </c>
      <c r="B30" s="630"/>
      <c r="C30" s="1293"/>
      <c r="D30" s="1293"/>
      <c r="E30" s="1293"/>
      <c r="F30" s="630"/>
      <c r="G30" s="630"/>
      <c r="H30" s="630"/>
      <c r="I30" s="630"/>
      <c r="J30" s="630"/>
      <c r="K30" s="630"/>
    </row>
    <row r="31" spans="1:11">
      <c r="A31" s="64">
        <f t="shared" si="0"/>
        <v>23</v>
      </c>
      <c r="B31" s="308" t="s">
        <v>2648</v>
      </c>
      <c r="C31" s="1294">
        <f>K20*C29</f>
        <v>59945886.937248155</v>
      </c>
      <c r="D31" s="1294">
        <f>K20*D29</f>
        <v>2005801.1151218668</v>
      </c>
      <c r="E31" s="1294">
        <f>K20</f>
        <v>61951688.052370027</v>
      </c>
      <c r="F31" s="308"/>
      <c r="G31" s="308" t="str">
        <f>"Straddling Transformers split by Gross Plant Percentages on Line "&amp;A29&amp;""</f>
        <v>Straddling Transformers split by Gross Plant Percentages on Line 21</v>
      </c>
      <c r="H31" s="308"/>
      <c r="I31" s="308"/>
      <c r="J31" s="308"/>
      <c r="K31" s="308"/>
    </row>
    <row r="32" spans="1:11">
      <c r="A32" s="64">
        <f t="shared" si="0"/>
        <v>24</v>
      </c>
      <c r="B32" s="419" t="s">
        <v>2649</v>
      </c>
      <c r="C32" s="736">
        <f>'12-AbandonedPlant'!G22</f>
        <v>0</v>
      </c>
      <c r="D32" s="736">
        <f>E32-C32</f>
        <v>0</v>
      </c>
      <c r="E32" s="736">
        <f>'12-AbandonedPlant'!G19</f>
        <v>0</v>
      </c>
      <c r="F32" s="419"/>
      <c r="G32" s="419" t="s">
        <v>2650</v>
      </c>
      <c r="H32" s="737"/>
      <c r="I32" s="308"/>
      <c r="J32" s="308"/>
      <c r="K32" s="308"/>
    </row>
    <row r="33" spans="1:12">
      <c r="A33" s="64">
        <f t="shared" si="0"/>
        <v>25</v>
      </c>
      <c r="B33" s="308" t="s">
        <v>2651</v>
      </c>
      <c r="C33" s="1273">
        <f>C28+C31+C32</f>
        <v>8502968022.2909327</v>
      </c>
      <c r="D33" s="1273">
        <f>D28+D31+D32</f>
        <v>284510975.02002615</v>
      </c>
      <c r="E33" s="1273">
        <f>E28+E31+E32</f>
        <v>8787478997.3109589</v>
      </c>
      <c r="F33" s="308"/>
      <c r="G33" s="419" t="str">
        <f>"Line "&amp;A28&amp;" + Line "&amp;A31&amp;" + Line "&amp;A32&amp;""</f>
        <v>Line 20 + Line 23 + Line 24</v>
      </c>
      <c r="H33" s="419"/>
      <c r="I33" s="308"/>
      <c r="J33" s="308"/>
      <c r="K33" s="308"/>
      <c r="L33" s="768"/>
    </row>
    <row r="34" spans="1:12">
      <c r="A34" s="64">
        <f t="shared" si="0"/>
        <v>26</v>
      </c>
      <c r="B34" s="308"/>
      <c r="C34" s="1295"/>
      <c r="D34" s="1295"/>
      <c r="E34" s="1296"/>
      <c r="F34" s="308"/>
      <c r="G34" s="308"/>
      <c r="H34" s="308"/>
      <c r="I34" s="308"/>
      <c r="J34" s="308"/>
      <c r="K34" s="308"/>
      <c r="L34" s="768"/>
    </row>
    <row r="35" spans="1:12">
      <c r="A35" s="64">
        <f t="shared" si="0"/>
        <v>27</v>
      </c>
      <c r="B35" s="308"/>
      <c r="C35" s="1297"/>
      <c r="D35" s="1297"/>
      <c r="E35" s="308"/>
      <c r="F35" s="308"/>
      <c r="G35" s="1297"/>
      <c r="H35" s="1297"/>
      <c r="I35" s="1297"/>
      <c r="J35" s="308"/>
      <c r="K35" s="308"/>
      <c r="L35" s="768"/>
    </row>
    <row r="36" spans="1:12">
      <c r="A36" s="64">
        <f t="shared" si="0"/>
        <v>28</v>
      </c>
      <c r="B36" s="160" t="s">
        <v>2652</v>
      </c>
      <c r="C36" s="308"/>
      <c r="D36" s="308"/>
      <c r="E36" s="308"/>
      <c r="F36" s="308"/>
      <c r="G36" s="308"/>
      <c r="H36" s="308"/>
      <c r="I36" s="308"/>
      <c r="J36" s="308"/>
      <c r="K36" s="308"/>
      <c r="L36" s="768"/>
    </row>
    <row r="37" spans="1:12">
      <c r="A37" s="64">
        <f t="shared" si="0"/>
        <v>29</v>
      </c>
      <c r="B37" s="160"/>
      <c r="C37" s="308"/>
      <c r="D37" s="308"/>
      <c r="E37" s="308"/>
      <c r="F37" s="308"/>
      <c r="G37" s="308"/>
      <c r="H37" s="308"/>
      <c r="I37" s="308"/>
      <c r="J37" s="308"/>
      <c r="K37" s="308"/>
      <c r="L37" s="768"/>
    </row>
    <row r="38" spans="1:12">
      <c r="A38" s="64">
        <f t="shared" si="0"/>
        <v>30</v>
      </c>
      <c r="B38" s="160"/>
      <c r="C38" s="738" t="s">
        <v>2579</v>
      </c>
      <c r="D38" s="252" t="s">
        <v>2580</v>
      </c>
      <c r="E38" s="252"/>
      <c r="F38" s="308"/>
      <c r="G38" s="308"/>
      <c r="H38" s="308"/>
      <c r="I38" s="308"/>
      <c r="J38" s="308"/>
      <c r="K38" s="308"/>
      <c r="L38" s="768"/>
    </row>
    <row r="39" spans="1:12">
      <c r="A39" s="64">
        <f t="shared" si="0"/>
        <v>31</v>
      </c>
      <c r="B39" s="160"/>
      <c r="C39" s="294" t="s">
        <v>2582</v>
      </c>
      <c r="D39" s="294" t="s">
        <v>2582</v>
      </c>
      <c r="E39" s="294" t="s">
        <v>388</v>
      </c>
      <c r="F39" s="308"/>
      <c r="G39" s="739" t="s">
        <v>226</v>
      </c>
      <c r="H39" s="308"/>
      <c r="I39" s="308"/>
      <c r="J39" s="308"/>
      <c r="K39" s="308"/>
      <c r="L39" s="768"/>
    </row>
    <row r="40" spans="1:12">
      <c r="A40" s="64">
        <f t="shared" si="0"/>
        <v>32</v>
      </c>
      <c r="B40" s="308" t="s">
        <v>2651</v>
      </c>
      <c r="C40" s="740">
        <f>C33</f>
        <v>8502968022.2909327</v>
      </c>
      <c r="D40" s="740">
        <f>D33</f>
        <v>284510975.02002615</v>
      </c>
      <c r="E40" s="740">
        <f>E33</f>
        <v>8787478997.3109589</v>
      </c>
      <c r="F40" s="308"/>
      <c r="G40" s="308" t="str">
        <f>"Line "&amp;A33&amp;""</f>
        <v>Line 25</v>
      </c>
      <c r="H40" s="308"/>
      <c r="I40" s="308"/>
      <c r="J40" s="308"/>
      <c r="K40" s="308"/>
      <c r="L40" s="10"/>
    </row>
    <row r="41" spans="1:12">
      <c r="A41" s="64">
        <f t="shared" si="0"/>
        <v>33</v>
      </c>
      <c r="B41" s="308" t="s">
        <v>2653</v>
      </c>
      <c r="C41" s="740">
        <f>'16-PlantAdditions'!K37-'16-PlantAdditions'!P37</f>
        <v>569128092.09479713</v>
      </c>
      <c r="D41" s="740">
        <f>'16-PlantAdditions'!P37</f>
        <v>7961645.9993343959</v>
      </c>
      <c r="E41" s="740">
        <f>SUM(C41:D41)</f>
        <v>577089738.09413159</v>
      </c>
      <c r="F41" s="308"/>
      <c r="G41" s="308" t="str">
        <f>"13-Month Average: 16-PlantAdditions, Line "&amp;'16-PlantAdditions'!A37&amp;", Cols 7  (for Total) and 12 (for LV).  HV = C7 - C12."</f>
        <v>13-Month Average: 16-PlantAdditions, Line 25, Cols 7  (for Total) and 12 (for LV).  HV = C7 - C12.</v>
      </c>
      <c r="H41" s="308"/>
      <c r="I41" s="308"/>
      <c r="J41" s="308"/>
      <c r="K41" s="308"/>
      <c r="L41" s="10"/>
    </row>
    <row r="42" spans="1:12">
      <c r="A42" s="64">
        <f t="shared" si="0"/>
        <v>34</v>
      </c>
      <c r="B42" s="308" t="s">
        <v>2654</v>
      </c>
      <c r="C42" s="363">
        <f>'10-CWIP'!K79</f>
        <v>479223756.72146785</v>
      </c>
      <c r="D42" s="363">
        <v>0</v>
      </c>
      <c r="E42" s="363">
        <f>SUM(C42:D42)</f>
        <v>479223756.72146785</v>
      </c>
      <c r="F42" s="308"/>
      <c r="G42" s="308" t="str">
        <f>"13 Month Average: 10-CWIP, Line "&amp;'10-CWIP'!A79&amp;", Col. 8"</f>
        <v>13 Month Average: 10-CWIP, Line 54, Col. 8</v>
      </c>
      <c r="H42" s="308"/>
      <c r="I42" s="308"/>
      <c r="J42" s="308"/>
      <c r="K42" s="308"/>
      <c r="L42" s="768"/>
    </row>
    <row r="43" spans="1:12">
      <c r="A43" s="64">
        <f t="shared" si="0"/>
        <v>35</v>
      </c>
      <c r="B43" s="308" t="s">
        <v>2655</v>
      </c>
      <c r="C43" s="740">
        <f>SUM(C40:C42)</f>
        <v>9551319871.1071987</v>
      </c>
      <c r="D43" s="740">
        <f t="shared" ref="D43:E43" si="3">SUM(D40:D42)</f>
        <v>292472621.01936054</v>
      </c>
      <c r="E43" s="740">
        <f t="shared" si="3"/>
        <v>9843792492.1265583</v>
      </c>
      <c r="F43" s="308"/>
      <c r="G43" s="308" t="str">
        <f>"Line "&amp;A40&amp;" + Line "&amp;A41&amp;" + Line "&amp;A42&amp;""</f>
        <v>Line 32 + Line 33 + Line 34</v>
      </c>
      <c r="H43" s="308"/>
      <c r="I43" s="308"/>
      <c r="J43" s="308"/>
      <c r="K43" s="308"/>
      <c r="L43" s="768"/>
    </row>
    <row r="44" spans="1:12">
      <c r="A44" s="64">
        <f t="shared" si="0"/>
        <v>36</v>
      </c>
      <c r="B44" s="308"/>
      <c r="C44" s="308"/>
      <c r="D44" s="308"/>
      <c r="E44" s="308"/>
      <c r="F44" s="308"/>
      <c r="G44" s="308"/>
      <c r="H44" s="308"/>
      <c r="I44" s="308"/>
      <c r="J44" s="308"/>
      <c r="K44" s="308"/>
      <c r="L44" s="768"/>
    </row>
    <row r="45" spans="1:12">
      <c r="A45" s="64">
        <f t="shared" si="0"/>
        <v>37</v>
      </c>
      <c r="B45" s="308" t="s">
        <v>2656</v>
      </c>
      <c r="C45" s="1298">
        <f>C43/E43</f>
        <v>0.97028862389640069</v>
      </c>
      <c r="D45" s="1298">
        <f>D43/E43</f>
        <v>2.9711376103599432E-2</v>
      </c>
      <c r="E45" s="308"/>
      <c r="F45" s="308"/>
      <c r="G45" s="741" t="str">
        <f>"Percent of Total on Line "&amp;A43&amp;""</f>
        <v>Percent of Total on Line 35</v>
      </c>
      <c r="H45" s="308"/>
      <c r="I45" s="308"/>
      <c r="J45" s="308"/>
      <c r="K45" s="308"/>
      <c r="L45" s="768"/>
    </row>
    <row r="46" spans="1:12">
      <c r="A46" s="64">
        <f t="shared" si="0"/>
        <v>38</v>
      </c>
      <c r="B46" s="705" t="s">
        <v>2657</v>
      </c>
      <c r="C46" s="308"/>
      <c r="D46" s="308"/>
      <c r="E46" s="308"/>
      <c r="F46" s="308"/>
      <c r="G46" s="308"/>
      <c r="H46" s="308"/>
      <c r="I46" s="308"/>
      <c r="J46" s="308"/>
      <c r="K46" s="308"/>
      <c r="L46" s="768"/>
    </row>
    <row r="47" spans="1:12">
      <c r="A47" s="64">
        <f t="shared" si="0"/>
        <v>39</v>
      </c>
      <c r="B47" s="308" t="s">
        <v>2658</v>
      </c>
      <c r="C47" s="308"/>
      <c r="D47" s="308"/>
      <c r="E47" s="308"/>
      <c r="F47" s="308"/>
      <c r="G47" s="308"/>
      <c r="H47" s="308"/>
      <c r="I47" s="308"/>
      <c r="J47" s="308"/>
      <c r="K47" s="308"/>
      <c r="L47" s="768"/>
    </row>
    <row r="48" spans="1:12">
      <c r="A48" s="300"/>
      <c r="B48" s="25"/>
      <c r="C48" s="308"/>
      <c r="D48" s="308"/>
      <c r="E48" s="308"/>
      <c r="F48" s="308"/>
      <c r="G48" s="308"/>
      <c r="H48" s="308"/>
      <c r="I48" s="308"/>
      <c r="J48" s="308"/>
      <c r="K48" s="308"/>
      <c r="L48" s="768"/>
    </row>
    <row r="49" spans="1:11">
      <c r="A49" s="300"/>
      <c r="B49" s="25"/>
      <c r="C49" s="419"/>
      <c r="D49" s="419"/>
      <c r="E49" s="419"/>
      <c r="F49" s="419"/>
      <c r="G49" s="419"/>
      <c r="H49" s="419"/>
      <c r="I49" s="308"/>
      <c r="J49" s="308"/>
      <c r="K49" s="308"/>
    </row>
    <row r="50" spans="1:11">
      <c r="A50" s="300"/>
      <c r="B50" s="419"/>
      <c r="C50" s="419"/>
      <c r="D50" s="419"/>
      <c r="E50" s="419"/>
      <c r="F50" s="419"/>
      <c r="G50" s="419"/>
      <c r="H50" s="419"/>
      <c r="I50" s="308"/>
      <c r="J50" s="308"/>
      <c r="K50" s="308"/>
    </row>
    <row r="51" spans="1:11">
      <c r="A51" s="10"/>
      <c r="B51" s="419"/>
      <c r="C51" s="737"/>
      <c r="D51" s="737"/>
      <c r="E51" s="737"/>
      <c r="F51" s="737"/>
      <c r="G51" s="737"/>
      <c r="H51" s="737"/>
      <c r="I51" s="742"/>
      <c r="J51" s="742"/>
      <c r="K51" s="742"/>
    </row>
  </sheetData>
  <pageMargins left="0.7" right="0.7" top="0.75" bottom="0.75" header="0.3" footer="0.3"/>
  <pageSetup scale="70" orientation="landscape" cellComments="asDisplayed" r:id="rId1"/>
  <headerFooter>
    <oddHeader>&amp;CSchedule 31
High and Low Voltage Gross Plant
&amp;RTO2020 Draft Annual Update 
Attachment1</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2659</v>
      </c>
      <c r="B1" s="768"/>
      <c r="C1" s="768"/>
      <c r="D1" s="768"/>
      <c r="E1" s="768"/>
      <c r="F1" s="768"/>
      <c r="G1" s="768"/>
      <c r="H1" s="768"/>
    </row>
    <row r="3" spans="1:8">
      <c r="A3" s="768"/>
      <c r="B3" s="768"/>
      <c r="C3" s="768"/>
      <c r="D3" s="768"/>
      <c r="E3" s="768"/>
      <c r="F3" s="768"/>
      <c r="G3" s="379"/>
      <c r="H3" s="768"/>
    </row>
    <row r="4" spans="1:8">
      <c r="A4" s="2" t="s">
        <v>243</v>
      </c>
      <c r="B4" s="768"/>
      <c r="C4" s="768"/>
      <c r="D4" s="768"/>
      <c r="E4" s="768"/>
      <c r="F4" s="2" t="s">
        <v>2603</v>
      </c>
      <c r="G4" s="2" t="s">
        <v>441</v>
      </c>
      <c r="H4" s="28" t="s">
        <v>763</v>
      </c>
    </row>
    <row r="5" spans="1:8">
      <c r="A5" s="379">
        <v>1</v>
      </c>
      <c r="B5" s="298" t="s">
        <v>2660</v>
      </c>
      <c r="C5" s="768"/>
      <c r="D5" s="768"/>
      <c r="E5" s="768"/>
      <c r="F5" s="982">
        <v>86985944</v>
      </c>
      <c r="G5" s="11"/>
      <c r="H5" s="768" t="s">
        <v>150</v>
      </c>
    </row>
    <row r="6" spans="1:8">
      <c r="A6" s="379">
        <v>2</v>
      </c>
      <c r="B6" s="298" t="s">
        <v>2661</v>
      </c>
      <c r="C6" s="768"/>
      <c r="D6" s="768"/>
      <c r="E6" s="768"/>
      <c r="F6" s="982">
        <v>21240</v>
      </c>
      <c r="G6" s="11"/>
      <c r="H6" s="768" t="s">
        <v>170</v>
      </c>
    </row>
    <row r="7" spans="1:8" s="768" customFormat="1">
      <c r="A7" s="379">
        <v>3</v>
      </c>
      <c r="B7" s="298" t="s">
        <v>2662</v>
      </c>
      <c r="C7" s="298"/>
      <c r="D7" s="298"/>
      <c r="F7" s="61">
        <v>28851</v>
      </c>
      <c r="G7" s="11"/>
      <c r="H7" s="298" t="s">
        <v>220</v>
      </c>
    </row>
    <row r="8" spans="1:8">
      <c r="A8" s="379">
        <v>4</v>
      </c>
      <c r="B8" s="362" t="s">
        <v>2663</v>
      </c>
      <c r="C8" s="768"/>
      <c r="D8" s="768"/>
      <c r="E8" s="768"/>
      <c r="F8" s="60">
        <f>SUM(F5:F7)</f>
        <v>87036035</v>
      </c>
      <c r="G8" s="297" t="s">
        <v>2664</v>
      </c>
      <c r="H8" s="298" t="s">
        <v>2323</v>
      </c>
    </row>
    <row r="9" spans="1:8">
      <c r="A9" s="379"/>
      <c r="B9" s="768"/>
      <c r="C9" s="768"/>
      <c r="D9" s="768"/>
      <c r="E9" s="768"/>
      <c r="F9" s="768"/>
      <c r="G9" s="11"/>
      <c r="H9" s="768"/>
    </row>
    <row r="10" spans="1:8">
      <c r="A10" s="379"/>
      <c r="B10" s="768"/>
      <c r="C10" s="768"/>
      <c r="D10" s="768"/>
      <c r="E10" s="768"/>
      <c r="F10" s="768"/>
      <c r="G10" s="11"/>
      <c r="H10" s="768"/>
    </row>
    <row r="11" spans="1:8">
      <c r="A11" s="379">
        <v>5</v>
      </c>
      <c r="B11" s="300" t="s">
        <v>2665</v>
      </c>
      <c r="C11" s="10"/>
      <c r="D11" s="10"/>
      <c r="E11" s="18"/>
      <c r="F11" s="983">
        <v>177229</v>
      </c>
      <c r="G11" s="11"/>
      <c r="H11" s="298" t="s">
        <v>150</v>
      </c>
    </row>
    <row r="12" spans="1:8">
      <c r="A12" s="768"/>
      <c r="B12" s="10"/>
      <c r="C12" s="10"/>
      <c r="D12" s="10"/>
      <c r="E12" s="768"/>
      <c r="F12" s="768"/>
      <c r="G12" s="768"/>
      <c r="H12" s="768"/>
    </row>
    <row r="13" spans="1:8">
      <c r="A13" s="768"/>
      <c r="B13" s="10"/>
      <c r="C13" s="10"/>
      <c r="D13" s="10"/>
      <c r="E13" s="768"/>
      <c r="F13" s="768"/>
      <c r="G13" s="768"/>
      <c r="H13" s="768"/>
    </row>
    <row r="14" spans="1:8">
      <c r="A14" s="768"/>
      <c r="B14" s="663" t="s">
        <v>226</v>
      </c>
      <c r="C14" s="10"/>
      <c r="D14" s="10"/>
      <c r="E14" s="768"/>
      <c r="F14" s="768"/>
      <c r="G14" s="768"/>
      <c r="H14" s="768"/>
    </row>
    <row r="15" spans="1:8">
      <c r="A15" s="768"/>
      <c r="B15" s="300" t="s">
        <v>2666</v>
      </c>
      <c r="C15" s="10"/>
      <c r="D15" s="10"/>
      <c r="E15" s="768"/>
      <c r="F15" s="768"/>
      <c r="G15" s="768"/>
      <c r="H15" s="768"/>
    </row>
    <row r="16" spans="1:8">
      <c r="A16" s="768"/>
      <c r="B16" s="300" t="s">
        <v>2667</v>
      </c>
      <c r="C16" s="10"/>
      <c r="D16" s="10"/>
      <c r="E16" s="768"/>
      <c r="F16" s="768"/>
      <c r="G16" s="768"/>
      <c r="H16" s="768"/>
    </row>
    <row r="17" spans="2:8">
      <c r="B17" s="300" t="s">
        <v>2668</v>
      </c>
      <c r="C17" s="10"/>
      <c r="D17" s="10"/>
      <c r="E17" s="10"/>
      <c r="F17" s="10"/>
      <c r="G17" s="10"/>
      <c r="H17" s="10"/>
    </row>
    <row r="18" spans="2:8">
      <c r="B18" s="298" t="s">
        <v>2669</v>
      </c>
      <c r="C18" s="768"/>
      <c r="D18" s="768"/>
      <c r="E18" s="768"/>
      <c r="F18" s="768"/>
      <c r="G18" s="768"/>
      <c r="H18" s="768"/>
    </row>
    <row r="19" spans="2:8" ht="15.75">
      <c r="B19" s="403"/>
      <c r="C19" s="768"/>
      <c r="D19" s="768"/>
      <c r="E19" s="768"/>
      <c r="F19" s="768"/>
      <c r="G19" s="768"/>
      <c r="H19" s="768"/>
    </row>
  </sheetData>
  <pageMargins left="0.7" right="0.7" top="0.75" bottom="0.75" header="0.3" footer="0.3"/>
  <pageSetup orientation="landscape" cellComments="asDisplayed" r:id="rId1"/>
  <headerFooter>
    <oddHeader>&amp;CSchedule 32 
Gross Load
&amp;RTO2020 Draft Annual Update 
Attachment1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90" zoomScaleNormal="90" zoomScalePageLayoutView="75" workbookViewId="0"/>
  </sheetViews>
  <sheetFormatPr defaultColWidth="9.140625" defaultRowHeight="12.75"/>
  <cols>
    <col min="1" max="1" width="5.42578125" style="546" customWidth="1"/>
    <col min="2" max="2" width="18.5703125" style="546" customWidth="1"/>
    <col min="3" max="3" width="16.28515625" style="546" customWidth="1"/>
    <col min="4" max="4" width="17.28515625" style="546" customWidth="1"/>
    <col min="5" max="12" width="15.7109375" style="546" customWidth="1"/>
    <col min="13" max="13" width="15.7109375" style="545" customWidth="1"/>
    <col min="14" max="14" width="15.7109375" style="546" customWidth="1"/>
    <col min="15" max="15" width="9.140625" style="546"/>
    <col min="16" max="16" width="9.85546875" style="546" customWidth="1"/>
    <col min="17" max="16384" width="9.140625" style="546"/>
  </cols>
  <sheetData>
    <row r="1" spans="1:16" ht="15.75">
      <c r="A1" s="542" t="s">
        <v>2670</v>
      </c>
      <c r="B1" s="543"/>
      <c r="C1" s="543"/>
      <c r="D1" s="543"/>
      <c r="E1" s="543"/>
      <c r="F1" s="543"/>
      <c r="G1" s="543"/>
      <c r="H1" s="543"/>
      <c r="I1" s="543"/>
      <c r="J1" s="543"/>
      <c r="K1" s="544"/>
      <c r="L1" s="544"/>
    </row>
    <row r="2" spans="1:16" ht="14.25" customHeight="1">
      <c r="A2" s="542"/>
      <c r="B2" s="543"/>
      <c r="C2" s="543"/>
      <c r="D2" s="543"/>
      <c r="E2" s="543"/>
      <c r="F2" s="543"/>
      <c r="G2" s="543"/>
      <c r="H2" s="543"/>
      <c r="I2" s="543"/>
      <c r="J2" s="543"/>
      <c r="K2" s="544"/>
      <c r="L2" s="544"/>
    </row>
    <row r="3" spans="1:16">
      <c r="E3" s="547" t="s">
        <v>763</v>
      </c>
      <c r="K3" s="548"/>
      <c r="L3" s="548"/>
    </row>
    <row r="4" spans="1:16">
      <c r="C4" s="549" t="s">
        <v>2671</v>
      </c>
      <c r="D4" s="550">
        <f ca="1">'1-BaseTRR'!K151</f>
        <v>1325654311.4984229</v>
      </c>
      <c r="E4" s="1084" t="s">
        <v>2672</v>
      </c>
      <c r="F4" s="554"/>
      <c r="G4" s="552" t="s">
        <v>812</v>
      </c>
      <c r="H4" s="553"/>
      <c r="J4" s="554"/>
      <c r="K4" s="548"/>
      <c r="L4" s="548"/>
    </row>
    <row r="5" spans="1:16">
      <c r="C5" s="549"/>
      <c r="D5" s="555"/>
      <c r="E5" s="551"/>
      <c r="K5" s="548"/>
      <c r="L5" s="548"/>
    </row>
    <row r="6" spans="1:16" ht="15.75">
      <c r="B6" s="542" t="s">
        <v>2673</v>
      </c>
      <c r="D6" s="549"/>
      <c r="E6" s="555"/>
      <c r="F6" s="551"/>
      <c r="K6" s="548"/>
      <c r="L6" s="548"/>
    </row>
    <row r="7" spans="1:16">
      <c r="C7" s="556" t="s">
        <v>307</v>
      </c>
      <c r="D7" s="556" t="s">
        <v>308</v>
      </c>
      <c r="E7" s="556" t="s">
        <v>309</v>
      </c>
      <c r="F7" s="594" t="s">
        <v>310</v>
      </c>
      <c r="G7" s="594" t="s">
        <v>311</v>
      </c>
      <c r="H7" s="594" t="s">
        <v>312</v>
      </c>
      <c r="I7" s="594" t="s">
        <v>313</v>
      </c>
      <c r="J7" s="594" t="s">
        <v>314</v>
      </c>
      <c r="K7" s="594" t="s">
        <v>315</v>
      </c>
      <c r="L7" s="594" t="s">
        <v>534</v>
      </c>
      <c r="M7" s="594" t="s">
        <v>535</v>
      </c>
      <c r="N7" s="547" t="s">
        <v>536</v>
      </c>
      <c r="O7" s="547" t="s">
        <v>537</v>
      </c>
      <c r="P7" s="547" t="s">
        <v>538</v>
      </c>
    </row>
    <row r="8" spans="1:16">
      <c r="C8" s="583" t="s">
        <v>150</v>
      </c>
      <c r="D8" s="554"/>
      <c r="E8" s="583" t="s">
        <v>170</v>
      </c>
      <c r="F8" s="583" t="s">
        <v>187</v>
      </c>
      <c r="G8" s="583" t="s">
        <v>220</v>
      </c>
      <c r="H8" s="583" t="s">
        <v>2388</v>
      </c>
      <c r="I8" s="583" t="s">
        <v>1628</v>
      </c>
      <c r="J8" s="583" t="s">
        <v>2674</v>
      </c>
      <c r="K8" s="554"/>
      <c r="L8" s="554"/>
    </row>
    <row r="9" spans="1:16" s="560" customFormat="1">
      <c r="A9" s="558"/>
      <c r="B9" s="558"/>
      <c r="C9" s="556"/>
      <c r="D9" s="559"/>
      <c r="E9" s="1167" t="s">
        <v>2675</v>
      </c>
      <c r="F9" s="1168"/>
      <c r="G9" s="1168"/>
      <c r="H9" s="1169"/>
      <c r="I9" s="1170"/>
      <c r="J9" s="1068"/>
      <c r="K9" s="809"/>
      <c r="L9" s="583" t="s">
        <v>2676</v>
      </c>
      <c r="M9" s="583" t="s">
        <v>2676</v>
      </c>
      <c r="N9" s="583" t="s">
        <v>2676</v>
      </c>
    </row>
    <row r="10" spans="1:16" s="1043" customFormat="1" ht="128.25" customHeight="1">
      <c r="A10" s="1041"/>
      <c r="B10" s="1041"/>
      <c r="C10" s="561"/>
      <c r="D10" s="1082" t="s">
        <v>2677</v>
      </c>
      <c r="E10" s="810" t="s">
        <v>2678</v>
      </c>
      <c r="F10" s="810" t="s">
        <v>2679</v>
      </c>
      <c r="G10" s="811" t="s">
        <v>2680</v>
      </c>
      <c r="H10" s="810" t="s">
        <v>2681</v>
      </c>
      <c r="I10" s="810" t="s">
        <v>2682</v>
      </c>
      <c r="J10" s="1083" t="s">
        <v>2683</v>
      </c>
      <c r="K10" s="1082" t="s">
        <v>2684</v>
      </c>
      <c r="L10" s="1082" t="s">
        <v>2685</v>
      </c>
      <c r="M10" s="819" t="s">
        <v>2686</v>
      </c>
      <c r="N10" s="1070"/>
      <c r="O10" s="1071"/>
      <c r="P10" s="1042"/>
    </row>
    <row r="11" spans="1:16" s="1044" customFormat="1" ht="55.15" customHeight="1">
      <c r="A11" s="547" t="s">
        <v>97</v>
      </c>
      <c r="B11" s="562" t="s">
        <v>2687</v>
      </c>
      <c r="C11" s="563" t="s">
        <v>2688</v>
      </c>
      <c r="D11" s="564" t="s">
        <v>2689</v>
      </c>
      <c r="E11" s="562" t="s">
        <v>2690</v>
      </c>
      <c r="F11" s="601" t="s">
        <v>2691</v>
      </c>
      <c r="G11" s="820" t="s">
        <v>2692</v>
      </c>
      <c r="H11" s="562" t="s">
        <v>2693</v>
      </c>
      <c r="I11" s="562" t="s">
        <v>2694</v>
      </c>
      <c r="J11" s="562" t="s">
        <v>2695</v>
      </c>
      <c r="K11" s="566" t="s">
        <v>2696</v>
      </c>
      <c r="L11" s="567" t="s">
        <v>2697</v>
      </c>
      <c r="M11" s="565" t="s">
        <v>2698</v>
      </c>
      <c r="N11" s="562" t="s">
        <v>2693</v>
      </c>
      <c r="O11" s="562" t="s">
        <v>2694</v>
      </c>
      <c r="P11" s="562" t="s">
        <v>98</v>
      </c>
    </row>
    <row r="12" spans="1:16" s="586" customFormat="1">
      <c r="A12" s="568" t="s">
        <v>1784</v>
      </c>
      <c r="B12" s="303" t="s">
        <v>2699</v>
      </c>
      <c r="C12" s="837">
        <f>M115</f>
        <v>0.43056064491160279</v>
      </c>
      <c r="D12" s="1101">
        <f ca="1">$D$4*C12</f>
        <v>570774575.28860772</v>
      </c>
      <c r="E12" s="753">
        <v>28631.290870438635</v>
      </c>
      <c r="F12" s="592"/>
      <c r="G12" s="901">
        <v>1618.8128410035201</v>
      </c>
      <c r="H12" s="754">
        <v>0</v>
      </c>
      <c r="I12" s="755">
        <v>1.2E-2</v>
      </c>
      <c r="J12" s="838">
        <f>(E12+F12)-G12</f>
        <v>27012.478029435115</v>
      </c>
      <c r="K12" s="1045">
        <f ca="1">D12/(J12*10^6)</f>
        <v>2.1130033855710783E-2</v>
      </c>
      <c r="L12" s="569"/>
      <c r="N12" s="544"/>
      <c r="O12" s="543"/>
      <c r="P12" s="583"/>
    </row>
    <row r="13" spans="1:16" s="586" customFormat="1" ht="13.5" thickBot="1">
      <c r="A13" s="568" t="s">
        <v>1787</v>
      </c>
      <c r="B13" s="303" t="s">
        <v>2700</v>
      </c>
      <c r="C13" s="837">
        <f>M116</f>
        <v>7.426172911705399E-2</v>
      </c>
      <c r="D13" s="571">
        <f t="shared" ref="D13:D26" ca="1" si="0">$D$4*C13</f>
        <v>98445381.383350596</v>
      </c>
      <c r="E13" s="753">
        <v>5810.5051967389491</v>
      </c>
      <c r="F13" s="592"/>
      <c r="G13" s="901">
        <v>16.390276149199998</v>
      </c>
      <c r="H13" s="754">
        <v>0</v>
      </c>
      <c r="I13" s="755">
        <v>0.50800000000000001</v>
      </c>
      <c r="J13" s="838">
        <f t="shared" ref="J13:J27" si="1">(E13+F13)-G13</f>
        <v>5794.1149205897491</v>
      </c>
      <c r="K13" s="1045">
        <f ca="1">D13/(J13*10^6)</f>
        <v>1.6990581431776366E-2</v>
      </c>
      <c r="L13" s="569"/>
      <c r="M13" s="760">
        <v>5942.3050000000003</v>
      </c>
      <c r="N13" s="761">
        <v>29137</v>
      </c>
      <c r="O13" s="762">
        <v>0.50800000000000001</v>
      </c>
      <c r="P13" s="583"/>
    </row>
    <row r="14" spans="1:16" s="586" customFormat="1" ht="15" thickBot="1">
      <c r="A14" s="568" t="s">
        <v>2701</v>
      </c>
      <c r="B14" s="303" t="s">
        <v>2702</v>
      </c>
      <c r="C14" s="1046"/>
      <c r="D14" s="1046"/>
      <c r="E14" s="756"/>
      <c r="F14" s="592"/>
      <c r="G14" s="592"/>
      <c r="H14" s="756"/>
      <c r="I14" s="756"/>
      <c r="J14" s="838">
        <f t="shared" si="1"/>
        <v>0</v>
      </c>
      <c r="K14" s="570"/>
      <c r="L14" s="1299">
        <f ca="1">N14</f>
        <v>3.4650601209599619</v>
      </c>
      <c r="M14" s="1300">
        <f ca="1">K13*M13*10^6</f>
        <v>100963216.99495186</v>
      </c>
      <c r="N14" s="1301">
        <f ca="1">M14/((N13+O13)*10^3)</f>
        <v>3.4650601209599619</v>
      </c>
      <c r="O14" s="1302"/>
      <c r="P14" s="1303" t="s">
        <v>2703</v>
      </c>
    </row>
    <row r="15" spans="1:16" s="586" customFormat="1">
      <c r="A15" s="568" t="s">
        <v>2704</v>
      </c>
      <c r="B15" s="303" t="s">
        <v>2705</v>
      </c>
      <c r="C15" s="837">
        <f t="shared" ref="C15:C26" si="2">M117</f>
        <v>4.7861700489351466E-4</v>
      </c>
      <c r="D15" s="571">
        <f t="shared" ca="1" si="0"/>
        <v>634480.69609354949</v>
      </c>
      <c r="E15" s="753">
        <v>57.019882503539996</v>
      </c>
      <c r="F15" s="592"/>
      <c r="G15" s="592"/>
      <c r="H15" s="754">
        <v>0</v>
      </c>
      <c r="I15" s="755"/>
      <c r="J15" s="838">
        <f t="shared" si="1"/>
        <v>57.019882503539996</v>
      </c>
      <c r="K15" s="1045">
        <f ca="1">D15/(J15*10^6)</f>
        <v>1.1127358883178314E-2</v>
      </c>
      <c r="L15" s="569"/>
      <c r="N15" s="544"/>
      <c r="O15" s="543"/>
      <c r="P15" s="583"/>
    </row>
    <row r="16" spans="1:16" s="586" customFormat="1">
      <c r="A16" s="568" t="s">
        <v>2706</v>
      </c>
      <c r="B16" s="303" t="s">
        <v>2707</v>
      </c>
      <c r="C16" s="837">
        <f t="shared" si="2"/>
        <v>0.1651657258600967</v>
      </c>
      <c r="D16" s="571">
        <f t="shared" ca="1" si="0"/>
        <v>218952656.59820375</v>
      </c>
      <c r="E16" s="753">
        <v>13437.396576219677</v>
      </c>
      <c r="F16" s="592"/>
      <c r="G16" s="901">
        <v>98.722389667000002</v>
      </c>
      <c r="H16" s="754">
        <v>46089.412745809997</v>
      </c>
      <c r="I16" s="755">
        <v>35.71899599999999</v>
      </c>
      <c r="J16" s="838">
        <f t="shared" si="1"/>
        <v>13338.674186552676</v>
      </c>
      <c r="K16" s="569"/>
      <c r="L16" s="1047">
        <f t="shared" ref="L16:L25" ca="1" si="3">D16/((I16+H16)*10^3)</f>
        <v>4.7469275063280678</v>
      </c>
      <c r="N16" s="544"/>
      <c r="O16" s="1048"/>
      <c r="P16" s="583"/>
    </row>
    <row r="17" spans="1:16" s="586" customFormat="1">
      <c r="A17" s="568" t="s">
        <v>2708</v>
      </c>
      <c r="B17" s="303" t="s">
        <v>2709</v>
      </c>
      <c r="C17" s="837">
        <f t="shared" si="2"/>
        <v>8.5994643721587785E-2</v>
      </c>
      <c r="D17" s="571">
        <f t="shared" ca="1" si="0"/>
        <v>113999170.21529363</v>
      </c>
      <c r="E17" s="753">
        <v>7602.2401097238298</v>
      </c>
      <c r="F17" s="592"/>
      <c r="G17" s="901">
        <v>116.03523476199999</v>
      </c>
      <c r="H17" s="754">
        <v>22067.775687809997</v>
      </c>
      <c r="I17" s="755">
        <v>71.450668000000007</v>
      </c>
      <c r="J17" s="838">
        <f t="shared" si="1"/>
        <v>7486.2048749618298</v>
      </c>
      <c r="K17" s="569"/>
      <c r="L17" s="1047">
        <f t="shared" ca="1" si="3"/>
        <v>5.1491939412497505</v>
      </c>
      <c r="N17" s="544"/>
      <c r="O17" s="1048"/>
      <c r="P17" s="583"/>
    </row>
    <row r="18" spans="1:16" s="586" customFormat="1">
      <c r="A18" s="568" t="s">
        <v>2710</v>
      </c>
      <c r="B18" s="303" t="s">
        <v>2711</v>
      </c>
      <c r="C18" s="837">
        <f t="shared" si="2"/>
        <v>8.6096971502357622E-2</v>
      </c>
      <c r="D18" s="571">
        <f t="shared" ca="1" si="0"/>
        <v>114134821.47905722</v>
      </c>
      <c r="E18" s="757">
        <v>8103.4411906049909</v>
      </c>
      <c r="F18" s="592"/>
      <c r="G18" s="901">
        <v>49.915702926000009</v>
      </c>
      <c r="H18" s="758">
        <v>20667.50758184</v>
      </c>
      <c r="I18" s="759"/>
      <c r="J18" s="838">
        <f t="shared" si="1"/>
        <v>8053.5254876789904</v>
      </c>
      <c r="K18" s="569"/>
      <c r="L18" s="1047">
        <f ca="1">D18/((I18+H18)*10^3)</f>
        <v>5.5224279476904368</v>
      </c>
      <c r="N18" s="544"/>
      <c r="O18" s="1048"/>
      <c r="P18" s="583"/>
    </row>
    <row r="19" spans="1:16" s="586" customFormat="1">
      <c r="A19" s="568" t="s">
        <v>2712</v>
      </c>
      <c r="B19" s="303" t="s">
        <v>2713</v>
      </c>
      <c r="C19" s="837">
        <f t="shared" si="2"/>
        <v>5.5898980347017686E-2</v>
      </c>
      <c r="D19" s="571">
        <f t="shared" ca="1" si="0"/>
        <v>74102724.305389598</v>
      </c>
      <c r="E19" s="757">
        <v>5467.5030763065097</v>
      </c>
      <c r="F19" s="592"/>
      <c r="G19" s="901">
        <v>30.288618780299998</v>
      </c>
      <c r="H19" s="758">
        <v>12719.396246149998</v>
      </c>
      <c r="I19" s="759"/>
      <c r="J19" s="838">
        <f t="shared" si="1"/>
        <v>5437.21445752621</v>
      </c>
      <c r="K19" s="569"/>
      <c r="L19" s="1047">
        <f t="shared" ca="1" si="3"/>
        <v>5.8259624019355138</v>
      </c>
      <c r="N19" s="544"/>
      <c r="O19" s="1048"/>
      <c r="P19" s="583"/>
    </row>
    <row r="20" spans="1:16" s="586" customFormat="1">
      <c r="A20" s="568" t="s">
        <v>2714</v>
      </c>
      <c r="B20" s="303" t="s">
        <v>2715</v>
      </c>
      <c r="C20" s="837">
        <f t="shared" si="2"/>
        <v>6.3350816787534958E-2</v>
      </c>
      <c r="D20" s="571">
        <f t="shared" ca="1" si="0"/>
        <v>83981283.411342382</v>
      </c>
      <c r="E20" s="757">
        <v>5981.7362215854237</v>
      </c>
      <c r="F20" s="592"/>
      <c r="G20" s="901">
        <v>3.9410364530039996</v>
      </c>
      <c r="H20" s="758">
        <v>12118.957275319999</v>
      </c>
      <c r="I20" s="759"/>
      <c r="J20" s="838">
        <f t="shared" si="1"/>
        <v>5977.7951851324196</v>
      </c>
      <c r="K20" s="569"/>
      <c r="L20" s="1047">
        <f t="shared" ca="1" si="3"/>
        <v>6.9297449857644517</v>
      </c>
      <c r="N20" s="1049"/>
      <c r="O20" s="1050"/>
      <c r="P20" s="583"/>
    </row>
    <row r="21" spans="1:16" s="586" customFormat="1">
      <c r="A21" s="568" t="s">
        <v>2716</v>
      </c>
      <c r="B21" s="303" t="s">
        <v>2717</v>
      </c>
      <c r="C21" s="837">
        <f t="shared" si="2"/>
        <v>8.7087255743381012E-4</v>
      </c>
      <c r="D21" s="571">
        <f t="shared" ca="1" si="0"/>
        <v>1154475.9605277884</v>
      </c>
      <c r="E21" s="758">
        <v>96.816249217309988</v>
      </c>
      <c r="F21" s="758">
        <v>89.759720000000002</v>
      </c>
      <c r="G21" s="901"/>
      <c r="H21" s="758">
        <v>295.2961534800001</v>
      </c>
      <c r="I21" s="759">
        <v>245.73199599999992</v>
      </c>
      <c r="J21" s="838">
        <f t="shared" si="1"/>
        <v>186.57596921730999</v>
      </c>
      <c r="K21" s="569"/>
      <c r="L21" s="1047">
        <f t="shared" ca="1" si="3"/>
        <v>2.1338556258808219</v>
      </c>
      <c r="N21" s="1051"/>
      <c r="O21" s="1052"/>
      <c r="P21" s="583"/>
    </row>
    <row r="22" spans="1:16" s="586" customFormat="1">
      <c r="A22" s="568" t="s">
        <v>2718</v>
      </c>
      <c r="B22" s="303" t="s">
        <v>2719</v>
      </c>
      <c r="C22" s="837">
        <f t="shared" si="2"/>
        <v>1.8611547494607075E-3</v>
      </c>
      <c r="D22" s="571">
        <f t="shared" ca="1" si="0"/>
        <v>2467247.8179883538</v>
      </c>
      <c r="E22" s="758">
        <v>448.33689814593004</v>
      </c>
      <c r="F22" s="758">
        <v>225.89580000000001</v>
      </c>
      <c r="G22" s="901"/>
      <c r="H22" s="758">
        <v>1134.7421136599996</v>
      </c>
      <c r="I22" s="759">
        <v>1243.1633339999998</v>
      </c>
      <c r="J22" s="838">
        <f t="shared" si="1"/>
        <v>674.23269814593004</v>
      </c>
      <c r="K22" s="569"/>
      <c r="L22" s="1047">
        <f t="shared" ca="1" si="3"/>
        <v>1.0375718767187621</v>
      </c>
      <c r="N22" s="1051"/>
      <c r="O22" s="1052"/>
      <c r="P22" s="583"/>
    </row>
    <row r="23" spans="1:16" s="586" customFormat="1">
      <c r="A23" s="568" t="s">
        <v>2720</v>
      </c>
      <c r="B23" s="303" t="s">
        <v>2721</v>
      </c>
      <c r="C23" s="837">
        <f t="shared" si="2"/>
        <v>3.8731765896781634E-3</v>
      </c>
      <c r="D23" s="571">
        <f t="shared" ca="1" si="0"/>
        <v>5134493.2453016154</v>
      </c>
      <c r="E23" s="758">
        <v>1850.6948201557605</v>
      </c>
      <c r="F23" s="758">
        <v>528.15210000000002</v>
      </c>
      <c r="G23" s="901"/>
      <c r="H23" s="758">
        <v>3735.4628149599966</v>
      </c>
      <c r="I23" s="759">
        <v>8025.1616670000012</v>
      </c>
      <c r="J23" s="838">
        <f t="shared" si="1"/>
        <v>2378.8469201557605</v>
      </c>
      <c r="K23" s="569"/>
      <c r="L23" s="1047">
        <f t="shared" ca="1" si="3"/>
        <v>0.43658338493653803</v>
      </c>
      <c r="N23" s="1049"/>
      <c r="O23" s="1050"/>
      <c r="P23" s="583"/>
    </row>
    <row r="24" spans="1:16" s="586" customFormat="1">
      <c r="A24" s="568" t="s">
        <v>2722</v>
      </c>
      <c r="B24" s="303" t="s">
        <v>2723</v>
      </c>
      <c r="C24" s="837">
        <f t="shared" si="2"/>
        <v>1.5699361739189024E-2</v>
      </c>
      <c r="D24" s="571">
        <f t="shared" ca="1" si="0"/>
        <v>20811926.577329308</v>
      </c>
      <c r="E24" s="753">
        <v>1827.9227741917898</v>
      </c>
      <c r="F24" s="592"/>
      <c r="G24" s="901">
        <v>23.173314054699997</v>
      </c>
      <c r="H24" s="753">
        <v>8522.6474085200025</v>
      </c>
      <c r="I24" s="753">
        <v>0.38400000000000001</v>
      </c>
      <c r="J24" s="838">
        <f t="shared" si="1"/>
        <v>1804.7494601370897</v>
      </c>
      <c r="K24" s="569"/>
      <c r="L24" s="1047">
        <f t="shared" ca="1" si="3"/>
        <v>2.4418455804967207</v>
      </c>
      <c r="N24" s="1053"/>
      <c r="O24" s="1053"/>
      <c r="P24" s="1054"/>
    </row>
    <row r="25" spans="1:16" s="586" customFormat="1">
      <c r="A25" s="568" t="s">
        <v>2724</v>
      </c>
      <c r="B25" s="303" t="s">
        <v>2725</v>
      </c>
      <c r="C25" s="837">
        <f t="shared" si="2"/>
        <v>1.2079969000563129E-2</v>
      </c>
      <c r="D25" s="571">
        <f t="shared" ca="1" si="0"/>
        <v>16013862.988363806</v>
      </c>
      <c r="E25" s="753">
        <v>1482.5996552531599</v>
      </c>
      <c r="F25" s="592"/>
      <c r="G25" s="901">
        <v>31.074500588399999</v>
      </c>
      <c r="H25" s="753">
        <v>5075.0694144999989</v>
      </c>
      <c r="I25" s="753">
        <v>15.579996000000005</v>
      </c>
      <c r="J25" s="838">
        <f t="shared" si="1"/>
        <v>1451.5251546647598</v>
      </c>
      <c r="K25" s="569"/>
      <c r="L25" s="1047">
        <f t="shared" ca="1" si="3"/>
        <v>3.1457406898486333</v>
      </c>
      <c r="M25" s="1048"/>
      <c r="N25" s="543"/>
      <c r="O25" s="551"/>
      <c r="P25" s="583"/>
    </row>
    <row r="26" spans="1:16" s="586" customFormat="1">
      <c r="A26" s="568" t="s">
        <v>2726</v>
      </c>
      <c r="B26" s="303" t="s">
        <v>2727</v>
      </c>
      <c r="C26" s="837">
        <f t="shared" si="2"/>
        <v>3.8073361115300206E-3</v>
      </c>
      <c r="D26" s="571">
        <f t="shared" ca="1" si="0"/>
        <v>5047211.531573412</v>
      </c>
      <c r="E26" s="753">
        <v>581.46765911756995</v>
      </c>
      <c r="F26" s="592"/>
      <c r="G26" s="592"/>
      <c r="H26" s="754"/>
      <c r="I26" s="755"/>
      <c r="J26" s="838">
        <f t="shared" si="1"/>
        <v>581.46765911756995</v>
      </c>
      <c r="K26" s="1045">
        <f ca="1">D26/(J26*10^6)</f>
        <v>8.6801242552905084E-3</v>
      </c>
      <c r="L26" s="569"/>
      <c r="M26" s="543"/>
      <c r="N26" s="543"/>
      <c r="O26" s="551"/>
      <c r="P26" s="583"/>
    </row>
    <row r="27" spans="1:16" s="586" customFormat="1">
      <c r="A27" s="568" t="s">
        <v>2728</v>
      </c>
      <c r="B27" s="572" t="s">
        <v>351</v>
      </c>
      <c r="C27" s="837"/>
      <c r="D27" s="571"/>
      <c r="E27" s="753"/>
      <c r="F27" s="592"/>
      <c r="G27" s="592"/>
      <c r="H27" s="754"/>
      <c r="I27" s="755"/>
      <c r="J27" s="838">
        <f t="shared" si="1"/>
        <v>0</v>
      </c>
      <c r="K27" s="1045"/>
      <c r="L27" s="569"/>
      <c r="M27" s="543"/>
      <c r="N27" s="543"/>
      <c r="O27" s="551"/>
      <c r="P27" s="583"/>
    </row>
    <row r="28" spans="1:16" s="586" customFormat="1">
      <c r="A28" s="568">
        <v>2</v>
      </c>
      <c r="B28" s="306" t="s">
        <v>406</v>
      </c>
      <c r="C28" s="1077">
        <f t="shared" ref="C28:D28" si="4">SUM(C12:C27)</f>
        <v>1</v>
      </c>
      <c r="D28" s="1079">
        <f t="shared" ca="1" si="4"/>
        <v>1325654311.4984231</v>
      </c>
      <c r="E28" s="1076">
        <f t="shared" ref="E28:J28" si="5">SUM(E12:E27)</f>
        <v>81378.97118020308</v>
      </c>
      <c r="F28" s="1076">
        <f t="shared" si="5"/>
        <v>843.80762000000004</v>
      </c>
      <c r="G28" s="1076">
        <f t="shared" si="5"/>
        <v>1988.3539143841242</v>
      </c>
      <c r="H28" s="1076">
        <f t="shared" si="5"/>
        <v>132426.26744205001</v>
      </c>
      <c r="I28" s="1076">
        <f t="shared" si="5"/>
        <v>9637.7106570000014</v>
      </c>
      <c r="J28" s="1076">
        <f t="shared" si="5"/>
        <v>80234.424885818953</v>
      </c>
      <c r="K28" s="557"/>
      <c r="L28" s="543"/>
      <c r="M28" s="543"/>
      <c r="N28" s="543"/>
      <c r="O28" s="543"/>
      <c r="P28" s="583"/>
    </row>
    <row r="29" spans="1:16" s="554" customFormat="1">
      <c r="A29" s="568">
        <f>A28+1</f>
        <v>3</v>
      </c>
      <c r="B29" s="546"/>
      <c r="C29" s="546"/>
      <c r="D29" s="546"/>
      <c r="E29" s="546"/>
      <c r="F29" s="546"/>
      <c r="G29" s="546"/>
      <c r="H29" s="546"/>
      <c r="I29" s="546"/>
      <c r="J29" s="573"/>
      <c r="K29" s="573"/>
      <c r="M29" s="545"/>
    </row>
    <row r="30" spans="1:16" s="554" customFormat="1">
      <c r="A30" s="568">
        <f t="shared" ref="A30:A34" si="6">A29+1</f>
        <v>4</v>
      </c>
      <c r="B30" s="546"/>
      <c r="C30" s="546"/>
      <c r="D30" s="546"/>
      <c r="E30" s="546"/>
      <c r="G30" s="812"/>
      <c r="I30" s="594"/>
      <c r="J30" s="574"/>
      <c r="K30" s="574"/>
      <c r="L30" s="574"/>
      <c r="M30" s="545"/>
    </row>
    <row r="31" spans="1:16" s="554" customFormat="1" ht="15.75">
      <c r="A31" s="568">
        <f t="shared" si="6"/>
        <v>5</v>
      </c>
      <c r="B31" s="821" t="s">
        <v>2729</v>
      </c>
      <c r="C31" s="546"/>
      <c r="D31" s="546"/>
      <c r="E31" s="546"/>
      <c r="F31" s="546"/>
      <c r="G31" s="546"/>
      <c r="H31" s="546"/>
      <c r="I31" s="546"/>
      <c r="J31" s="546"/>
      <c r="K31" s="546"/>
      <c r="L31" s="546"/>
      <c r="M31" s="545"/>
    </row>
    <row r="32" spans="1:16" s="586" customFormat="1">
      <c r="A32" s="568">
        <f t="shared" si="6"/>
        <v>6</v>
      </c>
      <c r="B32" s="543"/>
      <c r="C32" s="556" t="s">
        <v>307</v>
      </c>
      <c r="D32" s="556" t="s">
        <v>308</v>
      </c>
      <c r="E32" s="556" t="s">
        <v>309</v>
      </c>
      <c r="F32" s="556" t="s">
        <v>310</v>
      </c>
      <c r="G32" s="556" t="s">
        <v>311</v>
      </c>
      <c r="H32" s="556" t="s">
        <v>312</v>
      </c>
      <c r="I32" s="556" t="s">
        <v>313</v>
      </c>
      <c r="J32" s="556" t="s">
        <v>314</v>
      </c>
      <c r="K32" s="543"/>
      <c r="M32" s="583"/>
    </row>
    <row r="33" spans="1:13" s="1043" customFormat="1" ht="42.6" customHeight="1">
      <c r="A33" s="568">
        <f t="shared" si="6"/>
        <v>7</v>
      </c>
      <c r="B33" s="1041"/>
      <c r="C33" s="1042" t="s">
        <v>2730</v>
      </c>
      <c r="D33" s="1072" t="s">
        <v>2731</v>
      </c>
      <c r="E33" s="1072" t="s">
        <v>2732</v>
      </c>
      <c r="F33" s="1081"/>
      <c r="H33" s="811" t="s">
        <v>2730</v>
      </c>
      <c r="I33" s="811" t="s">
        <v>2222</v>
      </c>
      <c r="J33" s="1073" t="s">
        <v>2733</v>
      </c>
      <c r="K33" s="822"/>
      <c r="L33" s="822"/>
      <c r="M33" s="822"/>
    </row>
    <row r="34" spans="1:13" s="586" customFormat="1">
      <c r="A34" s="568">
        <f t="shared" si="6"/>
        <v>8</v>
      </c>
      <c r="B34" s="543"/>
      <c r="C34" s="556"/>
      <c r="D34" s="556"/>
      <c r="E34" s="556"/>
      <c r="F34" s="823"/>
      <c r="K34" s="823"/>
      <c r="L34" s="823"/>
      <c r="M34" s="824"/>
    </row>
    <row r="35" spans="1:13" s="578" customFormat="1" ht="47.45" customHeight="1">
      <c r="A35" s="568">
        <v>9</v>
      </c>
      <c r="B35" s="576" t="s">
        <v>2687</v>
      </c>
      <c r="C35" s="567" t="s">
        <v>2734</v>
      </c>
      <c r="D35" s="576" t="s">
        <v>2735</v>
      </c>
      <c r="E35" s="576" t="s">
        <v>2736</v>
      </c>
      <c r="F35" s="825"/>
      <c r="G35" s="576" t="s">
        <v>2687</v>
      </c>
      <c r="H35" s="576" t="s">
        <v>2737</v>
      </c>
      <c r="I35" s="576" t="s">
        <v>2738</v>
      </c>
      <c r="J35" s="576" t="s">
        <v>2739</v>
      </c>
      <c r="K35" s="825"/>
      <c r="L35" s="826"/>
      <c r="M35" s="826"/>
    </row>
    <row r="36" spans="1:13" s="580" customFormat="1">
      <c r="A36" s="579" t="s">
        <v>2740</v>
      </c>
      <c r="B36" s="1107" t="s">
        <v>2717</v>
      </c>
      <c r="C36" s="827">
        <f ca="1">D21</f>
        <v>1154475.9605277884</v>
      </c>
      <c r="D36" s="1055">
        <f>I21</f>
        <v>245.73199599999992</v>
      </c>
      <c r="E36" s="1056">
        <f ca="1">C36/D36/10^3</f>
        <v>4.6981100520902004</v>
      </c>
      <c r="F36" s="828"/>
      <c r="G36" s="1107" t="s">
        <v>2717</v>
      </c>
      <c r="H36" s="571">
        <f ca="1">D18</f>
        <v>114134821.47905722</v>
      </c>
      <c r="I36" s="818">
        <f>H18+H21</f>
        <v>20962.803735320002</v>
      </c>
      <c r="J36" s="580">
        <f ca="1">H36/(I36*10^3)</f>
        <v>5.444635313107125</v>
      </c>
      <c r="K36" s="829"/>
      <c r="L36" s="830"/>
      <c r="M36" s="828"/>
    </row>
    <row r="37" spans="1:13" s="580" customFormat="1">
      <c r="A37" s="579" t="s">
        <v>2741</v>
      </c>
      <c r="B37" s="1107" t="s">
        <v>2719</v>
      </c>
      <c r="C37" s="827">
        <f ca="1">D22</f>
        <v>2467247.8179883538</v>
      </c>
      <c r="D37" s="1055">
        <f>I22</f>
        <v>1243.1633339999998</v>
      </c>
      <c r="E37" s="1056">
        <f t="shared" ref="E37:E38" ca="1" si="7">C37/D37/10^3</f>
        <v>1.9846529820419831</v>
      </c>
      <c r="F37" s="828"/>
      <c r="G37" s="1107" t="s">
        <v>2719</v>
      </c>
      <c r="H37" s="571">
        <f t="shared" ref="H37:H38" ca="1" si="8">D19</f>
        <v>74102724.305389598</v>
      </c>
      <c r="I37" s="818">
        <f t="shared" ref="I37:I38" si="9">H19+H22</f>
        <v>13854.138359809996</v>
      </c>
      <c r="J37" s="580">
        <f t="shared" ref="J37:J38" ca="1" si="10">H37/(I37*10^3)</f>
        <v>5.3487789987977195</v>
      </c>
      <c r="K37" s="829"/>
      <c r="L37" s="830"/>
      <c r="M37" s="828"/>
    </row>
    <row r="38" spans="1:13" s="580" customFormat="1">
      <c r="A38" s="579" t="s">
        <v>2742</v>
      </c>
      <c r="B38" s="1107" t="s">
        <v>2721</v>
      </c>
      <c r="C38" s="827">
        <f ca="1">D23</f>
        <v>5134493.2453016154</v>
      </c>
      <c r="D38" s="1055">
        <f>I23</f>
        <v>8025.1616670000012</v>
      </c>
      <c r="E38" s="1056">
        <f t="shared" ca="1" si="7"/>
        <v>0.63979935337813731</v>
      </c>
      <c r="F38" s="828"/>
      <c r="G38" s="1107" t="s">
        <v>2721</v>
      </c>
      <c r="H38" s="571">
        <f t="shared" ca="1" si="8"/>
        <v>83981283.411342382</v>
      </c>
      <c r="I38" s="818">
        <f t="shared" si="9"/>
        <v>15854.420090279997</v>
      </c>
      <c r="J38" s="580">
        <f t="shared" ca="1" si="10"/>
        <v>5.2970265032165695</v>
      </c>
      <c r="K38" s="829"/>
      <c r="L38" s="830"/>
      <c r="M38" s="828"/>
    </row>
    <row r="39" spans="1:13" s="586" customFormat="1">
      <c r="A39" s="579" t="s">
        <v>2743</v>
      </c>
      <c r="B39" s="1108" t="s">
        <v>351</v>
      </c>
      <c r="C39" s="556"/>
      <c r="D39" s="556"/>
      <c r="E39" s="556"/>
      <c r="F39" s="556"/>
      <c r="G39" s="1108" t="s">
        <v>351</v>
      </c>
      <c r="H39" s="556"/>
      <c r="I39" s="575"/>
      <c r="K39" s="543"/>
      <c r="M39" s="583"/>
    </row>
    <row r="40" spans="1:13" s="554" customFormat="1">
      <c r="A40" s="568">
        <v>10</v>
      </c>
      <c r="B40" s="546"/>
      <c r="C40" s="556"/>
      <c r="D40" s="556"/>
      <c r="E40" s="556"/>
      <c r="F40" s="556"/>
      <c r="G40" s="556"/>
      <c r="H40" s="556"/>
      <c r="I40" s="575"/>
      <c r="K40" s="546"/>
      <c r="M40" s="545"/>
    </row>
    <row r="41" spans="1:13" s="586" customFormat="1">
      <c r="A41" s="568">
        <v>11</v>
      </c>
      <c r="B41" s="1063" t="s">
        <v>2744</v>
      </c>
      <c r="C41" s="543"/>
      <c r="D41" s="543"/>
      <c r="E41" s="543"/>
      <c r="G41" s="543"/>
      <c r="H41" s="543"/>
      <c r="I41" s="543"/>
      <c r="J41" s="543"/>
      <c r="K41" s="543"/>
      <c r="L41" s="543"/>
      <c r="M41" s="583"/>
    </row>
    <row r="42" spans="1:13" s="586" customFormat="1">
      <c r="A42" s="568">
        <v>12</v>
      </c>
      <c r="B42" s="543"/>
      <c r="C42" s="556" t="s">
        <v>307</v>
      </c>
      <c r="D42" s="556" t="s">
        <v>308</v>
      </c>
      <c r="E42" s="556" t="s">
        <v>309</v>
      </c>
      <c r="F42" s="556" t="s">
        <v>310</v>
      </c>
      <c r="G42" s="556" t="s">
        <v>311</v>
      </c>
      <c r="H42" s="556" t="s">
        <v>312</v>
      </c>
      <c r="I42" s="556" t="s">
        <v>313</v>
      </c>
      <c r="J42" s="556" t="s">
        <v>314</v>
      </c>
      <c r="K42" s="556" t="s">
        <v>315</v>
      </c>
      <c r="L42" s="556" t="s">
        <v>534</v>
      </c>
      <c r="M42" s="556" t="s">
        <v>535</v>
      </c>
    </row>
    <row r="43" spans="1:13" s="1043" customFormat="1" ht="56.45" customHeight="1">
      <c r="A43" s="582">
        <v>13</v>
      </c>
      <c r="B43" s="1041"/>
      <c r="C43" s="1072" t="s">
        <v>2745</v>
      </c>
      <c r="D43" s="1072" t="s">
        <v>2746</v>
      </c>
      <c r="E43" s="1072" t="s">
        <v>2747</v>
      </c>
      <c r="G43" s="1072" t="s">
        <v>2748</v>
      </c>
      <c r="H43" s="1072" t="s">
        <v>2749</v>
      </c>
      <c r="I43" s="1072" t="s">
        <v>2750</v>
      </c>
      <c r="J43" s="1072" t="s">
        <v>2751</v>
      </c>
      <c r="K43" s="1072" t="s">
        <v>2752</v>
      </c>
      <c r="L43" s="596"/>
      <c r="M43" s="1072" t="s">
        <v>2748</v>
      </c>
    </row>
    <row r="44" spans="1:13" s="586" customFormat="1">
      <c r="A44" s="568">
        <v>14</v>
      </c>
      <c r="B44" s="543"/>
      <c r="C44" s="583"/>
      <c r="D44" s="1080" t="s">
        <v>2753</v>
      </c>
      <c r="E44" s="813"/>
      <c r="G44" s="583"/>
      <c r="H44" s="583" t="s">
        <v>2754</v>
      </c>
      <c r="I44" s="583" t="s">
        <v>2755</v>
      </c>
      <c r="J44" s="583"/>
      <c r="K44" s="583"/>
      <c r="L44" s="583"/>
      <c r="M44" s="809"/>
    </row>
    <row r="45" spans="1:13" s="1044" customFormat="1" ht="64.150000000000006" customHeight="1">
      <c r="A45" s="568">
        <v>15</v>
      </c>
      <c r="B45" s="565" t="str">
        <f>B11</f>
        <v>CPUC Rate Group</v>
      </c>
      <c r="C45" s="567" t="s">
        <v>2756</v>
      </c>
      <c r="D45" s="567" t="s">
        <v>2757</v>
      </c>
      <c r="E45" s="567" t="s">
        <v>2758</v>
      </c>
      <c r="G45" s="567" t="s">
        <v>2759</v>
      </c>
      <c r="H45" s="567" t="s">
        <v>2760</v>
      </c>
      <c r="I45" s="577" t="s">
        <v>2761</v>
      </c>
      <c r="J45" s="567" t="s">
        <v>2762</v>
      </c>
      <c r="K45" s="577" t="s">
        <v>2763</v>
      </c>
      <c r="L45" s="584" t="s">
        <v>98</v>
      </c>
      <c r="M45" s="1001" t="s">
        <v>2764</v>
      </c>
    </row>
    <row r="46" spans="1:13" s="586" customFormat="1" ht="13.5" thickBot="1">
      <c r="A46" s="568" t="s">
        <v>2765</v>
      </c>
      <c r="B46" s="303" t="s">
        <v>2699</v>
      </c>
      <c r="C46" s="827">
        <f ca="1">D46+E46</f>
        <v>570774575.28860772</v>
      </c>
      <c r="D46" s="827">
        <f ca="1">D12-E46</f>
        <v>570774575.28860772</v>
      </c>
      <c r="E46" s="1057"/>
      <c r="G46" s="1057">
        <f ca="1">D46/(J12*10^6)</f>
        <v>2.1130033855710783E-2</v>
      </c>
      <c r="H46" s="1057"/>
      <c r="I46" s="1058"/>
      <c r="J46" s="1059"/>
      <c r="K46" s="1057"/>
      <c r="L46" s="1057"/>
      <c r="M46" s="1000"/>
    </row>
    <row r="47" spans="1:13" s="586" customFormat="1" ht="13.5" thickBot="1">
      <c r="A47" s="568" t="s">
        <v>2766</v>
      </c>
      <c r="B47" s="303" t="s">
        <v>2700</v>
      </c>
      <c r="C47" s="827">
        <f t="shared" ref="C47:C59" ca="1" si="11">D47+E47</f>
        <v>98445381.383350596</v>
      </c>
      <c r="D47" s="827">
        <f t="shared" ref="D47" ca="1" si="12">D13-E47</f>
        <v>98443621.132809147</v>
      </c>
      <c r="E47" s="827">
        <f ca="1">I47*I13*10^3</f>
        <v>1760.2505414476607</v>
      </c>
      <c r="G47" s="1057">
        <f ca="1">D47/(J13*10^6)</f>
        <v>1.6990277632047579E-2</v>
      </c>
      <c r="H47" s="1304">
        <f ca="1">(M14-E47)/N13/10^3</f>
        <v>3.4650601209599619</v>
      </c>
      <c r="I47" s="1305">
        <f ca="1">MIN($I$54,L14)</f>
        <v>3.4650601209599619</v>
      </c>
      <c r="J47" s="1305"/>
      <c r="K47" s="1305"/>
      <c r="L47" s="1303" t="s">
        <v>2767</v>
      </c>
      <c r="M47" s="1045">
        <f ca="1">$D47/(J13*10^6)</f>
        <v>1.6990277632047579E-2</v>
      </c>
    </row>
    <row r="48" spans="1:13" s="586" customFormat="1" ht="13.5" thickBot="1">
      <c r="A48" s="568" t="s">
        <v>2768</v>
      </c>
      <c r="B48" s="303" t="s">
        <v>2705</v>
      </c>
      <c r="C48" s="827">
        <f t="shared" ca="1" si="11"/>
        <v>634480.69609354949</v>
      </c>
      <c r="D48" s="827">
        <f ca="1">D15-E48</f>
        <v>634480.69609354949</v>
      </c>
      <c r="E48" s="1057"/>
      <c r="G48" s="1057">
        <f ca="1">D48/(J15*10^6)</f>
        <v>1.1127358883178314E-2</v>
      </c>
      <c r="H48" s="1057"/>
      <c r="I48" s="1058"/>
      <c r="J48" s="1059"/>
      <c r="K48" s="1057"/>
      <c r="L48" s="1057"/>
      <c r="M48" s="1102"/>
    </row>
    <row r="49" spans="1:13" s="586" customFormat="1">
      <c r="A49" s="568" t="s">
        <v>2769</v>
      </c>
      <c r="B49" s="303" t="s">
        <v>2707</v>
      </c>
      <c r="C49" s="827">
        <f t="shared" ca="1" si="11"/>
        <v>218952656.59820375</v>
      </c>
      <c r="D49" s="827">
        <f t="shared" ref="D49:D50" ca="1" si="13">D16-E49</f>
        <v>218784844.82404557</v>
      </c>
      <c r="E49" s="827">
        <f ca="1">I49*I16*10^3</f>
        <v>167811.7741581696</v>
      </c>
      <c r="G49" s="827"/>
      <c r="H49" s="831">
        <f t="shared" ref="H49:H58" ca="1" si="14">D49/H16/10^3</f>
        <v>4.7469653395385336</v>
      </c>
      <c r="I49" s="832">
        <f ca="1">MIN($I$54,L16)</f>
        <v>4.6981100520902004</v>
      </c>
      <c r="J49" s="1059"/>
      <c r="K49" s="1057"/>
      <c r="L49" s="1172" t="s">
        <v>2770</v>
      </c>
      <c r="M49" s="1103">
        <f ca="1">($D49+D50)/((J16+J17)*10^6)</f>
        <v>1.596399820405979E-2</v>
      </c>
    </row>
    <row r="50" spans="1:13" s="586" customFormat="1" ht="13.5" thickBot="1">
      <c r="A50" s="568" t="s">
        <v>2771</v>
      </c>
      <c r="B50" s="303" t="s">
        <v>2709</v>
      </c>
      <c r="C50" s="827">
        <f t="shared" ca="1" si="11"/>
        <v>113999170.21529363</v>
      </c>
      <c r="D50" s="827">
        <f t="shared" ca="1" si="13"/>
        <v>113663487.11373428</v>
      </c>
      <c r="E50" s="827">
        <f ca="1">I50*I17*10^3</f>
        <v>335683.1015593597</v>
      </c>
      <c r="G50" s="827"/>
      <c r="H50" s="831">
        <f t="shared" ca="1" si="14"/>
        <v>5.1506544529778218</v>
      </c>
      <c r="I50" s="832">
        <f ca="1">MIN($I$54,L17)</f>
        <v>4.6981100520902004</v>
      </c>
      <c r="J50" s="1059"/>
      <c r="K50" s="1057"/>
      <c r="L50" s="1173"/>
      <c r="M50" s="1104">
        <f ca="1">M49</f>
        <v>1.596399820405979E-2</v>
      </c>
    </row>
    <row r="51" spans="1:13" s="586" customFormat="1">
      <c r="A51" s="568" t="s">
        <v>2772</v>
      </c>
      <c r="B51" s="303" t="s">
        <v>2711</v>
      </c>
      <c r="C51" s="827">
        <f t="shared" ca="1" si="11"/>
        <v>112527041.61399531</v>
      </c>
      <c r="D51" s="827">
        <f ca="1">J36*H18*1000</f>
        <v>112527041.61399531</v>
      </c>
      <c r="E51" s="1057"/>
      <c r="G51" s="827"/>
      <c r="H51" s="831">
        <f t="shared" ca="1" si="14"/>
        <v>5.4446353131071259</v>
      </c>
      <c r="I51" s="1058"/>
      <c r="J51" s="1059"/>
      <c r="K51" s="1057"/>
      <c r="L51" s="1057"/>
      <c r="M51" s="1045">
        <f ca="1">$D51/(J18*10^6)</f>
        <v>1.3972395292738481E-2</v>
      </c>
    </row>
    <row r="52" spans="1:13" s="586" customFormat="1">
      <c r="A52" s="568" t="s">
        <v>2773</v>
      </c>
      <c r="B52" s="303" t="s">
        <v>2713</v>
      </c>
      <c r="C52" s="827">
        <f t="shared" ca="1" si="11"/>
        <v>68033239.518793643</v>
      </c>
      <c r="D52" s="827">
        <f t="shared" ref="D52:D53" ca="1" si="15">J37*H19*1000</f>
        <v>68033239.518793643</v>
      </c>
      <c r="E52" s="1057"/>
      <c r="G52" s="827"/>
      <c r="H52" s="831">
        <f t="shared" ca="1" si="14"/>
        <v>5.3487789987977186</v>
      </c>
      <c r="I52" s="1058"/>
      <c r="J52" s="1059"/>
      <c r="K52" s="1057"/>
      <c r="L52" s="1057"/>
      <c r="M52" s="1045">
        <f ca="1">$D52/(J19*10^6)</f>
        <v>1.2512517218190982E-2</v>
      </c>
    </row>
    <row r="53" spans="1:13" s="586" customFormat="1">
      <c r="A53" s="568" t="s">
        <v>2774</v>
      </c>
      <c r="B53" s="303" t="s">
        <v>2715</v>
      </c>
      <c r="C53" s="827">
        <f t="shared" ca="1" si="11"/>
        <v>64194437.8787193</v>
      </c>
      <c r="D53" s="827">
        <f t="shared" ca="1" si="15"/>
        <v>64194437.8787193</v>
      </c>
      <c r="E53" s="1057"/>
      <c r="G53" s="827"/>
      <c r="H53" s="831">
        <f t="shared" ca="1" si="14"/>
        <v>5.2970265032165695</v>
      </c>
      <c r="I53" s="1058"/>
      <c r="J53" s="1060"/>
      <c r="K53" s="1061"/>
      <c r="L53" s="1061"/>
      <c r="M53" s="1045">
        <f ca="1">$D53/(J20*10^6)</f>
        <v>1.0738815213739591E-2</v>
      </c>
    </row>
    <row r="54" spans="1:13" s="586" customFormat="1">
      <c r="A54" s="568" t="s">
        <v>2775</v>
      </c>
      <c r="B54" s="303" t="s">
        <v>2717</v>
      </c>
      <c r="C54" s="827">
        <f t="shared" ca="1" si="11"/>
        <v>2762255.8255896987</v>
      </c>
      <c r="D54" s="827">
        <f ca="1">J36*H21*1000</f>
        <v>1607779.8650619099</v>
      </c>
      <c r="E54" s="827">
        <f ca="1">I54*I21*10^3</f>
        <v>1154475.9605277886</v>
      </c>
      <c r="G54" s="827"/>
      <c r="H54" s="831">
        <f ca="1">J36</f>
        <v>5.444635313107125</v>
      </c>
      <c r="I54" s="832">
        <f ca="1">E36</f>
        <v>4.6981100520902004</v>
      </c>
      <c r="J54" s="1060"/>
      <c r="K54" s="1061"/>
      <c r="L54" s="1061"/>
      <c r="M54" s="557"/>
    </row>
    <row r="55" spans="1:13" s="586" customFormat="1">
      <c r="A55" s="568" t="s">
        <v>2776</v>
      </c>
      <c r="B55" s="303" t="s">
        <v>2719</v>
      </c>
      <c r="C55" s="827">
        <f t="shared" ca="1" si="11"/>
        <v>8536732.6045842953</v>
      </c>
      <c r="D55" s="827">
        <f t="shared" ref="D55:D56" ca="1" si="16">J37*H22*1000</f>
        <v>6069484.7865959406</v>
      </c>
      <c r="E55" s="827">
        <f ca="1">I55*I22*10^3</f>
        <v>2467247.8179883538</v>
      </c>
      <c r="G55" s="827"/>
      <c r="H55" s="831">
        <f ca="1">J37</f>
        <v>5.3487789987977195</v>
      </c>
      <c r="I55" s="832">
        <f ca="1">E37</f>
        <v>1.9846529820419831</v>
      </c>
      <c r="J55" s="1060"/>
      <c r="K55" s="1061"/>
      <c r="L55" s="1061"/>
      <c r="M55" s="557"/>
    </row>
    <row r="56" spans="1:13" s="586" customFormat="1" ht="13.5" thickBot="1">
      <c r="A56" s="568" t="s">
        <v>2777</v>
      </c>
      <c r="B56" s="303" t="s">
        <v>2721</v>
      </c>
      <c r="C56" s="827">
        <f t="shared" ca="1" si="11"/>
        <v>24921338.77792469</v>
      </c>
      <c r="D56" s="827">
        <f t="shared" ca="1" si="16"/>
        <v>19786845.532623075</v>
      </c>
      <c r="E56" s="827">
        <f ca="1">I56*I23*10^3</f>
        <v>5134493.2453016154</v>
      </c>
      <c r="G56" s="827"/>
      <c r="H56" s="831">
        <f ca="1">J38</f>
        <v>5.2970265032165695</v>
      </c>
      <c r="I56" s="832">
        <f ca="1">E38</f>
        <v>0.63979935337813731</v>
      </c>
      <c r="J56" s="1060"/>
      <c r="K56" s="1061"/>
      <c r="L56" s="1061"/>
      <c r="M56" s="557"/>
    </row>
    <row r="57" spans="1:13" s="586" customFormat="1" ht="13.5" thickBot="1">
      <c r="A57" s="568" t="s">
        <v>2778</v>
      </c>
      <c r="B57" s="303" t="s">
        <v>2723</v>
      </c>
      <c r="C57" s="827">
        <f t="shared" ca="1" si="11"/>
        <v>20811926.577329308</v>
      </c>
      <c r="D57" s="827">
        <f t="shared" ref="D57:D59" ca="1" si="17">D24-E57</f>
        <v>20810988.908626396</v>
      </c>
      <c r="E57" s="827">
        <f ca="1">I57*I24*10^3</f>
        <v>937.66870291074076</v>
      </c>
      <c r="G57" s="827"/>
      <c r="H57" s="831">
        <f t="shared" ca="1" si="14"/>
        <v>2.4418455804967207</v>
      </c>
      <c r="I57" s="832">
        <f ca="1">MIN($I$54,L24)</f>
        <v>2.4418455804967207</v>
      </c>
      <c r="J57" s="1306">
        <f ca="1">H57*0.746</f>
        <v>1.8216168030505537</v>
      </c>
      <c r="K57" s="1305">
        <f ca="1">I57*0.746</f>
        <v>1.8216168030505537</v>
      </c>
      <c r="L57" s="1303" t="s">
        <v>2779</v>
      </c>
      <c r="M57" s="557"/>
    </row>
    <row r="58" spans="1:13" s="586" customFormat="1">
      <c r="A58" s="568" t="s">
        <v>2780</v>
      </c>
      <c r="B58" s="303" t="s">
        <v>2725</v>
      </c>
      <c r="C58" s="827">
        <f t="shared" ca="1" si="11"/>
        <v>16013862.988363806</v>
      </c>
      <c r="D58" s="827">
        <f t="shared" ca="1" si="17"/>
        <v>15964852.360998927</v>
      </c>
      <c r="E58" s="827">
        <f ca="1">I58*I25*10^3</f>
        <v>49010.627364878965</v>
      </c>
      <c r="G58" s="827"/>
      <c r="H58" s="831">
        <f t="shared" ca="1" si="14"/>
        <v>3.1457406898486333</v>
      </c>
      <c r="I58" s="832">
        <f ca="1">MIN($I$54,L25)</f>
        <v>3.1457406898486333</v>
      </c>
      <c r="J58" s="1059"/>
      <c r="K58" s="1057"/>
      <c r="L58" s="1057"/>
      <c r="M58" s="557"/>
    </row>
    <row r="59" spans="1:13" s="586" customFormat="1">
      <c r="A59" s="568" t="s">
        <v>2781</v>
      </c>
      <c r="B59" s="303" t="s">
        <v>2727</v>
      </c>
      <c r="C59" s="827">
        <f t="shared" ca="1" si="11"/>
        <v>5047211.531573412</v>
      </c>
      <c r="D59" s="827">
        <f t="shared" ca="1" si="17"/>
        <v>5047211.531573412</v>
      </c>
      <c r="E59" s="1057"/>
      <c r="G59" s="1057">
        <f ca="1">D59/(J26*10^6)</f>
        <v>8.6801242552905084E-3</v>
      </c>
      <c r="H59" s="1057"/>
      <c r="I59" s="1058"/>
      <c r="J59" s="1059"/>
      <c r="K59" s="1057"/>
      <c r="L59" s="1057"/>
      <c r="M59" s="557"/>
    </row>
    <row r="60" spans="1:13" s="586" customFormat="1">
      <c r="A60" s="568" t="s">
        <v>2782</v>
      </c>
      <c r="B60" s="572" t="s">
        <v>351</v>
      </c>
      <c r="C60" s="827"/>
      <c r="D60" s="827"/>
      <c r="E60" s="1057"/>
      <c r="G60" s="1057"/>
      <c r="H60" s="1057"/>
      <c r="I60" s="1058"/>
      <c r="J60" s="1059"/>
      <c r="K60" s="1057"/>
      <c r="L60" s="1057"/>
      <c r="M60" s="557"/>
    </row>
    <row r="61" spans="1:13" s="586" customFormat="1">
      <c r="A61" s="568">
        <v>17</v>
      </c>
      <c r="B61" s="304" t="s">
        <v>406</v>
      </c>
      <c r="C61" s="1079">
        <f ca="1">SUM(C46:C60)</f>
        <v>1325654311.4984226</v>
      </c>
      <c r="D61" s="1079">
        <f ca="1">SUM(D46:D60)</f>
        <v>1316342891.0522778</v>
      </c>
      <c r="E61" s="1079">
        <f ca="1">SUM(E46:E59)</f>
        <v>9311420.4461445268</v>
      </c>
      <c r="G61" s="1062"/>
      <c r="H61" s="1062"/>
      <c r="I61" s="1062"/>
      <c r="J61" s="1062"/>
      <c r="K61" s="543"/>
      <c r="L61" s="543"/>
      <c r="M61" s="557"/>
    </row>
    <row r="62" spans="1:13" s="586" customFormat="1">
      <c r="A62" s="568">
        <v>18</v>
      </c>
      <c r="B62" s="543"/>
      <c r="C62" s="543"/>
      <c r="D62" s="543"/>
      <c r="E62" s="543"/>
      <c r="F62" s="543"/>
      <c r="G62" s="543"/>
      <c r="H62" s="543"/>
      <c r="I62" s="543"/>
      <c r="J62" s="543"/>
      <c r="K62" s="543"/>
      <c r="L62" s="543"/>
      <c r="M62" s="583"/>
    </row>
    <row r="63" spans="1:13" s="586" customFormat="1">
      <c r="A63" s="568">
        <v>19</v>
      </c>
      <c r="B63" s="585" t="s">
        <v>226</v>
      </c>
      <c r="C63" s="543"/>
      <c r="D63" s="543"/>
      <c r="E63" s="543"/>
      <c r="F63" s="543"/>
      <c r="G63" s="543"/>
      <c r="H63" s="543"/>
      <c r="I63" s="543"/>
      <c r="J63" s="543"/>
      <c r="K63" s="543"/>
      <c r="L63" s="543"/>
      <c r="M63" s="583"/>
    </row>
    <row r="64" spans="1:13" s="586" customFormat="1">
      <c r="A64" s="543"/>
      <c r="B64" s="586" t="s">
        <v>2783</v>
      </c>
      <c r="M64" s="583"/>
    </row>
    <row r="65" spans="1:13" s="586" customFormat="1">
      <c r="A65" s="543"/>
      <c r="B65" s="586" t="s">
        <v>2784</v>
      </c>
      <c r="M65" s="583"/>
    </row>
    <row r="66" spans="1:13" s="586" customFormat="1">
      <c r="A66" s="543"/>
      <c r="B66" s="586" t="s">
        <v>2785</v>
      </c>
      <c r="M66" s="583"/>
    </row>
    <row r="67" spans="1:13" s="586" customFormat="1">
      <c r="A67" s="543"/>
      <c r="B67" s="814" t="s">
        <v>2786</v>
      </c>
      <c r="M67" s="583"/>
    </row>
    <row r="68" spans="1:13" s="586" customFormat="1">
      <c r="A68" s="543"/>
      <c r="B68" s="814" t="s">
        <v>2787</v>
      </c>
      <c r="M68" s="583"/>
    </row>
    <row r="69" spans="1:13" s="586" customFormat="1">
      <c r="A69" s="543"/>
      <c r="B69" s="833" t="s">
        <v>2788</v>
      </c>
      <c r="M69" s="583"/>
    </row>
    <row r="70" spans="1:13" s="586" customFormat="1">
      <c r="A70" s="543"/>
      <c r="B70" s="586" t="s">
        <v>2789</v>
      </c>
      <c r="M70" s="583"/>
    </row>
    <row r="71" spans="1:13" s="586" customFormat="1">
      <c r="A71" s="543"/>
      <c r="B71" s="586" t="s">
        <v>2790</v>
      </c>
      <c r="M71" s="583"/>
    </row>
    <row r="72" spans="1:13" s="586" customFormat="1">
      <c r="A72" s="543"/>
      <c r="B72" s="586" t="s">
        <v>2791</v>
      </c>
      <c r="M72" s="583"/>
    </row>
    <row r="73" spans="1:13" s="586" customFormat="1">
      <c r="A73" s="543"/>
      <c r="B73" s="586" t="s">
        <v>2792</v>
      </c>
      <c r="M73" s="583"/>
    </row>
    <row r="74" spans="1:13" s="586" customFormat="1">
      <c r="A74" s="543"/>
      <c r="B74" s="586" t="s">
        <v>2793</v>
      </c>
      <c r="M74" s="583"/>
    </row>
    <row r="75" spans="1:13" s="586" customFormat="1">
      <c r="A75" s="543"/>
      <c r="B75" s="814" t="s">
        <v>2794</v>
      </c>
      <c r="M75" s="583"/>
    </row>
    <row r="76" spans="1:13" s="586" customFormat="1">
      <c r="A76" s="543"/>
      <c r="B76" s="814" t="s">
        <v>2795</v>
      </c>
      <c r="M76" s="583"/>
    </row>
    <row r="77" spans="1:13" s="586" customFormat="1">
      <c r="A77" s="543"/>
      <c r="B77" s="814" t="s">
        <v>2796</v>
      </c>
      <c r="M77" s="583"/>
    </row>
    <row r="78" spans="1:13" s="586" customFormat="1" ht="15.75">
      <c r="A78" s="543"/>
      <c r="B78" s="586" t="s">
        <v>2797</v>
      </c>
      <c r="M78" s="583"/>
    </row>
    <row r="79" spans="1:13" s="586" customFormat="1">
      <c r="A79" s="543"/>
      <c r="B79" s="586" t="s">
        <v>2798</v>
      </c>
      <c r="M79" s="583"/>
    </row>
    <row r="80" spans="1:13" s="586" customFormat="1">
      <c r="A80" s="543"/>
      <c r="B80" s="586" t="s">
        <v>2799</v>
      </c>
      <c r="M80" s="583"/>
    </row>
    <row r="81" spans="1:13" s="586" customFormat="1">
      <c r="A81" s="543"/>
      <c r="B81" s="543" t="s">
        <v>2800</v>
      </c>
      <c r="M81" s="583"/>
    </row>
    <row r="82" spans="1:13" s="586" customFormat="1">
      <c r="A82" s="543"/>
      <c r="B82" s="543" t="s">
        <v>2801</v>
      </c>
      <c r="M82" s="583"/>
    </row>
    <row r="83" spans="1:13" s="586" customFormat="1">
      <c r="A83" s="543"/>
      <c r="B83" s="586" t="s">
        <v>2802</v>
      </c>
      <c r="M83" s="583"/>
    </row>
    <row r="84" spans="1:13" s="586" customFormat="1">
      <c r="A84" s="543"/>
      <c r="B84" s="586" t="s">
        <v>2803</v>
      </c>
      <c r="M84" s="583"/>
    </row>
    <row r="85" spans="1:13">
      <c r="A85" s="568">
        <v>20</v>
      </c>
    </row>
    <row r="86" spans="1:13" s="554" customFormat="1">
      <c r="A86" s="568">
        <v>21</v>
      </c>
      <c r="B86" s="587"/>
      <c r="C86" s="546"/>
      <c r="D86" s="546"/>
      <c r="M86" s="545"/>
    </row>
    <row r="87" spans="1:13" s="586" customFormat="1" ht="15.75">
      <c r="A87" s="568">
        <v>22</v>
      </c>
      <c r="B87" s="542" t="s">
        <v>2804</v>
      </c>
      <c r="C87" s="543"/>
      <c r="D87" s="543"/>
      <c r="E87" s="543"/>
      <c r="F87" s="543"/>
      <c r="G87" s="543"/>
      <c r="H87" s="543"/>
      <c r="I87" s="543"/>
      <c r="J87" s="543"/>
      <c r="K87" s="543"/>
      <c r="L87" s="543"/>
      <c r="M87" s="583"/>
    </row>
    <row r="88" spans="1:13" s="543" customFormat="1">
      <c r="A88" s="568">
        <v>23</v>
      </c>
      <c r="M88" s="583"/>
    </row>
    <row r="89" spans="1:13" s="543" customFormat="1">
      <c r="A89" s="568">
        <v>24</v>
      </c>
      <c r="M89" s="583"/>
    </row>
    <row r="90" spans="1:13" s="586" customFormat="1" ht="25.5" customHeight="1">
      <c r="A90" s="568">
        <v>25</v>
      </c>
      <c r="B90" s="565" t="str">
        <f>B11</f>
        <v>CPUC Rate Group</v>
      </c>
      <c r="C90" s="588" t="s">
        <v>2805</v>
      </c>
      <c r="D90" s="589"/>
      <c r="E90" s="1105" t="s">
        <v>2805</v>
      </c>
      <c r="F90" s="589"/>
      <c r="G90" s="589"/>
      <c r="H90" s="589"/>
      <c r="I90" s="589"/>
      <c r="J90" s="589"/>
      <c r="K90" s="1106"/>
      <c r="L90" s="544"/>
      <c r="M90" s="1054"/>
    </row>
    <row r="91" spans="1:13" s="586" customFormat="1">
      <c r="A91" s="568" t="s">
        <v>2806</v>
      </c>
      <c r="B91" s="590" t="s">
        <v>2699</v>
      </c>
      <c r="C91" s="591" t="s">
        <v>2807</v>
      </c>
      <c r="D91" s="592"/>
      <c r="E91" s="592"/>
      <c r="F91" s="592"/>
      <c r="G91" s="592"/>
      <c r="H91" s="592"/>
      <c r="I91" s="592"/>
      <c r="J91" s="592"/>
      <c r="K91" s="592"/>
      <c r="M91" s="583"/>
    </row>
    <row r="92" spans="1:13" s="586" customFormat="1">
      <c r="A92" s="568"/>
      <c r="B92" s="815" t="s">
        <v>2808</v>
      </c>
      <c r="C92" s="1005" t="s">
        <v>2809</v>
      </c>
      <c r="D92" s="592"/>
      <c r="E92" s="817"/>
      <c r="F92" s="817"/>
      <c r="G92" s="817"/>
      <c r="H92" s="817"/>
      <c r="I92" s="592"/>
      <c r="J92" s="592"/>
      <c r="K92" s="592"/>
      <c r="M92" s="583"/>
    </row>
    <row r="93" spans="1:13" s="586" customFormat="1">
      <c r="A93" s="568" t="s">
        <v>2810</v>
      </c>
      <c r="B93" s="590" t="s">
        <v>2700</v>
      </c>
      <c r="C93" s="591" t="s">
        <v>2811</v>
      </c>
      <c r="D93" s="592"/>
      <c r="E93" s="592"/>
      <c r="F93" s="592"/>
      <c r="G93" s="592"/>
      <c r="H93" s="592"/>
      <c r="I93" s="592"/>
      <c r="J93" s="590"/>
      <c r="K93" s="592"/>
      <c r="M93" s="583"/>
    </row>
    <row r="94" spans="1:13" s="586" customFormat="1">
      <c r="A94" s="568" t="s">
        <v>2812</v>
      </c>
      <c r="B94" s="590" t="s">
        <v>2705</v>
      </c>
      <c r="C94" s="591" t="s">
        <v>2813</v>
      </c>
      <c r="D94" s="592"/>
      <c r="E94" s="592"/>
      <c r="F94" s="592"/>
      <c r="G94" s="592"/>
      <c r="H94" s="592"/>
      <c r="I94" s="592"/>
      <c r="J94" s="590"/>
      <c r="K94" s="592"/>
      <c r="M94" s="583"/>
    </row>
    <row r="95" spans="1:13" s="586" customFormat="1">
      <c r="A95" s="568" t="s">
        <v>2814</v>
      </c>
      <c r="B95" s="590" t="s">
        <v>2707</v>
      </c>
      <c r="C95" s="591" t="s">
        <v>2815</v>
      </c>
      <c r="D95" s="592"/>
      <c r="E95" s="592"/>
      <c r="F95" s="592"/>
      <c r="G95" s="592"/>
      <c r="H95" s="592"/>
      <c r="I95" s="592"/>
      <c r="J95" s="590"/>
      <c r="K95" s="592"/>
      <c r="M95" s="583"/>
    </row>
    <row r="96" spans="1:13" s="586" customFormat="1">
      <c r="A96" s="568" t="s">
        <v>2816</v>
      </c>
      <c r="B96" s="590" t="s">
        <v>2709</v>
      </c>
      <c r="C96" s="591" t="s">
        <v>2817</v>
      </c>
      <c r="D96" s="592"/>
      <c r="E96" s="592"/>
      <c r="F96" s="592"/>
      <c r="G96" s="592"/>
      <c r="H96" s="592"/>
      <c r="I96" s="592"/>
      <c r="J96" s="590"/>
      <c r="K96" s="592"/>
      <c r="M96" s="583"/>
    </row>
    <row r="97" spans="1:13" s="586" customFormat="1">
      <c r="A97" s="568" t="s">
        <v>2818</v>
      </c>
      <c r="B97" s="815" t="s">
        <v>2711</v>
      </c>
      <c r="C97" s="816" t="s">
        <v>2819</v>
      </c>
      <c r="D97" s="817"/>
      <c r="E97" s="817"/>
      <c r="F97" s="817"/>
      <c r="G97" s="817"/>
      <c r="H97" s="817"/>
      <c r="I97" s="817"/>
      <c r="J97" s="815"/>
      <c r="K97" s="592"/>
      <c r="M97" s="583"/>
    </row>
    <row r="98" spans="1:13" s="543" customFormat="1">
      <c r="A98" s="568" t="s">
        <v>2820</v>
      </c>
      <c r="B98" s="815" t="s">
        <v>2713</v>
      </c>
      <c r="C98" s="816" t="s">
        <v>2819</v>
      </c>
      <c r="D98" s="817"/>
      <c r="E98" s="817"/>
      <c r="F98" s="817"/>
      <c r="G98" s="817"/>
      <c r="H98" s="817"/>
      <c r="I98" s="817"/>
      <c r="J98" s="815"/>
      <c r="K98" s="592"/>
      <c r="L98" s="586"/>
      <c r="M98" s="583"/>
    </row>
    <row r="99" spans="1:13" s="543" customFormat="1">
      <c r="A99" s="568" t="s">
        <v>2821</v>
      </c>
      <c r="B99" s="815" t="s">
        <v>2715</v>
      </c>
      <c r="C99" s="816" t="s">
        <v>2819</v>
      </c>
      <c r="D99" s="817"/>
      <c r="E99" s="817"/>
      <c r="F99" s="817"/>
      <c r="G99" s="817"/>
      <c r="H99" s="817"/>
      <c r="I99" s="817"/>
      <c r="J99" s="815"/>
      <c r="K99" s="592"/>
      <c r="L99" s="586"/>
      <c r="M99" s="583"/>
    </row>
    <row r="100" spans="1:13" s="543" customFormat="1">
      <c r="A100" s="568" t="s">
        <v>2822</v>
      </c>
      <c r="B100" s="815" t="s">
        <v>2717</v>
      </c>
      <c r="C100" s="816" t="s">
        <v>2823</v>
      </c>
      <c r="D100" s="817"/>
      <c r="E100" s="817"/>
      <c r="F100" s="817"/>
      <c r="G100" s="817"/>
      <c r="H100" s="817"/>
      <c r="I100" s="817"/>
      <c r="J100" s="815"/>
      <c r="K100" s="592"/>
      <c r="L100" s="586"/>
      <c r="M100" s="583"/>
    </row>
    <row r="101" spans="1:13" s="543" customFormat="1">
      <c r="A101" s="568" t="s">
        <v>2824</v>
      </c>
      <c r="B101" s="815" t="s">
        <v>2719</v>
      </c>
      <c r="C101" s="816" t="s">
        <v>2825</v>
      </c>
      <c r="D101" s="817"/>
      <c r="E101" s="817"/>
      <c r="F101" s="817"/>
      <c r="G101" s="817"/>
      <c r="H101" s="817"/>
      <c r="I101" s="817"/>
      <c r="J101" s="815"/>
      <c r="K101" s="592"/>
      <c r="L101" s="586"/>
      <c r="M101" s="583"/>
    </row>
    <row r="102" spans="1:13" s="543" customFormat="1">
      <c r="A102" s="568" t="s">
        <v>2826</v>
      </c>
      <c r="B102" s="815" t="s">
        <v>2721</v>
      </c>
      <c r="C102" s="816" t="s">
        <v>2825</v>
      </c>
      <c r="D102" s="817"/>
      <c r="E102" s="817"/>
      <c r="F102" s="817"/>
      <c r="G102" s="817"/>
      <c r="H102" s="817"/>
      <c r="I102" s="817"/>
      <c r="J102" s="815"/>
      <c r="K102" s="592"/>
      <c r="L102" s="586"/>
      <c r="M102" s="583"/>
    </row>
    <row r="103" spans="1:13" s="543" customFormat="1">
      <c r="A103" s="568" t="s">
        <v>2827</v>
      </c>
      <c r="B103" s="590" t="s">
        <v>2723</v>
      </c>
      <c r="C103" s="591" t="s">
        <v>2828</v>
      </c>
      <c r="D103" s="592"/>
      <c r="E103" s="592"/>
      <c r="F103" s="592"/>
      <c r="G103" s="592"/>
      <c r="H103" s="592"/>
      <c r="I103" s="592"/>
      <c r="J103" s="590"/>
      <c r="K103" s="592"/>
      <c r="L103" s="586"/>
      <c r="M103" s="583"/>
    </row>
    <row r="104" spans="1:13" s="543" customFormat="1">
      <c r="A104" s="568" t="s">
        <v>2829</v>
      </c>
      <c r="B104" s="590" t="s">
        <v>2725</v>
      </c>
      <c r="C104" s="591" t="s">
        <v>2830</v>
      </c>
      <c r="D104" s="592"/>
      <c r="E104" s="592"/>
      <c r="F104" s="592"/>
      <c r="G104" s="592"/>
      <c r="H104" s="592"/>
      <c r="I104" s="592"/>
      <c r="J104" s="590"/>
      <c r="K104" s="592"/>
      <c r="L104" s="586"/>
      <c r="M104" s="583"/>
    </row>
    <row r="105" spans="1:13" s="543" customFormat="1">
      <c r="A105" s="568" t="s">
        <v>2831</v>
      </c>
      <c r="B105" s="590" t="s">
        <v>2727</v>
      </c>
      <c r="C105" s="591" t="s">
        <v>2832</v>
      </c>
      <c r="D105" s="592"/>
      <c r="E105" s="592"/>
      <c r="F105" s="592"/>
      <c r="G105" s="592"/>
      <c r="H105" s="592"/>
      <c r="I105" s="592"/>
      <c r="J105" s="590"/>
      <c r="K105" s="592"/>
      <c r="L105" s="586"/>
      <c r="M105" s="583"/>
    </row>
    <row r="106" spans="1:13" s="543" customFormat="1">
      <c r="A106" s="568" t="s">
        <v>2833</v>
      </c>
      <c r="B106" s="593" t="s">
        <v>351</v>
      </c>
      <c r="C106" s="591"/>
      <c r="D106" s="592"/>
      <c r="E106" s="592"/>
      <c r="F106" s="592"/>
      <c r="G106" s="592"/>
      <c r="H106" s="592"/>
      <c r="I106" s="592"/>
      <c r="J106" s="590"/>
      <c r="K106" s="592"/>
      <c r="L106" s="586"/>
      <c r="M106" s="583"/>
    </row>
    <row r="107" spans="1:13" s="543" customFormat="1">
      <c r="A107" s="568">
        <v>27</v>
      </c>
      <c r="M107" s="583"/>
    </row>
    <row r="108" spans="1:13" s="543" customFormat="1">
      <c r="A108" s="568">
        <f t="shared" ref="A108:A114" si="18">A107+1</f>
        <v>28</v>
      </c>
      <c r="M108" s="583"/>
    </row>
    <row r="109" spans="1:13" s="543" customFormat="1" ht="15.75">
      <c r="A109" s="568">
        <f t="shared" si="18"/>
        <v>29</v>
      </c>
      <c r="B109" s="542" t="s">
        <v>2834</v>
      </c>
      <c r="M109" s="583"/>
    </row>
    <row r="110" spans="1:13" s="543" customFormat="1">
      <c r="A110" s="568">
        <f t="shared" si="18"/>
        <v>30</v>
      </c>
      <c r="C110" s="556" t="s">
        <v>307</v>
      </c>
      <c r="D110" s="556" t="s">
        <v>308</v>
      </c>
      <c r="E110" s="556" t="s">
        <v>309</v>
      </c>
      <c r="F110" s="556" t="s">
        <v>310</v>
      </c>
      <c r="G110" s="594" t="s">
        <v>311</v>
      </c>
      <c r="H110" s="594" t="s">
        <v>312</v>
      </c>
      <c r="I110" s="594" t="s">
        <v>313</v>
      </c>
      <c r="J110" s="594" t="s">
        <v>314</v>
      </c>
      <c r="K110" s="594" t="s">
        <v>315</v>
      </c>
      <c r="L110" s="594" t="s">
        <v>534</v>
      </c>
      <c r="M110" s="594" t="s">
        <v>535</v>
      </c>
    </row>
    <row r="111" spans="1:13" s="1041" customFormat="1" ht="38.25">
      <c r="A111" s="595">
        <f t="shared" si="18"/>
        <v>31</v>
      </c>
      <c r="C111" s="561"/>
      <c r="D111" s="561"/>
      <c r="E111" s="561"/>
      <c r="F111" s="1072" t="s">
        <v>2835</v>
      </c>
      <c r="G111" s="596"/>
      <c r="H111" s="1072"/>
      <c r="I111" s="1073" t="s">
        <v>2836</v>
      </c>
      <c r="J111" s="1073" t="s">
        <v>2837</v>
      </c>
      <c r="K111" s="1073" t="s">
        <v>2838</v>
      </c>
      <c r="L111" s="1073" t="s">
        <v>2839</v>
      </c>
      <c r="M111" s="1073" t="s">
        <v>2840</v>
      </c>
    </row>
    <row r="112" spans="1:13" s="834" customFormat="1">
      <c r="A112" s="568">
        <f t="shared" si="18"/>
        <v>32</v>
      </c>
      <c r="C112" s="597"/>
      <c r="D112" s="597"/>
      <c r="E112" s="597"/>
      <c r="F112" s="1074"/>
      <c r="G112" s="598"/>
      <c r="H112" s="1074"/>
      <c r="I112" s="811" t="s">
        <v>2841</v>
      </c>
      <c r="J112" s="1075"/>
      <c r="K112" s="1074"/>
      <c r="L112" s="1074"/>
      <c r="M112" s="1074"/>
    </row>
    <row r="113" spans="1:13" s="543" customFormat="1" ht="21.75" customHeight="1">
      <c r="A113" s="568">
        <f t="shared" si="18"/>
        <v>33</v>
      </c>
      <c r="B113" s="1064"/>
      <c r="C113" s="1167" t="s">
        <v>2842</v>
      </c>
      <c r="D113" s="1168"/>
      <c r="E113" s="1168"/>
      <c r="F113" s="1171"/>
      <c r="G113" s="1064"/>
      <c r="H113" s="599"/>
      <c r="I113" s="1065"/>
      <c r="J113" s="1065"/>
      <c r="K113" s="1064"/>
      <c r="L113" s="1066" t="s">
        <v>2613</v>
      </c>
      <c r="M113" s="600"/>
    </row>
    <row r="114" spans="1:13" s="557" customFormat="1" ht="51.75" customHeight="1">
      <c r="A114" s="568">
        <f t="shared" si="18"/>
        <v>34</v>
      </c>
      <c r="B114" s="601" t="str">
        <f>B11</f>
        <v>CPUC Rate Group</v>
      </c>
      <c r="C114" s="602">
        <v>2015</v>
      </c>
      <c r="D114" s="603">
        <v>2016</v>
      </c>
      <c r="E114" s="603">
        <v>2017</v>
      </c>
      <c r="F114" s="601" t="s">
        <v>2843</v>
      </c>
      <c r="G114" s="601" t="s">
        <v>2844</v>
      </c>
      <c r="H114" s="604" t="s">
        <v>2845</v>
      </c>
      <c r="I114" s="835" t="s">
        <v>2846</v>
      </c>
      <c r="J114" s="601" t="s">
        <v>2691</v>
      </c>
      <c r="K114" s="601" t="s">
        <v>2847</v>
      </c>
      <c r="L114" s="601" t="s">
        <v>2848</v>
      </c>
      <c r="M114" s="601" t="s">
        <v>2849</v>
      </c>
    </row>
    <row r="115" spans="1:13" s="543" customFormat="1">
      <c r="A115" s="568" t="s">
        <v>2850</v>
      </c>
      <c r="B115" s="303" t="s">
        <v>2699</v>
      </c>
      <c r="C115" s="836">
        <v>70774.77</v>
      </c>
      <c r="D115" s="836">
        <v>70601.36</v>
      </c>
      <c r="E115" s="836">
        <v>78359.38</v>
      </c>
      <c r="F115" s="818">
        <f>(C115+D115+E115)/3</f>
        <v>73245.17</v>
      </c>
      <c r="G115" s="1067">
        <v>1.0905</v>
      </c>
      <c r="H115" s="751">
        <v>29636.809363333334</v>
      </c>
      <c r="I115" s="818">
        <f>E12</f>
        <v>28631.290870438635</v>
      </c>
      <c r="J115" s="818">
        <f>F12</f>
        <v>0</v>
      </c>
      <c r="K115" s="838">
        <f>I115+J115</f>
        <v>28631.290870438635</v>
      </c>
      <c r="L115" s="818">
        <f>(F115*G115)*(K115/H115)</f>
        <v>77163.895411725956</v>
      </c>
      <c r="M115" s="837">
        <f t="shared" ref="M115:M128" si="19">L115/$L$130</f>
        <v>0.43056064491160279</v>
      </c>
    </row>
    <row r="116" spans="1:13" s="543" customFormat="1">
      <c r="A116" s="568" t="s">
        <v>2851</v>
      </c>
      <c r="B116" s="303" t="s">
        <v>2700</v>
      </c>
      <c r="C116" s="836">
        <v>12888.83</v>
      </c>
      <c r="D116" s="836">
        <v>12483.47</v>
      </c>
      <c r="E116" s="836">
        <v>12202.27</v>
      </c>
      <c r="F116" s="818">
        <f t="shared" ref="F116:F128" si="20">(C116+D116+E116)/3</f>
        <v>12524.856666666667</v>
      </c>
      <c r="G116" s="1067">
        <v>1.0909</v>
      </c>
      <c r="H116" s="751">
        <v>5965.2236400000002</v>
      </c>
      <c r="I116" s="818">
        <f t="shared" ref="I116" si="21">E13</f>
        <v>5810.5051967389491</v>
      </c>
      <c r="J116" s="818">
        <f>F13</f>
        <v>0</v>
      </c>
      <c r="K116" s="838">
        <f t="shared" ref="K116:K128" si="22">I116+J116</f>
        <v>5810.5051967389491</v>
      </c>
      <c r="L116" s="818">
        <f t="shared" ref="L116:L128" si="23">(F116*G116)*(K116/H116)</f>
        <v>13308.982988584003</v>
      </c>
      <c r="M116" s="837">
        <f t="shared" si="19"/>
        <v>7.426172911705399E-2</v>
      </c>
    </row>
    <row r="117" spans="1:13" s="543" customFormat="1">
      <c r="A117" s="568" t="s">
        <v>2852</v>
      </c>
      <c r="B117" s="303" t="s">
        <v>2705</v>
      </c>
      <c r="C117" s="836">
        <v>83.21</v>
      </c>
      <c r="D117" s="836">
        <v>81.87</v>
      </c>
      <c r="E117" s="836">
        <v>82.93</v>
      </c>
      <c r="F117" s="818">
        <f t="shared" si="20"/>
        <v>82.67</v>
      </c>
      <c r="G117" s="1067">
        <v>1.0916999999999999</v>
      </c>
      <c r="H117" s="751">
        <v>59.994249999999994</v>
      </c>
      <c r="I117" s="818">
        <f t="shared" ref="I117:J119" si="24">E15</f>
        <v>57.019882503539996</v>
      </c>
      <c r="J117" s="818">
        <f t="shared" si="24"/>
        <v>0</v>
      </c>
      <c r="K117" s="838">
        <f t="shared" si="22"/>
        <v>57.019882503539996</v>
      </c>
      <c r="L117" s="818">
        <f t="shared" si="23"/>
        <v>85.776424167747834</v>
      </c>
      <c r="M117" s="837">
        <f t="shared" si="19"/>
        <v>4.7861700489351466E-4</v>
      </c>
    </row>
    <row r="118" spans="1:13" s="543" customFormat="1">
      <c r="A118" s="568" t="s">
        <v>2853</v>
      </c>
      <c r="B118" s="303" t="s">
        <v>2707</v>
      </c>
      <c r="C118" s="836">
        <v>30626.46</v>
      </c>
      <c r="D118" s="836">
        <v>29451.81</v>
      </c>
      <c r="E118" s="836">
        <v>28687.18</v>
      </c>
      <c r="F118" s="818">
        <f t="shared" si="20"/>
        <v>29588.483333333337</v>
      </c>
      <c r="G118" s="1067">
        <v>1.0905</v>
      </c>
      <c r="H118" s="751">
        <v>14647.508739999999</v>
      </c>
      <c r="I118" s="818">
        <f t="shared" si="24"/>
        <v>13437.396576219677</v>
      </c>
      <c r="J118" s="818">
        <f t="shared" si="24"/>
        <v>0</v>
      </c>
      <c r="K118" s="838">
        <f t="shared" si="22"/>
        <v>13437.396576219677</v>
      </c>
      <c r="L118" s="818">
        <f t="shared" si="23"/>
        <v>29600.547440853334</v>
      </c>
      <c r="M118" s="837">
        <f t="shared" si="19"/>
        <v>0.1651657258600967</v>
      </c>
    </row>
    <row r="119" spans="1:13" s="543" customFormat="1">
      <c r="A119" s="568" t="s">
        <v>2854</v>
      </c>
      <c r="B119" s="303" t="s">
        <v>2709</v>
      </c>
      <c r="C119" s="836">
        <v>16184.27</v>
      </c>
      <c r="D119" s="836">
        <v>15946.69</v>
      </c>
      <c r="E119" s="836">
        <v>15513.31</v>
      </c>
      <c r="F119" s="818">
        <f t="shared" si="20"/>
        <v>15881.423333333332</v>
      </c>
      <c r="G119" s="1067">
        <v>1.0900000000000001</v>
      </c>
      <c r="H119" s="751">
        <v>8538.9857400000001</v>
      </c>
      <c r="I119" s="818">
        <f t="shared" si="24"/>
        <v>7602.2401097238298</v>
      </c>
      <c r="J119" s="818">
        <f t="shared" si="24"/>
        <v>0</v>
      </c>
      <c r="K119" s="838">
        <f t="shared" si="22"/>
        <v>7602.2401097238298</v>
      </c>
      <c r="L119" s="818">
        <f t="shared" si="23"/>
        <v>15411.723696817646</v>
      </c>
      <c r="M119" s="837">
        <f t="shared" si="19"/>
        <v>8.5994643721587785E-2</v>
      </c>
    </row>
    <row r="120" spans="1:13" s="543" customFormat="1">
      <c r="A120" s="568" t="s">
        <v>2855</v>
      </c>
      <c r="B120" s="303" t="s">
        <v>2711</v>
      </c>
      <c r="C120" s="836">
        <v>14907.32</v>
      </c>
      <c r="D120" s="836">
        <v>14707.02</v>
      </c>
      <c r="E120" s="836">
        <v>14237.300000000001</v>
      </c>
      <c r="F120" s="818">
        <f t="shared" si="20"/>
        <v>14617.213333333333</v>
      </c>
      <c r="G120" s="1067">
        <v>1.0909</v>
      </c>
      <c r="H120" s="752">
        <v>8474.407156213334</v>
      </c>
      <c r="I120" s="818">
        <f>E18+E21</f>
        <v>8200.2574398223005</v>
      </c>
      <c r="J120" s="818">
        <f t="shared" ref="J120:J128" si="25">F18</f>
        <v>0</v>
      </c>
      <c r="K120" s="838">
        <f>I120+J120</f>
        <v>8200.2574398223005</v>
      </c>
      <c r="L120" s="818">
        <f t="shared" si="23"/>
        <v>15430.062600445632</v>
      </c>
      <c r="M120" s="837">
        <f t="shared" si="19"/>
        <v>8.6096971502357622E-2</v>
      </c>
    </row>
    <row r="121" spans="1:13" s="543" customFormat="1">
      <c r="A121" s="568" t="s">
        <v>2856</v>
      </c>
      <c r="B121" s="303" t="s">
        <v>2713</v>
      </c>
      <c r="C121" s="836">
        <v>9881.76</v>
      </c>
      <c r="D121" s="836">
        <v>9683.99</v>
      </c>
      <c r="E121" s="836">
        <v>9644.42</v>
      </c>
      <c r="F121" s="818">
        <f t="shared" si="20"/>
        <v>9736.7233333333334</v>
      </c>
      <c r="G121" s="1067">
        <v>1.0644</v>
      </c>
      <c r="H121" s="752">
        <v>6119.9858014066667</v>
      </c>
      <c r="I121" s="818">
        <f>E19+E22</f>
        <v>5915.8399744524395</v>
      </c>
      <c r="J121" s="818">
        <f t="shared" si="25"/>
        <v>0</v>
      </c>
      <c r="K121" s="838">
        <f t="shared" si="22"/>
        <v>5915.8399744524395</v>
      </c>
      <c r="L121" s="818">
        <f t="shared" si="23"/>
        <v>10018.061622898596</v>
      </c>
      <c r="M121" s="837">
        <f t="shared" si="19"/>
        <v>5.5898980347017686E-2</v>
      </c>
    </row>
    <row r="122" spans="1:13" s="543" customFormat="1">
      <c r="A122" s="568" t="s">
        <v>2857</v>
      </c>
      <c r="B122" s="303" t="s">
        <v>2715</v>
      </c>
      <c r="C122" s="836">
        <v>10984.46</v>
      </c>
      <c r="D122" s="836">
        <v>11021.36</v>
      </c>
      <c r="E122" s="836">
        <v>11029.240000000002</v>
      </c>
      <c r="F122" s="818">
        <f t="shared" si="20"/>
        <v>11011.686666666666</v>
      </c>
      <c r="G122" s="1067">
        <v>1.0315000000000001</v>
      </c>
      <c r="H122" s="752">
        <v>7835.8772849999996</v>
      </c>
      <c r="I122" s="818">
        <f>E20+E23</f>
        <v>7832.4310417411843</v>
      </c>
      <c r="J122" s="818">
        <f t="shared" si="25"/>
        <v>0</v>
      </c>
      <c r="K122" s="838">
        <f t="shared" si="22"/>
        <v>7832.4310417411843</v>
      </c>
      <c r="L122" s="818">
        <f t="shared" si="23"/>
        <v>11353.559268856037</v>
      </c>
      <c r="M122" s="837">
        <f t="shared" si="19"/>
        <v>6.3350816787534958E-2</v>
      </c>
    </row>
    <row r="123" spans="1:13" s="543" customFormat="1">
      <c r="A123" s="568" t="s">
        <v>2858</v>
      </c>
      <c r="B123" s="303" t="s">
        <v>2717</v>
      </c>
      <c r="C123" s="836">
        <v>143.15</v>
      </c>
      <c r="D123" s="836">
        <v>155.46</v>
      </c>
      <c r="E123" s="836">
        <v>142.24</v>
      </c>
      <c r="F123" s="818">
        <f t="shared" si="20"/>
        <v>146.95000000000002</v>
      </c>
      <c r="G123" s="1067">
        <v>1.0911</v>
      </c>
      <c r="H123" s="752">
        <v>92.210678383333331</v>
      </c>
      <c r="I123" s="838">
        <f>E21*0</f>
        <v>0</v>
      </c>
      <c r="J123" s="818">
        <f t="shared" si="25"/>
        <v>89.759720000000002</v>
      </c>
      <c r="K123" s="838">
        <f t="shared" si="22"/>
        <v>89.759720000000002</v>
      </c>
      <c r="L123" s="818">
        <f t="shared" si="23"/>
        <v>156.07538620386791</v>
      </c>
      <c r="M123" s="837">
        <f t="shared" si="19"/>
        <v>8.7087255743381012E-4</v>
      </c>
    </row>
    <row r="124" spans="1:13" s="543" customFormat="1">
      <c r="A124" s="568" t="s">
        <v>2859</v>
      </c>
      <c r="B124" s="303" t="s">
        <v>2719</v>
      </c>
      <c r="C124" s="836">
        <v>311.39999999999998</v>
      </c>
      <c r="D124" s="836">
        <v>372.99</v>
      </c>
      <c r="E124" s="836">
        <v>301.33999999999997</v>
      </c>
      <c r="F124" s="818">
        <f t="shared" si="20"/>
        <v>328.57666666666665</v>
      </c>
      <c r="G124" s="1067">
        <v>1.0645</v>
      </c>
      <c r="H124" s="752">
        <v>236.87991790000001</v>
      </c>
      <c r="I124" s="838">
        <f>E22*0</f>
        <v>0</v>
      </c>
      <c r="J124" s="818">
        <f t="shared" si="25"/>
        <v>225.89580000000001</v>
      </c>
      <c r="K124" s="838">
        <f t="shared" si="22"/>
        <v>225.89580000000001</v>
      </c>
      <c r="L124" s="818">
        <f t="shared" si="23"/>
        <v>333.55103892950564</v>
      </c>
      <c r="M124" s="837">
        <f t="shared" si="19"/>
        <v>1.8611547494607075E-3</v>
      </c>
    </row>
    <row r="125" spans="1:13" s="543" customFormat="1">
      <c r="A125" s="568" t="s">
        <v>2860</v>
      </c>
      <c r="B125" s="303" t="s">
        <v>2721</v>
      </c>
      <c r="C125" s="756">
        <v>631.27</v>
      </c>
      <c r="D125" s="756">
        <v>713.8</v>
      </c>
      <c r="E125" s="756">
        <v>601.61</v>
      </c>
      <c r="F125" s="818">
        <f t="shared" si="20"/>
        <v>648.89333333333332</v>
      </c>
      <c r="G125" s="1067">
        <v>1.0316000000000001</v>
      </c>
      <c r="H125" s="752">
        <v>509.32681992333346</v>
      </c>
      <c r="I125" s="838">
        <f>E23*0</f>
        <v>0</v>
      </c>
      <c r="J125" s="818">
        <f t="shared" si="25"/>
        <v>528.15210000000002</v>
      </c>
      <c r="K125" s="838">
        <f t="shared" si="22"/>
        <v>528.15210000000002</v>
      </c>
      <c r="L125" s="818">
        <f t="shared" si="23"/>
        <v>694.14006321555769</v>
      </c>
      <c r="M125" s="837">
        <f t="shared" si="19"/>
        <v>3.8731765896781634E-3</v>
      </c>
    </row>
    <row r="126" spans="1:13" s="543" customFormat="1">
      <c r="A126" s="568" t="s">
        <v>2861</v>
      </c>
      <c r="B126" s="303" t="s">
        <v>2723</v>
      </c>
      <c r="C126" s="836">
        <v>3023.59</v>
      </c>
      <c r="D126" s="836">
        <v>2748.37</v>
      </c>
      <c r="E126" s="836">
        <v>2325.3000000000002</v>
      </c>
      <c r="F126" s="818">
        <f t="shared" si="20"/>
        <v>2699.0866666666666</v>
      </c>
      <c r="G126" s="1067">
        <v>1.091</v>
      </c>
      <c r="H126" s="751">
        <v>1913.0997500000001</v>
      </c>
      <c r="I126" s="818">
        <f>E24</f>
        <v>1827.9227741917898</v>
      </c>
      <c r="J126" s="818">
        <f t="shared" si="25"/>
        <v>0</v>
      </c>
      <c r="K126" s="838">
        <f t="shared" si="22"/>
        <v>1827.9227741917898</v>
      </c>
      <c r="L126" s="818">
        <f t="shared" si="23"/>
        <v>2813.5964621716603</v>
      </c>
      <c r="M126" s="837">
        <f t="shared" si="19"/>
        <v>1.5699361739189024E-2</v>
      </c>
    </row>
    <row r="127" spans="1:13" s="543" customFormat="1">
      <c r="A127" s="568" t="s">
        <v>2862</v>
      </c>
      <c r="B127" s="303" t="s">
        <v>2725</v>
      </c>
      <c r="C127" s="836">
        <v>1832.57</v>
      </c>
      <c r="D127" s="836">
        <v>1891.42</v>
      </c>
      <c r="E127" s="836">
        <v>1857.81</v>
      </c>
      <c r="F127" s="818">
        <f t="shared" si="20"/>
        <v>1860.5999999999997</v>
      </c>
      <c r="G127" s="1067">
        <v>1.0895999999999999</v>
      </c>
      <c r="H127" s="751">
        <v>1388.3481100000001</v>
      </c>
      <c r="I127" s="818">
        <f>E25</f>
        <v>1482.5996552531599</v>
      </c>
      <c r="J127" s="818">
        <f t="shared" si="25"/>
        <v>0</v>
      </c>
      <c r="K127" s="838">
        <f t="shared" si="22"/>
        <v>1482.5996552531599</v>
      </c>
      <c r="L127" s="818">
        <f t="shared" si="23"/>
        <v>2164.9388432324549</v>
      </c>
      <c r="M127" s="837">
        <f t="shared" si="19"/>
        <v>1.2079969000563129E-2</v>
      </c>
    </row>
    <row r="128" spans="1:13" s="543" customFormat="1">
      <c r="A128" s="568" t="s">
        <v>2863</v>
      </c>
      <c r="B128" s="303" t="s">
        <v>2727</v>
      </c>
      <c r="C128" s="836">
        <v>659.6</v>
      </c>
      <c r="D128" s="836">
        <v>684.89</v>
      </c>
      <c r="E128" s="836">
        <v>959.84</v>
      </c>
      <c r="F128" s="818">
        <f t="shared" si="20"/>
        <v>768.11</v>
      </c>
      <c r="G128" s="1067">
        <v>1.0938000000000001</v>
      </c>
      <c r="H128" s="751">
        <v>715.95523999999989</v>
      </c>
      <c r="I128" s="818">
        <f>E26</f>
        <v>581.46765911756995</v>
      </c>
      <c r="J128" s="818">
        <f t="shared" si="25"/>
        <v>0</v>
      </c>
      <c r="K128" s="838">
        <f t="shared" si="22"/>
        <v>581.46765911756995</v>
      </c>
      <c r="L128" s="818">
        <f t="shared" si="23"/>
        <v>682.34031368033391</v>
      </c>
      <c r="M128" s="837">
        <f t="shared" si="19"/>
        <v>3.8073361115300206E-3</v>
      </c>
    </row>
    <row r="129" spans="1:13" s="543" customFormat="1">
      <c r="A129" s="568" t="s">
        <v>2864</v>
      </c>
      <c r="B129" s="572" t="s">
        <v>351</v>
      </c>
      <c r="C129" s="836"/>
      <c r="D129" s="836"/>
      <c r="E129" s="836"/>
      <c r="F129" s="818"/>
      <c r="G129" s="1067"/>
      <c r="H129" s="751"/>
      <c r="K129" s="838"/>
      <c r="L129" s="818"/>
      <c r="M129" s="837"/>
    </row>
    <row r="130" spans="1:13" s="543" customFormat="1">
      <c r="A130" s="568">
        <v>36</v>
      </c>
      <c r="B130" s="306" t="s">
        <v>406</v>
      </c>
      <c r="C130" s="1076">
        <f>SUM(C115:C129)</f>
        <v>172932.66</v>
      </c>
      <c r="D130" s="1076">
        <f>SUM(D115:D129)</f>
        <v>170544.5</v>
      </c>
      <c r="E130" s="1076">
        <f>SUM(E115:E129)</f>
        <v>175944.16999999995</v>
      </c>
      <c r="F130" s="1076">
        <f>SUM(F115:F129)</f>
        <v>173140.44333333333</v>
      </c>
      <c r="G130" s="1077"/>
      <c r="H130" s="1076">
        <f t="shared" ref="H130:M130" si="26">SUM(H115:H129)</f>
        <v>86134.612492159984</v>
      </c>
      <c r="I130" s="1076">
        <f t="shared" si="26"/>
        <v>81378.97118020308</v>
      </c>
      <c r="J130" s="1076">
        <f t="shared" si="26"/>
        <v>843.80762000000004</v>
      </c>
      <c r="K130" s="1076">
        <f t="shared" si="26"/>
        <v>82222.778800203087</v>
      </c>
      <c r="L130" s="1076">
        <f t="shared" si="26"/>
        <v>179217.25156178235</v>
      </c>
      <c r="M130" s="1078">
        <f t="shared" si="26"/>
        <v>1</v>
      </c>
    </row>
    <row r="131" spans="1:13">
      <c r="J131" s="605"/>
      <c r="L131" s="580"/>
      <c r="M131" s="581"/>
    </row>
    <row r="132" spans="1:13">
      <c r="J132" s="605"/>
      <c r="L132" s="580"/>
      <c r="M132" s="581"/>
    </row>
    <row r="133" spans="1:13">
      <c r="J133" s="605"/>
      <c r="L133" s="580"/>
      <c r="M133" s="581"/>
    </row>
    <row r="134" spans="1:13">
      <c r="J134" s="605"/>
      <c r="L134" s="580"/>
      <c r="M134" s="581"/>
    </row>
    <row r="135" spans="1:13">
      <c r="J135" s="605"/>
      <c r="L135" s="580"/>
      <c r="M135" s="581"/>
    </row>
    <row r="136" spans="1:13">
      <c r="J136" s="605"/>
      <c r="L136" s="580"/>
      <c r="M136" s="581"/>
    </row>
    <row r="137" spans="1:13">
      <c r="J137" s="605"/>
      <c r="L137" s="580"/>
      <c r="M137" s="581"/>
    </row>
    <row r="138" spans="1:13">
      <c r="J138" s="605"/>
      <c r="L138" s="580"/>
      <c r="M138" s="581"/>
    </row>
    <row r="139" spans="1:13">
      <c r="J139" s="605"/>
      <c r="L139" s="580"/>
      <c r="M139" s="581"/>
    </row>
    <row r="140" spans="1:13">
      <c r="L140" s="580"/>
    </row>
    <row r="144" spans="1:13">
      <c r="M144" s="546"/>
    </row>
    <row r="145" spans="13:13">
      <c r="M145" s="546"/>
    </row>
    <row r="146" spans="13:13">
      <c r="M146" s="546"/>
    </row>
    <row r="147" spans="13:13">
      <c r="M147" s="546"/>
    </row>
    <row r="148" spans="13:13">
      <c r="M148" s="546"/>
    </row>
    <row r="149" spans="13:13">
      <c r="M149" s="546"/>
    </row>
    <row r="150" spans="13:13">
      <c r="M150" s="546"/>
    </row>
    <row r="151" spans="13:13">
      <c r="M151" s="546"/>
    </row>
    <row r="152" spans="13:13">
      <c r="M152" s="546"/>
    </row>
    <row r="153" spans="13:13">
      <c r="M153" s="546"/>
    </row>
    <row r="154" spans="13:13">
      <c r="M154" s="546"/>
    </row>
    <row r="155" spans="13:13">
      <c r="M155" s="546"/>
    </row>
    <row r="156" spans="13:13">
      <c r="M156" s="546"/>
    </row>
    <row r="157" spans="13:13">
      <c r="M157" s="546"/>
    </row>
    <row r="158" spans="13:13">
      <c r="M158" s="546"/>
    </row>
    <row r="159" spans="13:13">
      <c r="M159" s="546"/>
    </row>
    <row r="160" spans="13:13">
      <c r="M160" s="546"/>
    </row>
    <row r="161" spans="13:13">
      <c r="M161" s="546"/>
    </row>
    <row r="162" spans="13:13">
      <c r="M162" s="546"/>
    </row>
    <row r="163" spans="13:13">
      <c r="M163" s="546"/>
    </row>
    <row r="164" spans="13:13">
      <c r="M164" s="546"/>
    </row>
    <row r="165" spans="13:13">
      <c r="M165" s="546"/>
    </row>
    <row r="166" spans="13:13">
      <c r="M166" s="546"/>
    </row>
    <row r="167" spans="13:13">
      <c r="M167" s="546"/>
    </row>
    <row r="168" spans="13:13">
      <c r="M168" s="546"/>
    </row>
    <row r="169" spans="13:13">
      <c r="M169" s="546"/>
    </row>
    <row r="170" spans="13:13">
      <c r="M170" s="546"/>
    </row>
    <row r="171" spans="13:13">
      <c r="M171" s="546"/>
    </row>
    <row r="172" spans="13:13">
      <c r="M172" s="546"/>
    </row>
    <row r="173" spans="13:13">
      <c r="M173" s="546"/>
    </row>
    <row r="174" spans="13:13">
      <c r="M174" s="546"/>
    </row>
    <row r="175" spans="13:13">
      <c r="M175" s="546"/>
    </row>
    <row r="176" spans="13:13">
      <c r="M176" s="546"/>
    </row>
    <row r="177" spans="13:13">
      <c r="M177" s="546"/>
    </row>
    <row r="178" spans="13:13">
      <c r="M178" s="546"/>
    </row>
    <row r="179" spans="13:13">
      <c r="M179" s="546"/>
    </row>
    <row r="180" spans="13:13">
      <c r="M180" s="546"/>
    </row>
    <row r="181" spans="13:13">
      <c r="M181" s="546"/>
    </row>
    <row r="182" spans="13:13">
      <c r="M182" s="546"/>
    </row>
    <row r="183" spans="13:13">
      <c r="M183" s="546"/>
    </row>
    <row r="184" spans="13:13">
      <c r="M184" s="546"/>
    </row>
    <row r="185" spans="13:13">
      <c r="M185" s="546"/>
    </row>
    <row r="186" spans="13:13">
      <c r="M186" s="546"/>
    </row>
    <row r="187" spans="13:13">
      <c r="M187" s="546"/>
    </row>
    <row r="188" spans="13:13">
      <c r="M188" s="546"/>
    </row>
    <row r="189" spans="13:13">
      <c r="M189" s="546"/>
    </row>
    <row r="190" spans="13:13">
      <c r="M190" s="546"/>
    </row>
    <row r="191" spans="13:13">
      <c r="M191" s="546"/>
    </row>
    <row r="192" spans="13:13">
      <c r="M192" s="546"/>
    </row>
    <row r="193" spans="13:13">
      <c r="M193" s="546"/>
    </row>
    <row r="194" spans="13:13">
      <c r="M194" s="546"/>
    </row>
    <row r="195" spans="13:13">
      <c r="M195" s="546"/>
    </row>
    <row r="196" spans="13:13">
      <c r="M196" s="546"/>
    </row>
    <row r="197" spans="13:13">
      <c r="M197" s="546"/>
    </row>
    <row r="198" spans="13:13">
      <c r="M198" s="546"/>
    </row>
    <row r="199" spans="13:13">
      <c r="M199" s="546"/>
    </row>
    <row r="200" spans="13:13">
      <c r="M200" s="546"/>
    </row>
    <row r="201" spans="13:13">
      <c r="M201" s="546"/>
    </row>
    <row r="202" spans="13:13">
      <c r="M202" s="546"/>
    </row>
    <row r="203" spans="13:13">
      <c r="M203" s="546"/>
    </row>
    <row r="204" spans="13:13">
      <c r="M204" s="546"/>
    </row>
    <row r="205" spans="13:13">
      <c r="M205" s="546"/>
    </row>
    <row r="206" spans="13:13">
      <c r="M206" s="546"/>
    </row>
    <row r="207" spans="13:13">
      <c r="M207" s="546"/>
    </row>
    <row r="208" spans="13:13">
      <c r="M208" s="546"/>
    </row>
    <row r="209" spans="13:13">
      <c r="M209" s="546"/>
    </row>
    <row r="210" spans="13:13">
      <c r="M210" s="546"/>
    </row>
    <row r="211" spans="13:13">
      <c r="M211" s="546"/>
    </row>
    <row r="212" spans="13:13">
      <c r="M212" s="546"/>
    </row>
    <row r="213" spans="13:13">
      <c r="M213" s="546"/>
    </row>
    <row r="214" spans="13:13">
      <c r="M214" s="546"/>
    </row>
    <row r="215" spans="13:13">
      <c r="M215" s="546"/>
    </row>
    <row r="216" spans="13:13">
      <c r="M216" s="546"/>
    </row>
    <row r="217" spans="13:13">
      <c r="M217" s="546"/>
    </row>
    <row r="218" spans="13:13">
      <c r="M218" s="546"/>
    </row>
    <row r="219" spans="13:13">
      <c r="M219" s="546"/>
    </row>
    <row r="220" spans="13:13">
      <c r="M220" s="546"/>
    </row>
    <row r="221" spans="13:13">
      <c r="M221" s="546"/>
    </row>
    <row r="222" spans="13:13">
      <c r="M222" s="546"/>
    </row>
    <row r="223" spans="13:13">
      <c r="M223" s="546"/>
    </row>
    <row r="224" spans="13:13">
      <c r="M224" s="546"/>
    </row>
    <row r="225" spans="13:13">
      <c r="M225" s="546"/>
    </row>
    <row r="226" spans="13:13">
      <c r="M226" s="546"/>
    </row>
    <row r="227" spans="13:13">
      <c r="M227" s="546"/>
    </row>
    <row r="228" spans="13:13">
      <c r="M228" s="546"/>
    </row>
    <row r="229" spans="13:13">
      <c r="M229" s="546"/>
    </row>
    <row r="230" spans="13:13">
      <c r="M230" s="546"/>
    </row>
    <row r="231" spans="13:13">
      <c r="M231" s="546"/>
    </row>
    <row r="232" spans="13:13">
      <c r="M232" s="546"/>
    </row>
    <row r="233" spans="13:13">
      <c r="M233" s="546"/>
    </row>
    <row r="234" spans="13:13">
      <c r="M234" s="546"/>
    </row>
    <row r="235" spans="13:13">
      <c r="M235" s="546"/>
    </row>
    <row r="236" spans="13:13">
      <c r="M236" s="546"/>
    </row>
    <row r="237" spans="13:13">
      <c r="M237" s="546"/>
    </row>
    <row r="238" spans="13:13">
      <c r="M238" s="546"/>
    </row>
    <row r="239" spans="13:13">
      <c r="M239" s="546"/>
    </row>
    <row r="240" spans="13:13">
      <c r="M240" s="546"/>
    </row>
    <row r="241" spans="13:13">
      <c r="M241" s="546"/>
    </row>
    <row r="242" spans="13:13">
      <c r="M242" s="546"/>
    </row>
    <row r="243" spans="13:13">
      <c r="M243" s="546"/>
    </row>
    <row r="244" spans="13:13">
      <c r="M244" s="546"/>
    </row>
    <row r="245" spans="13:13">
      <c r="M245" s="546"/>
    </row>
    <row r="246" spans="13:13">
      <c r="M246" s="546"/>
    </row>
    <row r="247" spans="13:13">
      <c r="M247" s="546"/>
    </row>
    <row r="248" spans="13:13">
      <c r="M248" s="546"/>
    </row>
    <row r="249" spans="13:13">
      <c r="M249" s="546"/>
    </row>
    <row r="250" spans="13:13">
      <c r="M250" s="546"/>
    </row>
    <row r="251" spans="13:13">
      <c r="M251" s="546"/>
    </row>
    <row r="252" spans="13:13">
      <c r="M252" s="546"/>
    </row>
  </sheetData>
  <mergeCells count="3">
    <mergeCell ref="E9:I9"/>
    <mergeCell ref="C113:F113"/>
    <mergeCell ref="L49:L50"/>
  </mergeCells>
  <pageMargins left="0.7" right="0.7" top="0.75" bottom="0.75" header="0.3" footer="0.3"/>
  <pageSetup scale="53" orientation="landscape" cellComments="asDisplayed" r:id="rId1"/>
  <headerFooter>
    <oddHeader>&amp;C&amp;"Arial,Bold"Schedule 33
Retail Transmission Rates&amp;"Arial,Regular"
&amp;RTO2020 Draft Annual Update 
Attachment1</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69"/>
  <sheetViews>
    <sheetView tabSelected="1" zoomScaleNormal="100" zoomScalePageLayoutView="85" workbookViewId="0"/>
  </sheetViews>
  <sheetFormatPr defaultRowHeight="12.75"/>
  <cols>
    <col min="1" max="1" width="4.7109375" customWidth="1"/>
    <col min="8" max="8" width="25.7109375" customWidth="1"/>
    <col min="9" max="9" width="29.28515625" customWidth="1"/>
    <col min="10" max="10" width="2.7109375" customWidth="1"/>
    <col min="11" max="11" width="21.5703125" bestFit="1" customWidth="1"/>
    <col min="12" max="12" width="1.85546875" customWidth="1"/>
  </cols>
  <sheetData>
    <row r="1" spans="1:13">
      <c r="A1" s="1" t="s">
        <v>93</v>
      </c>
      <c r="B1" s="768"/>
      <c r="C1" s="768"/>
      <c r="D1" s="768"/>
      <c r="E1" s="768"/>
      <c r="F1" s="768"/>
      <c r="G1" s="768"/>
      <c r="H1" s="768"/>
      <c r="I1" s="768"/>
      <c r="J1" s="768"/>
      <c r="K1" s="768"/>
      <c r="L1" s="768"/>
      <c r="M1" s="768"/>
    </row>
    <row r="2" spans="1:13">
      <c r="A2" s="768"/>
      <c r="B2" s="768"/>
      <c r="C2" s="768"/>
      <c r="D2" s="768"/>
      <c r="E2" s="768"/>
      <c r="F2" s="768"/>
      <c r="G2" s="768"/>
      <c r="H2" s="768"/>
      <c r="I2" s="58" t="s">
        <v>94</v>
      </c>
      <c r="J2" s="58"/>
      <c r="K2" s="10"/>
      <c r="L2" s="10"/>
      <c r="M2" s="768"/>
    </row>
    <row r="3" spans="1:13">
      <c r="A3" s="1" t="s">
        <v>95</v>
      </c>
      <c r="B3" s="768"/>
      <c r="C3" s="768"/>
      <c r="D3" s="768"/>
      <c r="E3" s="768"/>
      <c r="F3" s="768"/>
      <c r="G3" s="768"/>
      <c r="H3" s="768"/>
      <c r="I3" s="768"/>
      <c r="J3" s="768"/>
      <c r="K3" s="768"/>
      <c r="L3" s="10"/>
      <c r="M3" s="768"/>
    </row>
    <row r="4" spans="1:13">
      <c r="A4" s="768"/>
      <c r="B4" s="768"/>
      <c r="C4" s="768"/>
      <c r="D4" s="768"/>
      <c r="E4" s="768"/>
      <c r="F4" s="768"/>
      <c r="G4" s="768"/>
      <c r="H4" s="379"/>
      <c r="I4" s="379" t="s">
        <v>96</v>
      </c>
      <c r="J4" s="768"/>
      <c r="K4" s="150">
        <v>2018</v>
      </c>
      <c r="L4" s="768"/>
      <c r="M4" s="768"/>
    </row>
    <row r="5" spans="1:13">
      <c r="A5" s="30" t="s">
        <v>97</v>
      </c>
      <c r="B5" s="768"/>
      <c r="C5" s="768"/>
      <c r="D5" s="768"/>
      <c r="E5" s="768"/>
      <c r="F5" s="768"/>
      <c r="G5" s="768"/>
      <c r="H5" s="2" t="s">
        <v>98</v>
      </c>
      <c r="I5" s="2" t="s">
        <v>99</v>
      </c>
      <c r="J5" s="768"/>
      <c r="K5" s="2" t="s">
        <v>100</v>
      </c>
      <c r="L5" s="768"/>
      <c r="M5" s="768"/>
    </row>
    <row r="7" spans="1:13">
      <c r="A7" s="8" t="s">
        <v>101</v>
      </c>
      <c r="B7" s="9"/>
      <c r="C7" s="9"/>
      <c r="D7" s="9"/>
      <c r="E7" s="9"/>
      <c r="F7" s="9"/>
      <c r="G7" s="9"/>
      <c r="H7" s="7"/>
      <c r="I7" s="7"/>
      <c r="J7" s="7"/>
      <c r="K7" s="7"/>
      <c r="L7" s="768"/>
      <c r="M7" s="768"/>
    </row>
    <row r="9" spans="1:13">
      <c r="A9" s="379">
        <v>1</v>
      </c>
      <c r="B9" s="362" t="s">
        <v>102</v>
      </c>
      <c r="C9" s="768"/>
      <c r="D9" s="768"/>
      <c r="E9" s="768"/>
      <c r="F9" s="768"/>
      <c r="G9" s="768"/>
      <c r="H9" s="768"/>
      <c r="I9" s="300" t="str">
        <f>"6-PlantInService, Line "&amp;'6-PlantInService'!A43&amp;""</f>
        <v>6-PlantInService, Line 19</v>
      </c>
      <c r="J9" s="768"/>
      <c r="K9" s="5">
        <f>'6-PlantInService'!D43</f>
        <v>8787478997.5088406</v>
      </c>
      <c r="L9" s="768"/>
      <c r="M9" s="10"/>
    </row>
    <row r="10" spans="1:13">
      <c r="A10" s="379">
        <f>A9+1</f>
        <v>2</v>
      </c>
      <c r="B10" s="362" t="s">
        <v>103</v>
      </c>
      <c r="C10" s="768"/>
      <c r="D10" s="768"/>
      <c r="E10" s="768"/>
      <c r="F10" s="768"/>
      <c r="G10" s="768"/>
      <c r="H10" s="768"/>
      <c r="I10" s="300" t="str">
        <f>"6-PlantInService, Line "&amp;'6-PlantInService'!A63&amp;""</f>
        <v>6-PlantInService, Line 27</v>
      </c>
      <c r="J10" s="768"/>
      <c r="K10" s="5">
        <f>'6-PlantInService'!F63</f>
        <v>254260090.87438267</v>
      </c>
      <c r="L10" s="768"/>
      <c r="M10" s="10"/>
    </row>
    <row r="11" spans="1:13">
      <c r="A11" s="379">
        <f>A10+1</f>
        <v>3</v>
      </c>
      <c r="B11" s="362" t="s">
        <v>104</v>
      </c>
      <c r="C11" s="768"/>
      <c r="D11" s="768"/>
      <c r="E11" s="768"/>
      <c r="F11" s="768"/>
      <c r="G11" s="768"/>
      <c r="H11" s="768"/>
      <c r="I11" s="300" t="str">
        <f>"11-PHFU, Line "&amp;'11-PHFU'!A38&amp;""</f>
        <v>11-PHFU, Line 8</v>
      </c>
      <c r="J11" s="768"/>
      <c r="K11" s="5">
        <f>'11-PHFU'!E38</f>
        <v>9942155</v>
      </c>
      <c r="L11" s="768"/>
      <c r="M11" s="10"/>
    </row>
    <row r="12" spans="1:13">
      <c r="A12" s="379">
        <f>A11+1</f>
        <v>4</v>
      </c>
      <c r="B12" s="668" t="s">
        <v>105</v>
      </c>
      <c r="C12" s="10"/>
      <c r="D12" s="10"/>
      <c r="E12" s="10"/>
      <c r="F12" s="10"/>
      <c r="G12" s="10"/>
      <c r="H12" s="10"/>
      <c r="I12" s="300" t="str">
        <f>"12-AbandonedPlant, Line "&amp;'12-AbandonedPlant'!A20&amp;""</f>
        <v>12-AbandonedPlant, Line 3</v>
      </c>
      <c r="J12" s="768"/>
      <c r="K12" s="5">
        <f>'12-AbandonedPlant'!G20</f>
        <v>0</v>
      </c>
      <c r="L12" s="768"/>
      <c r="M12" s="10"/>
    </row>
    <row r="13" spans="1:13">
      <c r="A13" s="379"/>
      <c r="B13" s="668"/>
      <c r="C13" s="10"/>
      <c r="D13" s="10"/>
      <c r="E13" s="10"/>
      <c r="F13" s="10"/>
      <c r="G13" s="10"/>
      <c r="H13" s="10"/>
      <c r="I13" s="10"/>
      <c r="J13" s="768"/>
      <c r="K13" s="5"/>
      <c r="L13" s="768"/>
      <c r="M13" s="10"/>
    </row>
    <row r="14" spans="1:13">
      <c r="A14" s="379"/>
      <c r="B14" s="26" t="s">
        <v>106</v>
      </c>
      <c r="C14" s="10"/>
      <c r="D14" s="10"/>
      <c r="E14" s="10"/>
      <c r="F14" s="10"/>
      <c r="G14" s="10"/>
      <c r="H14" s="10"/>
      <c r="I14" s="10"/>
      <c r="J14" s="768"/>
      <c r="K14" s="5"/>
      <c r="L14" s="768"/>
      <c r="M14" s="10"/>
    </row>
    <row r="15" spans="1:13">
      <c r="A15" s="379">
        <f>A12+1</f>
        <v>5</v>
      </c>
      <c r="B15" s="302" t="s">
        <v>107</v>
      </c>
      <c r="C15" s="768"/>
      <c r="D15" s="768"/>
      <c r="E15" s="768"/>
      <c r="F15" s="768"/>
      <c r="G15" s="768"/>
      <c r="H15" s="768"/>
      <c r="I15" s="300" t="str">
        <f>"13-WorkCap, Line "&amp;'13-WorkCap'!A26&amp;""</f>
        <v>13-WorkCap, Line 16</v>
      </c>
      <c r="J15" s="768"/>
      <c r="K15" s="5">
        <f>'13-WorkCap'!F26</f>
        <v>16509630.590522453</v>
      </c>
      <c r="L15" s="768"/>
      <c r="M15" s="10"/>
    </row>
    <row r="16" spans="1:13">
      <c r="A16" s="379">
        <f>A15+1</f>
        <v>6</v>
      </c>
      <c r="B16" s="11" t="s">
        <v>108</v>
      </c>
      <c r="C16" s="768"/>
      <c r="D16" s="768"/>
      <c r="E16" s="768"/>
      <c r="F16" s="768"/>
      <c r="G16" s="768"/>
      <c r="H16" s="768"/>
      <c r="I16" s="300" t="str">
        <f>"13-WorkCap, Line "&amp;'13-WorkCap'!A55&amp;""</f>
        <v>13-WorkCap, Line 36</v>
      </c>
      <c r="J16" s="768"/>
      <c r="K16" s="5">
        <f>'13-WorkCap'!F55</f>
        <v>8521701.3087876067</v>
      </c>
      <c r="L16" s="768"/>
      <c r="M16" s="10"/>
    </row>
    <row r="17" spans="1:13">
      <c r="A17" s="379">
        <f>A16+1</f>
        <v>7</v>
      </c>
      <c r="B17" s="302" t="s">
        <v>109</v>
      </c>
      <c r="C17" s="768"/>
      <c r="D17" s="768"/>
      <c r="E17" s="768"/>
      <c r="F17" s="768"/>
      <c r="G17" s="768"/>
      <c r="H17" s="768"/>
      <c r="I17" s="300" t="str">
        <f>"(Line "&amp;A124&amp;" + Line "&amp;A125&amp;") / 8"</f>
        <v>(Line 66 + Line 67) / 8</v>
      </c>
      <c r="J17" s="768"/>
      <c r="K17" s="65">
        <f>(K124+K125)/8</f>
        <v>35536585.352374114</v>
      </c>
      <c r="L17" s="768"/>
      <c r="M17" s="10"/>
    </row>
    <row r="18" spans="1:13">
      <c r="A18" s="379">
        <f>A17+1</f>
        <v>8</v>
      </c>
      <c r="B18" s="302" t="s">
        <v>110</v>
      </c>
      <c r="C18" s="768"/>
      <c r="D18" s="768"/>
      <c r="E18" s="768"/>
      <c r="F18" s="768"/>
      <c r="G18" s="768"/>
      <c r="H18" s="768"/>
      <c r="I18" s="300" t="str">
        <f>"Line "&amp;A15&amp;" + Line "&amp;A16&amp;" + Line "&amp;A17&amp;""</f>
        <v>Line 5 + Line 6 + Line 7</v>
      </c>
      <c r="J18" s="768"/>
      <c r="K18" s="5">
        <f>SUM(K15:K17)</f>
        <v>60567917.251684174</v>
      </c>
      <c r="L18" s="768"/>
      <c r="M18" s="10"/>
    </row>
    <row r="19" spans="1:13">
      <c r="A19" s="379"/>
      <c r="B19" s="302"/>
      <c r="C19" s="768"/>
      <c r="D19" s="768"/>
      <c r="E19" s="768"/>
      <c r="F19" s="768"/>
      <c r="G19" s="768"/>
      <c r="H19" s="768"/>
      <c r="I19" s="10"/>
      <c r="J19" s="768"/>
      <c r="K19" s="5"/>
      <c r="L19" s="768"/>
      <c r="M19" s="10"/>
    </row>
    <row r="20" spans="1:13">
      <c r="A20" s="379"/>
      <c r="B20" s="46" t="s">
        <v>111</v>
      </c>
      <c r="C20" s="768"/>
      <c r="D20" s="768"/>
      <c r="E20" s="768"/>
      <c r="F20" s="768"/>
      <c r="G20" s="768"/>
      <c r="H20" s="768"/>
      <c r="I20" s="10"/>
      <c r="J20" s="768"/>
      <c r="K20" s="5"/>
      <c r="L20" s="768"/>
      <c r="M20" s="10"/>
    </row>
    <row r="21" spans="1:13">
      <c r="A21" s="379">
        <f>A18+1</f>
        <v>9</v>
      </c>
      <c r="B21" s="302" t="s">
        <v>112</v>
      </c>
      <c r="C21" s="768"/>
      <c r="D21" s="768"/>
      <c r="E21" s="768"/>
      <c r="F21" s="768"/>
      <c r="G21" s="768"/>
      <c r="H21" s="768" t="s">
        <v>113</v>
      </c>
      <c r="I21" s="300" t="str">
        <f>"8-AccDep, Line "&amp;'8-AccDep'!A24&amp;", Col. 12"</f>
        <v>8-AccDep, Line 13, Col. 12</v>
      </c>
      <c r="J21" s="768"/>
      <c r="K21" s="5">
        <f>-'8-AccDep'!N24</f>
        <v>-1754739489.7144194</v>
      </c>
      <c r="L21" s="768"/>
      <c r="M21" s="10"/>
    </row>
    <row r="22" spans="1:13">
      <c r="A22" s="379">
        <f>A21+1</f>
        <v>10</v>
      </c>
      <c r="B22" s="302" t="s">
        <v>114</v>
      </c>
      <c r="C22" s="768"/>
      <c r="D22" s="768"/>
      <c r="E22" s="768"/>
      <c r="F22" s="768"/>
      <c r="G22" s="768"/>
      <c r="H22" s="768" t="s">
        <v>113</v>
      </c>
      <c r="I22" s="300" t="str">
        <f>"8-AccDep, Line "&amp;'8-AccDep'!A34&amp;", Col. 5"</f>
        <v>8-AccDep, Line 16, Col. 5</v>
      </c>
      <c r="J22" s="768"/>
      <c r="K22" s="5">
        <f>-'8-AccDep'!G34</f>
        <v>0</v>
      </c>
      <c r="L22" s="768"/>
      <c r="M22" s="10"/>
    </row>
    <row r="23" spans="1:13">
      <c r="A23" s="379">
        <f>A22+1</f>
        <v>11</v>
      </c>
      <c r="B23" s="302" t="s">
        <v>115</v>
      </c>
      <c r="C23" s="12"/>
      <c r="D23" s="768"/>
      <c r="E23" s="768"/>
      <c r="F23" s="768"/>
      <c r="G23" s="768"/>
      <c r="H23" s="768" t="s">
        <v>113</v>
      </c>
      <c r="I23" s="300" t="str">
        <f>"8-AccDep, Line "&amp;'8-AccDep'!A60&amp;""</f>
        <v>8-AccDep, Line 26</v>
      </c>
      <c r="J23" s="768"/>
      <c r="K23" s="55">
        <f>-'8-AccDep'!F60</f>
        <v>-95165389.905384585</v>
      </c>
      <c r="L23" s="768"/>
      <c r="M23" s="10"/>
    </row>
    <row r="24" spans="1:13">
      <c r="A24" s="379">
        <f>A23+1</f>
        <v>12</v>
      </c>
      <c r="B24" s="1174" t="s">
        <v>116</v>
      </c>
      <c r="C24" s="12"/>
      <c r="D24" s="768"/>
      <c r="E24" s="768"/>
      <c r="F24" s="768"/>
      <c r="G24" s="768"/>
      <c r="H24" s="768"/>
      <c r="I24" s="300" t="str">
        <f>"Line "&amp;A21&amp;" + Line "&amp;A22&amp;" + Line "&amp;A23&amp;""</f>
        <v>Line 9 + Line 10 + Line 11</v>
      </c>
      <c r="J24" s="768"/>
      <c r="K24" s="5">
        <f>SUM(K21:K23)</f>
        <v>-1849904879.6198039</v>
      </c>
      <c r="L24" s="768"/>
      <c r="M24" s="10"/>
    </row>
    <row r="25" spans="1:13">
      <c r="A25" s="768"/>
      <c r="B25" s="298"/>
      <c r="C25" s="768"/>
      <c r="D25" s="768"/>
      <c r="E25" s="768"/>
      <c r="F25" s="768"/>
      <c r="G25" s="768"/>
      <c r="H25" s="768"/>
      <c r="I25" s="10"/>
      <c r="J25" s="768"/>
      <c r="K25" s="5"/>
      <c r="L25" s="768"/>
      <c r="M25" s="10"/>
    </row>
    <row r="26" spans="1:13">
      <c r="A26" s="379">
        <f>A24+1</f>
        <v>13</v>
      </c>
      <c r="B26" s="38" t="s">
        <v>117</v>
      </c>
      <c r="C26" s="768"/>
      <c r="D26" s="768"/>
      <c r="E26" s="768"/>
      <c r="F26" s="768"/>
      <c r="G26" s="768"/>
      <c r="H26" s="768" t="s">
        <v>113</v>
      </c>
      <c r="I26" s="300" t="str">
        <f>"9-ADIT, Line "&amp;'9-ADIT'!A14&amp;", Col. 2"</f>
        <v>9-ADIT, Line 5, Col. 2</v>
      </c>
      <c r="J26" s="768"/>
      <c r="K26" s="5">
        <f>'9-ADIT'!D14</f>
        <v>-1656638686.8787754</v>
      </c>
      <c r="L26" s="768"/>
      <c r="M26" s="10"/>
    </row>
    <row r="27" spans="1:13">
      <c r="A27" s="379"/>
      <c r="B27" s="38"/>
      <c r="C27" s="768"/>
      <c r="D27" s="768"/>
      <c r="E27" s="768"/>
      <c r="F27" s="768"/>
      <c r="G27" s="768"/>
      <c r="H27" s="768"/>
      <c r="I27" s="10"/>
      <c r="J27" s="768"/>
      <c r="K27" s="768"/>
      <c r="L27" s="768"/>
      <c r="M27" s="10"/>
    </row>
    <row r="28" spans="1:13">
      <c r="A28" s="379">
        <f>A26+1</f>
        <v>14</v>
      </c>
      <c r="B28" s="362" t="s">
        <v>118</v>
      </c>
      <c r="C28" s="768"/>
      <c r="D28" s="768"/>
      <c r="E28" s="768"/>
      <c r="F28" s="768"/>
      <c r="G28" s="768"/>
      <c r="H28" s="768"/>
      <c r="I28" s="300" t="str">
        <f>"14-IncentivePlant, L "&amp;'14-IncentivePlant'!A37&amp;", Col 1"</f>
        <v>14-IncentivePlant, L 12, Col 1</v>
      </c>
      <c r="J28" s="768"/>
      <c r="K28" s="5">
        <f>'14-IncentivePlant'!E37</f>
        <v>442100547.48000002</v>
      </c>
      <c r="L28" s="768"/>
      <c r="M28" s="10"/>
    </row>
    <row r="29" spans="1:13">
      <c r="A29" s="379"/>
      <c r="B29" s="362"/>
      <c r="C29" s="768"/>
      <c r="D29" s="768"/>
      <c r="E29" s="768"/>
      <c r="F29" s="768"/>
      <c r="G29" s="768"/>
      <c r="H29" s="768"/>
      <c r="I29" s="10"/>
      <c r="J29" s="768"/>
      <c r="K29" s="5"/>
      <c r="L29" s="768"/>
      <c r="M29" s="10"/>
    </row>
    <row r="30" spans="1:13">
      <c r="A30" s="379">
        <f>A28+1</f>
        <v>15</v>
      </c>
      <c r="B30" s="362" t="s">
        <v>119</v>
      </c>
      <c r="C30" s="768"/>
      <c r="D30" s="768"/>
      <c r="E30" s="768"/>
      <c r="F30" s="768"/>
      <c r="G30" s="768"/>
      <c r="H30" s="768"/>
      <c r="I30" s="300" t="str">
        <f>"23-RegAssets, Line "&amp;'23-RegAssets'!A17&amp;""</f>
        <v>23-RegAssets, Line 14</v>
      </c>
      <c r="J30" s="768"/>
      <c r="K30" s="37">
        <f>'23-RegAssets'!E17</f>
        <v>0</v>
      </c>
      <c r="L30" s="768"/>
      <c r="M30" s="10"/>
    </row>
    <row r="31" spans="1:13">
      <c r="A31" s="379">
        <f t="shared" ref="A31:A32" si="0">A30+1</f>
        <v>16</v>
      </c>
      <c r="B31" s="667" t="s">
        <v>74</v>
      </c>
      <c r="C31" s="10"/>
      <c r="D31" s="10"/>
      <c r="E31" s="10"/>
      <c r="F31" s="10"/>
      <c r="G31" s="10"/>
      <c r="H31" s="10"/>
      <c r="I31" s="300" t="str">
        <f>"34-UnfundedReserves, Line "&amp;'34-UnfundedReserves'!A9&amp;""</f>
        <v>34-UnfundedReserves, Line 6</v>
      </c>
      <c r="J31" s="10"/>
      <c r="K31" s="37">
        <f>'34-UnfundedReserves'!K9</f>
        <v>-167851097.18066588</v>
      </c>
      <c r="L31" s="768"/>
      <c r="M31" s="10"/>
    </row>
    <row r="32" spans="1:13">
      <c r="A32" s="379">
        <f t="shared" si="0"/>
        <v>17</v>
      </c>
      <c r="B32" s="667" t="s">
        <v>120</v>
      </c>
      <c r="C32" s="10"/>
      <c r="D32" s="10"/>
      <c r="E32" s="10"/>
      <c r="F32" s="10"/>
      <c r="G32" s="10"/>
      <c r="H32" s="10" t="s">
        <v>113</v>
      </c>
      <c r="I32" s="300" t="str">
        <f>"22-NUCs, Line "&amp;'22-NUCs'!A11&amp;""</f>
        <v>22-NUCs, Line 4</v>
      </c>
      <c r="J32" s="10"/>
      <c r="K32" s="37">
        <f>-'22-NUCs'!E11</f>
        <v>-64560041</v>
      </c>
      <c r="L32" s="768"/>
      <c r="M32" s="10"/>
    </row>
    <row r="33" spans="1:13">
      <c r="A33" s="64"/>
      <c r="B33" s="667"/>
      <c r="C33" s="10"/>
      <c r="D33" s="10"/>
      <c r="E33" s="10"/>
      <c r="F33" s="10"/>
      <c r="G33" s="10"/>
      <c r="H33" s="10"/>
      <c r="I33" s="10"/>
      <c r="J33" s="10"/>
      <c r="K33" s="10"/>
      <c r="L33" s="768"/>
      <c r="M33" s="10"/>
    </row>
    <row r="34" spans="1:13">
      <c r="A34" s="379">
        <f>A32+1</f>
        <v>18</v>
      </c>
      <c r="B34" s="10" t="s">
        <v>121</v>
      </c>
      <c r="C34" s="10"/>
      <c r="D34" s="10"/>
      <c r="E34" s="10"/>
      <c r="F34" s="10"/>
      <c r="G34" s="10"/>
      <c r="H34" s="10"/>
      <c r="I34" s="300" t="str">
        <f>"L"&amp;A9&amp;" + L"&amp;A10&amp;" + L"&amp;A11&amp;" + L"&amp;A12&amp;" + L"&amp;A18&amp;" + L"&amp;A24&amp;" +"</f>
        <v>L1 + L2 + L3 + L4 + L8 + L12 +</v>
      </c>
      <c r="J34" s="10"/>
      <c r="K34" s="37">
        <f>K9+K10+K11+K12+K18+K24+K26+K28+K30+K31+K32</f>
        <v>5815395003.4356613</v>
      </c>
      <c r="L34" s="768"/>
      <c r="M34" s="10"/>
    </row>
    <row r="35" spans="1:13">
      <c r="A35" s="64"/>
      <c r="B35" s="10"/>
      <c r="C35" s="10"/>
      <c r="D35" s="10"/>
      <c r="E35" s="10"/>
      <c r="F35" s="10"/>
      <c r="G35" s="10"/>
      <c r="H35" s="10"/>
      <c r="I35" s="668" t="str">
        <f>"L"&amp;A26&amp;" + L"&amp;A28&amp;"+ L"&amp;A30&amp;"+ L"&amp;A31&amp;" + L"&amp;A32&amp;""</f>
        <v>L13 + L14+ L15+ L16 + L17</v>
      </c>
      <c r="J35" s="10"/>
      <c r="K35" s="37"/>
      <c r="L35" s="768"/>
      <c r="M35" s="10"/>
    </row>
    <row r="36" spans="1:13">
      <c r="A36" s="768"/>
      <c r="B36" s="768"/>
      <c r="C36" s="768"/>
      <c r="D36" s="768"/>
      <c r="E36" s="768"/>
      <c r="F36" s="768"/>
      <c r="G36" s="768"/>
      <c r="H36" s="768"/>
      <c r="I36" s="768"/>
      <c r="J36" s="768"/>
      <c r="K36" s="768"/>
      <c r="L36" s="768"/>
      <c r="M36" s="10"/>
    </row>
    <row r="37" spans="1:13">
      <c r="A37" s="8" t="s">
        <v>122</v>
      </c>
      <c r="B37" s="9"/>
      <c r="C37" s="9"/>
      <c r="D37" s="9"/>
      <c r="E37" s="9"/>
      <c r="F37" s="9"/>
      <c r="G37" s="9"/>
      <c r="H37" s="7"/>
      <c r="I37" s="7"/>
      <c r="J37" s="7"/>
      <c r="K37" s="7"/>
      <c r="L37" s="768"/>
      <c r="M37" s="10"/>
    </row>
    <row r="38" spans="1:13">
      <c r="A38" s="768"/>
      <c r="B38" s="768"/>
      <c r="C38" s="768"/>
      <c r="D38" s="768"/>
      <c r="E38" s="768"/>
      <c r="F38" s="768"/>
      <c r="G38" s="768"/>
      <c r="H38" s="768"/>
      <c r="I38" s="768"/>
      <c r="J38" s="768"/>
      <c r="K38" s="768"/>
      <c r="L38" s="768"/>
      <c r="M38" s="10"/>
    </row>
    <row r="39" spans="1:13">
      <c r="A39" s="379">
        <f>A34+1</f>
        <v>19</v>
      </c>
      <c r="B39" s="300" t="s">
        <v>123</v>
      </c>
      <c r="C39" s="10"/>
      <c r="D39" s="10"/>
      <c r="E39" s="768"/>
      <c r="F39" s="768"/>
      <c r="G39" s="768"/>
      <c r="H39" s="770" t="s">
        <v>124</v>
      </c>
      <c r="I39" s="298" t="s">
        <v>125</v>
      </c>
      <c r="J39" s="768"/>
      <c r="K39" s="4">
        <v>317759682</v>
      </c>
      <c r="L39" s="300"/>
      <c r="M39" s="10"/>
    </row>
    <row r="40" spans="1:13">
      <c r="A40" s="379">
        <f>A39+1</f>
        <v>20</v>
      </c>
      <c r="B40" s="67" t="s">
        <v>126</v>
      </c>
      <c r="C40" s="10"/>
      <c r="D40" s="10"/>
      <c r="E40" s="768"/>
      <c r="F40" s="768"/>
      <c r="G40" s="768"/>
      <c r="H40" s="768"/>
      <c r="I40" s="300" t="str">
        <f>"27-Allocators, Line "&amp;'27-Allocators'!A27&amp;""</f>
        <v>27-Allocators, Line 22</v>
      </c>
      <c r="J40" s="768"/>
      <c r="K40" s="6">
        <f>'27-Allocators'!G27</f>
        <v>0.18756510121837444</v>
      </c>
      <c r="L40" s="10"/>
      <c r="M40" s="10"/>
    </row>
    <row r="41" spans="1:13">
      <c r="A41" s="379">
        <f>A40+1</f>
        <v>21</v>
      </c>
      <c r="B41" s="10" t="s">
        <v>127</v>
      </c>
      <c r="C41" s="10"/>
      <c r="D41" s="10"/>
      <c r="E41" s="768"/>
      <c r="F41" s="768"/>
      <c r="G41" s="768"/>
      <c r="H41" s="768"/>
      <c r="I41" s="300" t="str">
        <f>"Line "&amp;A39&amp;" * Line "&amp;A40&amp;""</f>
        <v>Line 19 * Line 20</v>
      </c>
      <c r="J41" s="768"/>
      <c r="K41" s="5">
        <f>K39*K40</f>
        <v>59600626.917448476</v>
      </c>
      <c r="L41" s="10"/>
      <c r="M41" s="10"/>
    </row>
    <row r="42" spans="1:13">
      <c r="A42" s="379" t="s">
        <v>128</v>
      </c>
      <c r="B42" s="10"/>
      <c r="C42" s="10"/>
      <c r="D42" s="10"/>
      <c r="E42" s="768"/>
      <c r="F42" s="768"/>
      <c r="G42" s="768"/>
      <c r="H42" s="298"/>
      <c r="I42" s="10"/>
      <c r="J42" s="768"/>
      <c r="K42" s="6"/>
      <c r="L42" s="10"/>
      <c r="M42" s="10"/>
    </row>
    <row r="43" spans="1:13">
      <c r="A43" s="379">
        <f>A41+1</f>
        <v>22</v>
      </c>
      <c r="B43" s="300" t="s">
        <v>129</v>
      </c>
      <c r="C43" s="10"/>
      <c r="D43" s="10"/>
      <c r="E43" s="768"/>
      <c r="F43" s="768"/>
      <c r="G43" s="768"/>
      <c r="H43" s="768"/>
      <c r="I43" s="10"/>
      <c r="J43" s="768"/>
      <c r="K43" s="6"/>
      <c r="L43" s="10"/>
      <c r="M43" s="10"/>
    </row>
    <row r="44" spans="1:13">
      <c r="A44" s="379">
        <f t="shared" ref="A44:A56" si="1">A43+1</f>
        <v>23</v>
      </c>
      <c r="B44" s="67" t="s">
        <v>130</v>
      </c>
      <c r="C44" s="10"/>
      <c r="D44" s="10"/>
      <c r="E44" s="1"/>
      <c r="F44" s="1"/>
      <c r="G44" s="1"/>
      <c r="H44" s="768"/>
      <c r="I44" s="300" t="str">
        <f>"Line "&amp;A45&amp;" + Line "&amp;A46&amp;"+ Line "&amp;A47&amp;""</f>
        <v>Line 24 + Line 25+ Line 26</v>
      </c>
      <c r="J44" s="768"/>
      <c r="K44" s="37">
        <f>SUM(K45:K47)</f>
        <v>110738321</v>
      </c>
      <c r="L44" s="10"/>
      <c r="M44" s="10"/>
    </row>
    <row r="45" spans="1:13">
      <c r="A45" s="379">
        <f t="shared" si="1"/>
        <v>24</v>
      </c>
      <c r="B45" s="212" t="s">
        <v>131</v>
      </c>
      <c r="C45" s="10"/>
      <c r="D45" s="10"/>
      <c r="E45" s="1"/>
      <c r="F45" s="1"/>
      <c r="G45" s="1"/>
      <c r="H45" s="770" t="s">
        <v>132</v>
      </c>
      <c r="I45" s="298" t="s">
        <v>125</v>
      </c>
      <c r="J45" s="768"/>
      <c r="K45" s="4">
        <v>109634389</v>
      </c>
      <c r="L45" s="300"/>
      <c r="M45" s="10"/>
    </row>
    <row r="46" spans="1:13">
      <c r="A46" s="379">
        <f t="shared" si="1"/>
        <v>25</v>
      </c>
      <c r="B46" s="212" t="s">
        <v>133</v>
      </c>
      <c r="C46" s="10"/>
      <c r="D46" s="10"/>
      <c r="E46" s="1"/>
      <c r="F46" s="1"/>
      <c r="G46" s="1"/>
      <c r="H46" s="770" t="s">
        <v>134</v>
      </c>
      <c r="I46" s="298" t="s">
        <v>125</v>
      </c>
      <c r="J46" s="768"/>
      <c r="K46" s="4">
        <v>965694</v>
      </c>
      <c r="L46" s="300"/>
      <c r="M46" s="10"/>
    </row>
    <row r="47" spans="1:13">
      <c r="A47" s="379">
        <f t="shared" si="1"/>
        <v>26</v>
      </c>
      <c r="B47" s="212" t="s">
        <v>135</v>
      </c>
      <c r="C47" s="10"/>
      <c r="D47" s="10"/>
      <c r="E47" s="1"/>
      <c r="F47" s="1"/>
      <c r="G47" s="1"/>
      <c r="H47" s="770" t="s">
        <v>136</v>
      </c>
      <c r="I47" s="298" t="s">
        <v>125</v>
      </c>
      <c r="J47" s="768"/>
      <c r="K47" s="4">
        <v>138238</v>
      </c>
      <c r="L47" s="300"/>
      <c r="M47" s="10"/>
    </row>
    <row r="48" spans="1:13">
      <c r="A48" s="379">
        <f t="shared" si="1"/>
        <v>27</v>
      </c>
      <c r="B48" s="297" t="s">
        <v>137</v>
      </c>
      <c r="C48" s="10"/>
      <c r="D48" s="10"/>
      <c r="E48" s="768"/>
      <c r="F48" s="768"/>
      <c r="G48" s="768"/>
      <c r="H48" s="770" t="s">
        <v>138</v>
      </c>
      <c r="I48" s="298" t="s">
        <v>125</v>
      </c>
      <c r="J48" s="768"/>
      <c r="K48" s="4">
        <v>5859182</v>
      </c>
      <c r="L48" s="300"/>
      <c r="M48" s="10"/>
    </row>
    <row r="49" spans="1:13">
      <c r="A49" s="379">
        <f t="shared" si="1"/>
        <v>28</v>
      </c>
      <c r="B49" s="67" t="s">
        <v>139</v>
      </c>
      <c r="C49" s="10"/>
      <c r="D49" s="10"/>
      <c r="E49" s="768"/>
      <c r="F49" s="768"/>
      <c r="G49" s="768"/>
      <c r="H49" s="770" t="s">
        <v>140</v>
      </c>
      <c r="I49" s="298" t="s">
        <v>125</v>
      </c>
      <c r="J49" s="768"/>
      <c r="K49" s="4">
        <v>740442</v>
      </c>
      <c r="L49" s="300"/>
      <c r="M49" s="10"/>
    </row>
    <row r="50" spans="1:13">
      <c r="A50" s="379">
        <f t="shared" si="1"/>
        <v>29</v>
      </c>
      <c r="B50" s="67" t="s">
        <v>141</v>
      </c>
      <c r="C50" s="10"/>
      <c r="D50" s="10"/>
      <c r="E50" s="768"/>
      <c r="F50" s="768"/>
      <c r="G50" s="768"/>
      <c r="H50" s="770" t="s">
        <v>142</v>
      </c>
      <c r="I50" s="298" t="s">
        <v>125</v>
      </c>
      <c r="J50" s="768"/>
      <c r="K50" s="4">
        <v>1794719</v>
      </c>
      <c r="L50" s="300"/>
      <c r="M50" s="10"/>
    </row>
    <row r="51" spans="1:13">
      <c r="A51" s="379">
        <f t="shared" si="1"/>
        <v>30</v>
      </c>
      <c r="B51" s="67" t="s">
        <v>143</v>
      </c>
      <c r="C51" s="10"/>
      <c r="D51" s="10"/>
      <c r="E51" s="768"/>
      <c r="F51" s="768"/>
      <c r="G51" s="768"/>
      <c r="H51" s="770" t="s">
        <v>144</v>
      </c>
      <c r="I51" s="298" t="s">
        <v>125</v>
      </c>
      <c r="J51" s="768"/>
      <c r="K51" s="4">
        <v>4052</v>
      </c>
      <c r="L51" s="300"/>
      <c r="M51" s="10"/>
    </row>
    <row r="52" spans="1:13">
      <c r="A52" s="379">
        <f t="shared" si="1"/>
        <v>31</v>
      </c>
      <c r="B52" s="768" t="s">
        <v>145</v>
      </c>
      <c r="C52" s="768"/>
      <c r="D52" s="768"/>
      <c r="E52" s="768"/>
      <c r="F52" s="768"/>
      <c r="G52" s="768"/>
      <c r="H52" s="768"/>
      <c r="I52" s="300" t="str">
        <f>"Line "&amp;A44&amp;" + (Line "&amp;A48&amp;" to Line "&amp;A51&amp;")"</f>
        <v>Line 23 + (Line 27 to Line 30)</v>
      </c>
      <c r="J52" s="768"/>
      <c r="K52" s="5">
        <f>K44+K48+K49+K50+K51</f>
        <v>119136716</v>
      </c>
      <c r="L52" s="768"/>
      <c r="M52" s="10"/>
    </row>
    <row r="53" spans="1:13">
      <c r="A53" s="379">
        <f t="shared" si="1"/>
        <v>32</v>
      </c>
      <c r="B53" s="300" t="s">
        <v>146</v>
      </c>
      <c r="C53" s="10"/>
      <c r="D53" s="10"/>
      <c r="E53" s="10"/>
      <c r="F53" s="10"/>
      <c r="G53" s="10"/>
      <c r="H53" s="300"/>
      <c r="I53" s="300" t="str">
        <f>"26-TaxRates, Line "&amp;'26-TaxRates'!A22&amp;""</f>
        <v>26-TaxRates, Line 16</v>
      </c>
      <c r="J53" s="768"/>
      <c r="K53" s="137">
        <f>'26-TaxRates'!F22</f>
        <v>47416412.968000002</v>
      </c>
      <c r="L53" s="768"/>
      <c r="M53" s="10"/>
    </row>
    <row r="54" spans="1:13">
      <c r="A54" s="379">
        <f t="shared" si="1"/>
        <v>33</v>
      </c>
      <c r="B54" s="10" t="s">
        <v>147</v>
      </c>
      <c r="C54" s="10"/>
      <c r="D54" s="10"/>
      <c r="E54" s="10"/>
      <c r="F54" s="10"/>
      <c r="G54" s="10"/>
      <c r="H54" s="768"/>
      <c r="I54" s="300" t="str">
        <f>"Line "&amp;A52&amp;" - Line "&amp;A53&amp;""</f>
        <v>Line 31 - Line 32</v>
      </c>
      <c r="J54" s="768"/>
      <c r="K54" s="5">
        <f>K52-K53</f>
        <v>71720303.032000005</v>
      </c>
      <c r="L54" s="768"/>
      <c r="M54" s="10"/>
    </row>
    <row r="55" spans="1:13">
      <c r="A55" s="379">
        <f t="shared" si="1"/>
        <v>34</v>
      </c>
      <c r="B55" s="302" t="s">
        <v>148</v>
      </c>
      <c r="C55" s="768"/>
      <c r="D55" s="768"/>
      <c r="E55" s="768"/>
      <c r="F55" s="768"/>
      <c r="G55" s="768"/>
      <c r="H55" s="768"/>
      <c r="I55" s="300" t="str">
        <f>"27-Allocators, Line "&amp;'27-Allocators'!A14&amp;""</f>
        <v>27-Allocators, Line 9</v>
      </c>
      <c r="J55" s="768"/>
      <c r="K55" s="6">
        <f>'27-Allocators'!G14</f>
        <v>5.9033379723389116E-2</v>
      </c>
      <c r="L55" s="768"/>
      <c r="M55" s="10"/>
    </row>
    <row r="56" spans="1:13">
      <c r="A56" s="379">
        <f t="shared" si="1"/>
        <v>35</v>
      </c>
      <c r="B56" s="362" t="s">
        <v>129</v>
      </c>
      <c r="C56" s="768"/>
      <c r="D56" s="768"/>
      <c r="E56" s="768"/>
      <c r="F56" s="768"/>
      <c r="G56" s="768"/>
      <c r="H56" s="768"/>
      <c r="I56" s="300" t="str">
        <f>"Line "&amp;A54&amp;" * Line "&amp;A55&amp;""</f>
        <v>Line 33 * Line 34</v>
      </c>
      <c r="J56" s="768"/>
      <c r="K56" s="5">
        <f>K54*K55</f>
        <v>4233891.8827645918</v>
      </c>
      <c r="L56" s="768"/>
      <c r="M56" s="10"/>
    </row>
    <row r="57" spans="1:13">
      <c r="A57" s="379"/>
      <c r="B57" s="768"/>
      <c r="C57" s="768"/>
      <c r="D57" s="768"/>
      <c r="E57" s="768"/>
      <c r="F57" s="768"/>
      <c r="G57" s="768"/>
      <c r="H57" s="768"/>
      <c r="I57" s="768"/>
      <c r="J57" s="768"/>
      <c r="K57" s="5"/>
      <c r="L57" s="768"/>
      <c r="M57" s="10"/>
    </row>
    <row r="58" spans="1:13">
      <c r="A58" s="379">
        <f>A56+1</f>
        <v>36</v>
      </c>
      <c r="B58" s="298" t="s">
        <v>149</v>
      </c>
      <c r="C58" s="768"/>
      <c r="D58" s="768"/>
      <c r="E58" s="768"/>
      <c r="F58" s="768"/>
      <c r="G58" s="768"/>
      <c r="H58" s="298" t="s">
        <v>150</v>
      </c>
      <c r="I58" s="298" t="str">
        <f>"Line "&amp;A41&amp;" + Line "&amp;A56&amp;""</f>
        <v>Line 21 + Line 35</v>
      </c>
      <c r="J58" s="768"/>
      <c r="K58" s="5">
        <f>K41+K56</f>
        <v>63834518.800213069</v>
      </c>
      <c r="L58" s="768"/>
      <c r="M58" s="10"/>
    </row>
    <row r="59" spans="1:13">
      <c r="A59" s="768"/>
      <c r="B59" s="768"/>
      <c r="C59" s="768"/>
      <c r="D59" s="768"/>
      <c r="E59" s="768"/>
      <c r="F59" s="768"/>
      <c r="G59" s="768"/>
      <c r="H59" s="768"/>
      <c r="I59" s="768"/>
      <c r="J59" s="768"/>
      <c r="K59" s="768"/>
      <c r="L59" s="768"/>
      <c r="M59" s="10"/>
    </row>
    <row r="60" spans="1:13">
      <c r="A60" s="8" t="s">
        <v>151</v>
      </c>
      <c r="B60" s="9"/>
      <c r="C60" s="9"/>
      <c r="D60" s="9"/>
      <c r="E60" s="9"/>
      <c r="F60" s="9"/>
      <c r="G60" s="9"/>
      <c r="H60" s="7"/>
      <c r="I60" s="7"/>
      <c r="J60" s="7"/>
      <c r="K60" s="7"/>
      <c r="L60" s="768"/>
      <c r="M60" s="10"/>
    </row>
    <row r="61" spans="1:13">
      <c r="A61" s="25"/>
      <c r="B61" s="300"/>
      <c r="C61" s="300"/>
      <c r="D61" s="300"/>
      <c r="E61" s="300"/>
      <c r="F61" s="300"/>
      <c r="G61" s="300"/>
      <c r="H61" s="300"/>
      <c r="I61" s="300"/>
      <c r="J61" s="300"/>
      <c r="K61" s="300"/>
      <c r="L61" s="768"/>
      <c r="M61" s="10"/>
    </row>
    <row r="62" spans="1:13">
      <c r="A62" s="1020"/>
      <c r="B62" s="26" t="s">
        <v>152</v>
      </c>
      <c r="C62" s="300"/>
      <c r="D62" s="300"/>
      <c r="E62" s="300"/>
      <c r="F62" s="300"/>
      <c r="G62" s="300"/>
      <c r="H62" s="300"/>
      <c r="I62" s="300"/>
      <c r="J62" s="300"/>
      <c r="K62" s="300"/>
      <c r="L62" s="768"/>
      <c r="M62" s="10"/>
    </row>
    <row r="63" spans="1:13">
      <c r="A63" s="64">
        <f>A58+1</f>
        <v>37</v>
      </c>
      <c r="B63" s="300" t="s">
        <v>153</v>
      </c>
      <c r="C63" s="300"/>
      <c r="D63" s="300"/>
      <c r="E63" s="300"/>
      <c r="F63" s="300"/>
      <c r="G63" s="300"/>
      <c r="H63" s="300"/>
      <c r="I63" s="300" t="str">
        <f>"5-ROR-1, Line "&amp;'5-ROR-1'!A20&amp;""</f>
        <v>5-ROR-1, Line 13</v>
      </c>
      <c r="J63" s="300"/>
      <c r="K63" s="311">
        <f>'5-ROR-1'!L20</f>
        <v>12008331034.014343</v>
      </c>
      <c r="L63" s="768"/>
      <c r="M63" s="10"/>
    </row>
    <row r="64" spans="1:13">
      <c r="A64" s="379">
        <f>A63+1</f>
        <v>38</v>
      </c>
      <c r="B64" s="300" t="s">
        <v>154</v>
      </c>
      <c r="C64" s="300"/>
      <c r="D64" s="300"/>
      <c r="E64" s="300"/>
      <c r="F64" s="300"/>
      <c r="G64" s="300"/>
      <c r="H64" s="300"/>
      <c r="I64" s="300" t="str">
        <f>"Line "&amp;A63&amp;" * Line "&amp;A65&amp;""</f>
        <v>Line 37 * Line 39</v>
      </c>
      <c r="J64" s="300"/>
      <c r="K64" s="311">
        <f>K63*K65</f>
        <v>562022090.40265584</v>
      </c>
      <c r="L64" s="768"/>
      <c r="M64" s="10"/>
    </row>
    <row r="65" spans="1:13">
      <c r="A65" s="379">
        <f>A64+1</f>
        <v>39</v>
      </c>
      <c r="B65" s="300" t="s">
        <v>155</v>
      </c>
      <c r="C65" s="300"/>
      <c r="D65" s="300"/>
      <c r="E65" s="300"/>
      <c r="F65" s="300"/>
      <c r="G65" s="300"/>
      <c r="H65" s="768"/>
      <c r="I65" s="300" t="str">
        <f>"5-ROR-3, Line "&amp;'5-ROR-3'!A17&amp;""</f>
        <v>5-ROR-3, Line 12</v>
      </c>
      <c r="J65" s="300"/>
      <c r="K65" s="232">
        <f>'5-ROR-3'!E17</f>
        <v>4.6802681306061043E-2</v>
      </c>
      <c r="L65" s="768"/>
      <c r="M65" s="10"/>
    </row>
    <row r="66" spans="1:13">
      <c r="A66" s="64"/>
      <c r="B66" s="300"/>
      <c r="C66" s="300"/>
      <c r="D66" s="300"/>
      <c r="E66" s="300"/>
      <c r="F66" s="300"/>
      <c r="G66" s="300"/>
      <c r="H66" s="768"/>
      <c r="I66" s="300"/>
      <c r="J66" s="300"/>
      <c r="K66" s="232"/>
      <c r="L66" s="768"/>
      <c r="M66" s="10"/>
    </row>
    <row r="67" spans="1:13">
      <c r="A67" s="64"/>
      <c r="B67" s="26" t="s">
        <v>156</v>
      </c>
      <c r="C67" s="300"/>
      <c r="D67" s="300"/>
      <c r="E67" s="300"/>
      <c r="F67" s="300"/>
      <c r="G67" s="300"/>
      <c r="H67" s="300"/>
      <c r="I67" s="300"/>
      <c r="J67" s="300"/>
      <c r="K67" s="300"/>
      <c r="L67" s="768"/>
      <c r="M67" s="10"/>
    </row>
    <row r="68" spans="1:13">
      <c r="A68" s="64">
        <f>A65+1</f>
        <v>40</v>
      </c>
      <c r="B68" s="300" t="s">
        <v>157</v>
      </c>
      <c r="C68" s="300"/>
      <c r="D68" s="300"/>
      <c r="E68" s="300"/>
      <c r="F68" s="300"/>
      <c r="G68" s="300"/>
      <c r="H68" s="300"/>
      <c r="I68" s="300" t="str">
        <f>"5-ROR-1, Line "&amp;'5-ROR-1'!A26&amp;""</f>
        <v>5-ROR-1, Line 17</v>
      </c>
      <c r="J68" s="300"/>
      <c r="K68" s="311">
        <f>'5-ROR-1'!L26</f>
        <v>2187625314.3760676</v>
      </c>
      <c r="L68" s="768"/>
      <c r="M68" s="10"/>
    </row>
    <row r="69" spans="1:13">
      <c r="A69" s="379">
        <f>A68+1</f>
        <v>41</v>
      </c>
      <c r="B69" s="300" t="s">
        <v>158</v>
      </c>
      <c r="C69" s="300"/>
      <c r="D69" s="300"/>
      <c r="E69" s="300"/>
      <c r="F69" s="300"/>
      <c r="G69" s="300"/>
      <c r="H69" s="300"/>
      <c r="I69" s="300" t="s">
        <v>159</v>
      </c>
      <c r="J69" s="300"/>
      <c r="K69" s="311">
        <f>K68*K70</f>
        <v>124816444.03230731</v>
      </c>
      <c r="L69" s="768"/>
      <c r="M69" s="10"/>
    </row>
    <row r="70" spans="1:13">
      <c r="A70" s="379">
        <f>A69+1</f>
        <v>42</v>
      </c>
      <c r="B70" s="300" t="s">
        <v>160</v>
      </c>
      <c r="C70" s="300"/>
      <c r="D70" s="300"/>
      <c r="E70" s="300"/>
      <c r="F70" s="300"/>
      <c r="G70" s="300"/>
      <c r="H70" s="768"/>
      <c r="I70" s="300" t="str">
        <f>"5-ROR-4, Line "&amp;'5-ROR-4'!A14&amp;""</f>
        <v>5-ROR-4, Line 9</v>
      </c>
      <c r="J70" s="300"/>
      <c r="K70" s="232">
        <f>'5-ROR-4'!E14</f>
        <v>5.7055677319178488E-2</v>
      </c>
      <c r="L70" s="768"/>
      <c r="M70" s="10"/>
    </row>
    <row r="71" spans="1:13">
      <c r="A71" s="64"/>
      <c r="B71" s="300"/>
      <c r="C71" s="300"/>
      <c r="D71" s="300"/>
      <c r="E71" s="300"/>
      <c r="F71" s="300"/>
      <c r="G71" s="300"/>
      <c r="H71" s="768"/>
      <c r="I71" s="300"/>
      <c r="J71" s="300"/>
      <c r="K71" s="232"/>
      <c r="L71" s="768"/>
      <c r="M71" s="10"/>
    </row>
    <row r="72" spans="1:13">
      <c r="A72" s="64"/>
      <c r="B72" s="26" t="s">
        <v>161</v>
      </c>
      <c r="C72" s="300"/>
      <c r="D72" s="300"/>
      <c r="E72" s="300"/>
      <c r="F72" s="300"/>
      <c r="G72" s="300"/>
      <c r="H72" s="300"/>
      <c r="I72" s="300"/>
      <c r="J72" s="300"/>
      <c r="K72" s="300"/>
      <c r="L72" s="768"/>
      <c r="M72" s="10"/>
    </row>
    <row r="73" spans="1:13">
      <c r="A73" s="64">
        <f>A70+1</f>
        <v>43</v>
      </c>
      <c r="B73" s="300" t="s">
        <v>162</v>
      </c>
      <c r="C73" s="300"/>
      <c r="D73" s="300"/>
      <c r="E73" s="300"/>
      <c r="F73" s="300"/>
      <c r="G73" s="300"/>
      <c r="H73" s="300"/>
      <c r="I73" s="300" t="str">
        <f>"5-ROR-1, Line "&amp;'5-ROR-1'!A34&amp;""</f>
        <v>5-ROR-1, Line 23</v>
      </c>
      <c r="J73" s="300"/>
      <c r="K73" s="311">
        <f>'5-ROR-1'!L34</f>
        <v>12827326327.124275</v>
      </c>
      <c r="L73" s="768"/>
      <c r="M73" s="10"/>
    </row>
    <row r="74" spans="1:13">
      <c r="A74" s="64"/>
      <c r="B74" s="300"/>
      <c r="C74" s="300"/>
      <c r="D74" s="300"/>
      <c r="E74" s="300"/>
      <c r="F74" s="300"/>
      <c r="G74" s="300"/>
      <c r="H74" s="300"/>
      <c r="I74" s="314"/>
      <c r="J74" s="300"/>
      <c r="K74" s="300"/>
      <c r="L74" s="768"/>
      <c r="M74" s="10"/>
    </row>
    <row r="75" spans="1:13">
      <c r="A75" s="379">
        <f>A73+1</f>
        <v>44</v>
      </c>
      <c r="B75" s="300" t="s">
        <v>163</v>
      </c>
      <c r="C75" s="300"/>
      <c r="D75" s="300"/>
      <c r="E75" s="300"/>
      <c r="F75" s="300"/>
      <c r="G75" s="300"/>
      <c r="H75" s="300"/>
      <c r="I75" s="298" t="str">
        <f>"Line "&amp;A63&amp;" + Line "&amp;A68&amp;" + Line "&amp;A73&amp;""</f>
        <v>Line 37 + Line 40 + Line 43</v>
      </c>
      <c r="J75" s="300"/>
      <c r="K75" s="311">
        <f>K63+K68+K73</f>
        <v>27023282675.514687</v>
      </c>
      <c r="L75" s="768"/>
      <c r="M75" s="10"/>
    </row>
    <row r="76" spans="1:13">
      <c r="A76" s="64"/>
      <c r="B76" s="297"/>
      <c r="C76" s="300"/>
      <c r="D76" s="300"/>
      <c r="E76" s="300"/>
      <c r="F76" s="300"/>
      <c r="G76" s="300"/>
      <c r="H76" s="768"/>
      <c r="I76" s="300"/>
      <c r="J76" s="300"/>
      <c r="K76" s="311"/>
      <c r="L76" s="768"/>
      <c r="M76" s="10"/>
    </row>
    <row r="77" spans="1:13">
      <c r="A77" s="64"/>
      <c r="B77" s="26" t="s">
        <v>164</v>
      </c>
      <c r="C77" s="300"/>
      <c r="D77" s="300"/>
      <c r="E77" s="300"/>
      <c r="F77" s="300"/>
      <c r="G77" s="300"/>
      <c r="H77" s="300"/>
      <c r="I77" s="300"/>
      <c r="J77" s="300"/>
      <c r="K77" s="300"/>
      <c r="L77" s="768"/>
      <c r="M77" s="10"/>
    </row>
    <row r="78" spans="1:13">
      <c r="A78" s="64">
        <f>A75+1</f>
        <v>45</v>
      </c>
      <c r="B78" s="300" t="s">
        <v>165</v>
      </c>
      <c r="C78" s="300"/>
      <c r="D78" s="300"/>
      <c r="E78" s="300"/>
      <c r="F78" s="300"/>
      <c r="G78" s="300"/>
      <c r="H78" s="300"/>
      <c r="I78" s="298" t="str">
        <f>"Line "&amp;A63&amp;" / Line "&amp;A75&amp;""</f>
        <v>Line 37 / Line 44</v>
      </c>
      <c r="J78" s="300"/>
      <c r="K78" s="232">
        <f>K63/K75</f>
        <v>0.44436981169926026</v>
      </c>
      <c r="L78" s="768"/>
      <c r="M78" s="10"/>
    </row>
    <row r="79" spans="1:13">
      <c r="A79" s="379">
        <f>A78+1</f>
        <v>46</v>
      </c>
      <c r="B79" s="300" t="s">
        <v>166</v>
      </c>
      <c r="C79" s="300"/>
      <c r="D79" s="300"/>
      <c r="E79" s="300"/>
      <c r="F79" s="300"/>
      <c r="G79" s="300"/>
      <c r="H79" s="300"/>
      <c r="I79" s="298" t="str">
        <f>"Line "&amp;A68&amp;" / Line "&amp;A75&amp;""</f>
        <v>Line 40 / Line 44</v>
      </c>
      <c r="J79" s="300"/>
      <c r="K79" s="232">
        <f>K68/K75</f>
        <v>8.0953351990734862E-2</v>
      </c>
      <c r="L79" s="768"/>
      <c r="M79" s="10"/>
    </row>
    <row r="80" spans="1:13">
      <c r="A80" s="379">
        <f>A79+1</f>
        <v>47</v>
      </c>
      <c r="B80" s="300" t="s">
        <v>167</v>
      </c>
      <c r="C80" s="300"/>
      <c r="D80" s="300"/>
      <c r="E80" s="300"/>
      <c r="F80" s="300"/>
      <c r="G80" s="300"/>
      <c r="H80" s="300"/>
      <c r="I80" s="298" t="str">
        <f>"Line "&amp;A73&amp;" / Line "&amp;A75&amp;""</f>
        <v>Line 43 / Line 44</v>
      </c>
      <c r="J80" s="300"/>
      <c r="K80" s="27">
        <f>K73/K75</f>
        <v>0.47467683631000485</v>
      </c>
      <c r="L80" s="768"/>
      <c r="M80" s="10"/>
    </row>
    <row r="81" spans="1:13">
      <c r="A81" s="64"/>
      <c r="B81" s="300"/>
      <c r="C81" s="300"/>
      <c r="D81" s="300"/>
      <c r="E81" s="300"/>
      <c r="F81" s="300"/>
      <c r="G81" s="300"/>
      <c r="H81" s="300"/>
      <c r="I81" s="298" t="str">
        <f>"Line "&amp;A78&amp;" + Line "&amp;A79&amp;"+ Line "&amp;A80&amp;""</f>
        <v>Line 45 + Line 46+ Line 47</v>
      </c>
      <c r="J81" s="300"/>
      <c r="K81" s="232">
        <f>SUM(K78:K80)</f>
        <v>1</v>
      </c>
      <c r="L81" s="768"/>
      <c r="M81" s="10"/>
    </row>
    <row r="82" spans="1:13">
      <c r="A82" s="64"/>
      <c r="B82" s="26" t="s">
        <v>168</v>
      </c>
      <c r="C82" s="300"/>
      <c r="D82" s="300"/>
      <c r="E82" s="300"/>
      <c r="F82" s="300"/>
      <c r="G82" s="300"/>
      <c r="H82" s="300"/>
      <c r="I82" s="300"/>
      <c r="J82" s="300"/>
      <c r="K82" s="232"/>
      <c r="L82" s="768"/>
      <c r="M82" s="10"/>
    </row>
    <row r="83" spans="1:13">
      <c r="A83" s="64">
        <f>A80+1</f>
        <v>48</v>
      </c>
      <c r="B83" s="300" t="s">
        <v>155</v>
      </c>
      <c r="C83" s="300"/>
      <c r="D83" s="300"/>
      <c r="E83" s="300"/>
      <c r="F83" s="300"/>
      <c r="G83" s="300"/>
      <c r="H83" s="768"/>
      <c r="I83" s="298" t="str">
        <f>"Line "&amp;A65&amp;""</f>
        <v>Line 39</v>
      </c>
      <c r="J83" s="300"/>
      <c r="K83" s="232">
        <f>K65</f>
        <v>4.6802681306061043E-2</v>
      </c>
      <c r="L83" s="768"/>
      <c r="M83" s="10"/>
    </row>
    <row r="84" spans="1:13">
      <c r="A84" s="379">
        <f>A83+1</f>
        <v>49</v>
      </c>
      <c r="B84" s="300" t="s">
        <v>160</v>
      </c>
      <c r="C84" s="300"/>
      <c r="D84" s="300"/>
      <c r="E84" s="300"/>
      <c r="F84" s="300"/>
      <c r="G84" s="300"/>
      <c r="H84" s="768"/>
      <c r="I84" s="298" t="str">
        <f>"Line "&amp;A70&amp;""</f>
        <v>Line 42</v>
      </c>
      <c r="J84" s="300"/>
      <c r="K84" s="232">
        <f>K70</f>
        <v>5.7055677319178488E-2</v>
      </c>
      <c r="L84" s="768"/>
      <c r="M84" s="10"/>
    </row>
    <row r="85" spans="1:13">
      <c r="A85" s="379">
        <f>A84+1</f>
        <v>50</v>
      </c>
      <c r="B85" s="300" t="s">
        <v>169</v>
      </c>
      <c r="C85" s="300"/>
      <c r="D85" s="300"/>
      <c r="E85" s="300"/>
      <c r="F85" s="300"/>
      <c r="G85" s="300"/>
      <c r="H85" s="298" t="s">
        <v>170</v>
      </c>
      <c r="I85" s="300" t="s">
        <v>171</v>
      </c>
      <c r="J85" s="300"/>
      <c r="K85" s="332">
        <v>0.1762</v>
      </c>
      <c r="L85" s="768"/>
      <c r="M85" s="10"/>
    </row>
    <row r="86" spans="1:13">
      <c r="A86" s="64"/>
      <c r="B86" s="300"/>
      <c r="C86" s="300"/>
      <c r="D86" s="300"/>
      <c r="E86" s="300"/>
      <c r="F86" s="300"/>
      <c r="G86" s="300"/>
      <c r="H86" s="768"/>
      <c r="I86" s="676"/>
      <c r="J86" s="300"/>
      <c r="K86" s="232"/>
      <c r="L86" s="768"/>
      <c r="M86" s="10"/>
    </row>
    <row r="87" spans="1:13">
      <c r="A87" s="64"/>
      <c r="B87" s="26" t="s">
        <v>172</v>
      </c>
      <c r="C87" s="300"/>
      <c r="D87" s="300"/>
      <c r="E87" s="300"/>
      <c r="F87" s="300"/>
      <c r="G87" s="300"/>
      <c r="H87" s="300"/>
      <c r="I87" s="300"/>
      <c r="J87" s="300"/>
      <c r="K87" s="300"/>
      <c r="L87" s="768"/>
      <c r="M87" s="10"/>
    </row>
    <row r="88" spans="1:13">
      <c r="A88" s="64">
        <f>A85+1</f>
        <v>51</v>
      </c>
      <c r="B88" s="300" t="s">
        <v>173</v>
      </c>
      <c r="C88" s="300"/>
      <c r="D88" s="300"/>
      <c r="E88" s="300"/>
      <c r="F88" s="300"/>
      <c r="G88" s="300"/>
      <c r="H88" s="768"/>
      <c r="I88" s="298" t="str">
        <f>"Line "&amp;A65&amp;" * Line "&amp;A78&amp;""</f>
        <v>Line 39 * Line 45</v>
      </c>
      <c r="J88" s="300"/>
      <c r="K88" s="232">
        <f>K65*K78</f>
        <v>2.0797698678994836E-2</v>
      </c>
      <c r="L88" s="768"/>
      <c r="M88" s="10"/>
    </row>
    <row r="89" spans="1:13">
      <c r="A89" s="379">
        <f>A88+1</f>
        <v>52</v>
      </c>
      <c r="B89" s="300" t="s">
        <v>174</v>
      </c>
      <c r="C89" s="300"/>
      <c r="D89" s="300"/>
      <c r="E89" s="300"/>
      <c r="F89" s="300"/>
      <c r="G89" s="300"/>
      <c r="H89" s="768"/>
      <c r="I89" s="298" t="str">
        <f>"Line "&amp;A70&amp;" * Line "&amp;A79&amp;""</f>
        <v>Line 42 * Line 46</v>
      </c>
      <c r="J89" s="300"/>
      <c r="K89" s="232">
        <f>K70*K79</f>
        <v>4.6188483290892438E-3</v>
      </c>
      <c r="L89" s="768"/>
      <c r="M89" s="10"/>
    </row>
    <row r="90" spans="1:13">
      <c r="A90" s="379">
        <f>A89+1</f>
        <v>53</v>
      </c>
      <c r="B90" s="300" t="s">
        <v>175</v>
      </c>
      <c r="C90" s="300"/>
      <c r="D90" s="300"/>
      <c r="E90" s="300"/>
      <c r="F90" s="300"/>
      <c r="G90" s="300"/>
      <c r="H90" s="768"/>
      <c r="I90" s="298" t="str">
        <f>"Line "&amp;A80&amp;" * Line "&amp;A85&amp;""</f>
        <v>Line 47 * Line 50</v>
      </c>
      <c r="J90" s="300"/>
      <c r="K90" s="27">
        <f>K80*K85</f>
        <v>8.3638058557822859E-2</v>
      </c>
      <c r="L90" s="768"/>
      <c r="M90" s="10"/>
    </row>
    <row r="91" spans="1:13">
      <c r="A91" s="64">
        <f>A90+1</f>
        <v>54</v>
      </c>
      <c r="B91" s="297" t="s">
        <v>176</v>
      </c>
      <c r="C91" s="300"/>
      <c r="D91" s="300"/>
      <c r="E91" s="300"/>
      <c r="F91" s="300"/>
      <c r="G91" s="300"/>
      <c r="H91" s="10"/>
      <c r="I91" s="300" t="str">
        <f>"Line "&amp;A88&amp;" + Line "&amp;A89&amp;" + Line "&amp;A90&amp;""</f>
        <v>Line 51 + Line 52 + Line 53</v>
      </c>
      <c r="J91" s="300"/>
      <c r="K91" s="232">
        <f>SUM(K88:K90)</f>
        <v>0.10905460556590693</v>
      </c>
      <c r="L91" s="768"/>
      <c r="M91" s="10"/>
    </row>
    <row r="92" spans="1:13">
      <c r="A92" s="64"/>
      <c r="B92" s="297"/>
      <c r="C92" s="300"/>
      <c r="D92" s="300"/>
      <c r="E92" s="300"/>
      <c r="F92" s="300"/>
      <c r="G92" s="300"/>
      <c r="H92" s="768"/>
      <c r="I92" s="300"/>
      <c r="J92" s="300"/>
      <c r="K92" s="1175"/>
      <c r="L92" s="768"/>
      <c r="M92" s="10"/>
    </row>
    <row r="93" spans="1:13">
      <c r="A93" s="64">
        <f>A91+1</f>
        <v>55</v>
      </c>
      <c r="B93" s="668" t="s">
        <v>177</v>
      </c>
      <c r="C93" s="300"/>
      <c r="D93" s="300"/>
      <c r="E93" s="300"/>
      <c r="F93" s="300"/>
      <c r="G93" s="300"/>
      <c r="H93" s="300" t="s">
        <v>178</v>
      </c>
      <c r="I93" s="300" t="str">
        <f>"Line "&amp;A89&amp;" + Line "&amp;A90&amp;""</f>
        <v>Line 52 + Line 53</v>
      </c>
      <c r="J93" s="300"/>
      <c r="K93" s="232">
        <f>K89+K90</f>
        <v>8.8256906886912095E-2</v>
      </c>
      <c r="L93" s="768"/>
      <c r="M93" s="10"/>
    </row>
    <row r="94" spans="1:13">
      <c r="A94" s="64"/>
      <c r="B94" s="300"/>
      <c r="C94" s="300"/>
      <c r="D94" s="300"/>
      <c r="E94" s="300"/>
      <c r="F94" s="300"/>
      <c r="G94" s="300"/>
      <c r="H94" s="768"/>
      <c r="I94" s="300"/>
      <c r="J94" s="300"/>
      <c r="K94" s="1175"/>
      <c r="L94" s="768"/>
      <c r="M94" s="10"/>
    </row>
    <row r="95" spans="1:13">
      <c r="A95" s="379">
        <f>A93+1</f>
        <v>56</v>
      </c>
      <c r="B95" s="300" t="s">
        <v>179</v>
      </c>
      <c r="C95" s="300"/>
      <c r="D95" s="300"/>
      <c r="E95" s="300"/>
      <c r="F95" s="300"/>
      <c r="G95" s="300"/>
      <c r="H95" s="768"/>
      <c r="I95" s="298" t="str">
        <f>"Line "&amp;A34&amp;" * Line "&amp;A91&amp;""</f>
        <v>Line 18 * Line 54</v>
      </c>
      <c r="J95" s="300"/>
      <c r="K95" s="311">
        <f>K34*K91</f>
        <v>634195608.30962205</v>
      </c>
      <c r="L95" s="768"/>
      <c r="M95" s="10"/>
    </row>
    <row r="96" spans="1:13">
      <c r="A96" s="299"/>
      <c r="B96" s="298"/>
      <c r="C96" s="298"/>
      <c r="D96" s="298"/>
      <c r="E96" s="298"/>
      <c r="F96" s="298"/>
      <c r="G96" s="298"/>
      <c r="H96" s="298"/>
      <c r="I96" s="298"/>
      <c r="J96" s="298"/>
      <c r="K96" s="298"/>
      <c r="L96" s="768"/>
      <c r="M96" s="10"/>
    </row>
    <row r="97" spans="1:13">
      <c r="A97" s="298"/>
      <c r="B97" s="298"/>
      <c r="C97" s="298"/>
      <c r="D97" s="298"/>
      <c r="E97" s="298"/>
      <c r="F97" s="298"/>
      <c r="G97" s="298"/>
      <c r="H97" s="298"/>
      <c r="I97" s="298"/>
      <c r="J97" s="298"/>
      <c r="K97" s="298"/>
      <c r="L97" s="768"/>
      <c r="M97" s="10"/>
    </row>
    <row r="98" spans="1:13">
      <c r="A98" s="8" t="s">
        <v>180</v>
      </c>
      <c r="B98" s="9"/>
      <c r="C98" s="9"/>
      <c r="D98" s="9"/>
      <c r="E98" s="9"/>
      <c r="F98" s="9"/>
      <c r="G98" s="9"/>
      <c r="H98" s="7"/>
      <c r="I98" s="7"/>
      <c r="J98" s="7"/>
      <c r="K98" s="7"/>
      <c r="L98" s="768"/>
      <c r="M98" s="10"/>
    </row>
    <row r="99" spans="1:13">
      <c r="A99" s="768"/>
      <c r="B99" s="768"/>
      <c r="C99" s="768"/>
      <c r="D99" s="768"/>
      <c r="E99" s="768"/>
      <c r="F99" s="768"/>
      <c r="G99" s="768"/>
      <c r="H99" s="768"/>
      <c r="I99" s="768"/>
      <c r="J99" s="768"/>
      <c r="K99" s="768"/>
      <c r="L99" s="768"/>
      <c r="M99" s="10"/>
    </row>
    <row r="100" spans="1:13">
      <c r="A100" s="64">
        <f>A95+1</f>
        <v>57</v>
      </c>
      <c r="B100" s="768" t="s">
        <v>181</v>
      </c>
      <c r="C100" s="768"/>
      <c r="D100" s="768"/>
      <c r="E100" s="768"/>
      <c r="F100" s="768"/>
      <c r="G100" s="768"/>
      <c r="H100" s="768"/>
      <c r="I100" s="10" t="str">
        <f>"26-Tax Rates, Line "&amp;'26-TaxRates'!A7&amp;""</f>
        <v>26-Tax Rates, Line 1</v>
      </c>
      <c r="J100" s="768"/>
      <c r="K100" s="39">
        <f>'26-TaxRates'!D7</f>
        <v>0.21</v>
      </c>
      <c r="L100" s="768"/>
      <c r="M100" s="10"/>
    </row>
    <row r="101" spans="1:13">
      <c r="A101" s="379">
        <f>A100+1</f>
        <v>58</v>
      </c>
      <c r="B101" s="298" t="s">
        <v>182</v>
      </c>
      <c r="C101" s="768"/>
      <c r="D101" s="768"/>
      <c r="E101" s="768"/>
      <c r="F101" s="768"/>
      <c r="G101" s="768"/>
      <c r="H101" s="768"/>
      <c r="I101" s="10" t="str">
        <f>"26-Tax Rates, Line "&amp;'26-TaxRates'!A14&amp;""</f>
        <v>26-Tax Rates, Line 8</v>
      </c>
      <c r="J101" s="768"/>
      <c r="K101" s="39">
        <f>'26-TaxRates'!D14</f>
        <v>8.8400000000000006E-2</v>
      </c>
      <c r="L101" s="768"/>
      <c r="M101" s="10"/>
    </row>
    <row r="102" spans="1:13">
      <c r="A102" s="379">
        <f>A101+1</f>
        <v>59</v>
      </c>
      <c r="B102" s="298" t="s">
        <v>183</v>
      </c>
      <c r="C102" s="768"/>
      <c r="D102" s="768"/>
      <c r="E102" s="768"/>
      <c r="F102" s="768"/>
      <c r="G102" s="768"/>
      <c r="H102" s="29" t="s">
        <v>184</v>
      </c>
      <c r="I102" s="298" t="str">
        <f>"(L"&amp;A100&amp;" + L"&amp;A101&amp;") - (L"&amp;A100&amp;" * L"&amp;A101&amp;")"</f>
        <v>(L57 + L58) - (L57 * L58)</v>
      </c>
      <c r="J102" s="768"/>
      <c r="K102" s="6">
        <f>(K100+K101)-(K100*K101)</f>
        <v>0.27983599999999997</v>
      </c>
      <c r="L102" s="768"/>
      <c r="M102" s="10"/>
    </row>
    <row r="103" spans="1:13">
      <c r="A103" s="379"/>
      <c r="B103" s="768"/>
      <c r="C103" s="768"/>
      <c r="D103" s="768"/>
      <c r="E103" s="768"/>
      <c r="F103" s="768"/>
      <c r="G103" s="768"/>
      <c r="H103" s="768"/>
      <c r="I103" s="768"/>
      <c r="J103" s="768"/>
      <c r="K103" s="6"/>
      <c r="L103" s="768"/>
      <c r="M103" s="10"/>
    </row>
    <row r="104" spans="1:13">
      <c r="A104" s="379"/>
      <c r="B104" s="45" t="s">
        <v>185</v>
      </c>
      <c r="C104" s="768"/>
      <c r="D104" s="768"/>
      <c r="E104" s="768"/>
      <c r="F104" s="768"/>
      <c r="G104" s="768"/>
      <c r="H104" s="768"/>
      <c r="I104" s="768"/>
      <c r="J104" s="768"/>
      <c r="K104" s="6"/>
      <c r="L104" s="768"/>
      <c r="M104" s="10"/>
    </row>
    <row r="105" spans="1:13">
      <c r="A105" s="64">
        <f>A102+1</f>
        <v>60</v>
      </c>
      <c r="B105" s="362" t="s">
        <v>186</v>
      </c>
      <c r="C105" s="10"/>
      <c r="D105" s="10"/>
      <c r="E105" s="10"/>
      <c r="F105" s="10"/>
      <c r="G105" s="10"/>
      <c r="H105" s="298" t="s">
        <v>187</v>
      </c>
      <c r="I105" s="10"/>
      <c r="J105" s="768"/>
      <c r="K105" s="787">
        <v>-13795778.000000002</v>
      </c>
      <c r="L105" s="768"/>
      <c r="M105" s="10"/>
    </row>
    <row r="106" spans="1:13">
      <c r="A106" s="64">
        <f>A105+1</f>
        <v>61</v>
      </c>
      <c r="B106" s="362" t="s">
        <v>188</v>
      </c>
      <c r="C106" s="10"/>
      <c r="D106" s="10"/>
      <c r="E106" s="10"/>
      <c r="F106" s="10"/>
      <c r="G106" s="10"/>
      <c r="H106" s="298" t="s">
        <v>187</v>
      </c>
      <c r="I106" s="10"/>
      <c r="J106" s="768"/>
      <c r="K106" s="787">
        <v>-520000</v>
      </c>
      <c r="L106" s="768"/>
      <c r="M106" s="10"/>
    </row>
    <row r="107" spans="1:13">
      <c r="A107" s="64">
        <f t="shared" ref="A107:A108" si="2">A106+1</f>
        <v>62</v>
      </c>
      <c r="B107" s="362" t="s">
        <v>189</v>
      </c>
      <c r="C107" s="10"/>
      <c r="D107" s="10"/>
      <c r="E107" s="10"/>
      <c r="F107" s="10"/>
      <c r="G107" s="10"/>
      <c r="H107" s="298" t="s">
        <v>187</v>
      </c>
      <c r="I107" s="10"/>
      <c r="J107" s="768"/>
      <c r="K107" s="65">
        <v>2606000</v>
      </c>
      <c r="L107" s="768"/>
      <c r="M107" s="10"/>
    </row>
    <row r="108" spans="1:13">
      <c r="A108" s="64">
        <f t="shared" si="2"/>
        <v>63</v>
      </c>
      <c r="B108" s="302" t="s">
        <v>190</v>
      </c>
      <c r="C108" s="768"/>
      <c r="D108" s="768"/>
      <c r="E108" s="768"/>
      <c r="F108" s="768"/>
      <c r="G108" s="768"/>
      <c r="H108" s="768"/>
      <c r="I108" s="298" t="str">
        <f>"Line "&amp;A105&amp;" + Line "&amp;A106&amp;"+ Line "&amp;A107&amp;""</f>
        <v>Line 60 + Line 61+ Line 62</v>
      </c>
      <c r="J108" s="768"/>
      <c r="K108" s="37">
        <f>SUM(K105:K107)</f>
        <v>-11709778.000000002</v>
      </c>
      <c r="L108" s="768"/>
      <c r="M108" s="10"/>
    </row>
    <row r="109" spans="1:13">
      <c r="A109" s="984"/>
      <c r="B109" s="768"/>
      <c r="C109" s="768"/>
      <c r="D109" s="768"/>
      <c r="E109" s="768"/>
      <c r="F109" s="768"/>
      <c r="G109" s="768"/>
      <c r="H109" s="768"/>
      <c r="I109" s="768"/>
      <c r="J109" s="768"/>
      <c r="K109" s="768"/>
      <c r="L109" s="768"/>
      <c r="M109" s="10"/>
    </row>
    <row r="110" spans="1:13">
      <c r="A110" s="64">
        <f>A108+1</f>
        <v>64</v>
      </c>
      <c r="B110" s="298" t="s">
        <v>191</v>
      </c>
      <c r="C110" s="768"/>
      <c r="D110" s="768"/>
      <c r="E110" s="768"/>
      <c r="F110" s="768"/>
      <c r="G110" s="768"/>
      <c r="H110" s="768"/>
      <c r="I110" s="768" t="str">
        <f>"Formula on Line "&amp;A112&amp;""</f>
        <v>Formula on Line 65</v>
      </c>
      <c r="J110" s="768"/>
      <c r="K110" s="37">
        <f>(((K34*K93) + K119)*(K102/(1-K102)))+(K108/(1-K102))</f>
        <v>184577289.74229184</v>
      </c>
      <c r="L110" s="768"/>
      <c r="M110" s="10"/>
    </row>
    <row r="111" spans="1:13">
      <c r="A111" s="64"/>
      <c r="B111" s="768"/>
      <c r="C111" s="768"/>
      <c r="D111" s="768"/>
      <c r="E111" s="768"/>
      <c r="F111" s="768"/>
      <c r="G111" s="768"/>
      <c r="H111" s="768"/>
      <c r="I111" s="768"/>
      <c r="J111" s="768"/>
      <c r="K111" s="768"/>
      <c r="L111" s="768"/>
      <c r="M111" s="10"/>
    </row>
    <row r="112" spans="1:13">
      <c r="A112" s="64">
        <f>A110+1</f>
        <v>65</v>
      </c>
      <c r="B112" s="300" t="s">
        <v>192</v>
      </c>
      <c r="C112" s="300"/>
      <c r="D112" s="300"/>
      <c r="E112" s="300"/>
      <c r="F112" s="300"/>
      <c r="G112" s="300"/>
      <c r="H112" s="768"/>
      <c r="I112" s="768"/>
      <c r="J112" s="768"/>
      <c r="K112" s="768"/>
      <c r="L112" s="768"/>
      <c r="M112" s="10"/>
    </row>
    <row r="113" spans="1:13">
      <c r="A113" s="1109"/>
      <c r="B113" s="768"/>
      <c r="C113" s="768"/>
      <c r="D113" s="768"/>
      <c r="E113" s="768"/>
      <c r="F113" s="768"/>
      <c r="G113" s="768"/>
      <c r="H113" s="768"/>
      <c r="I113" s="298"/>
      <c r="J113" s="768"/>
      <c r="K113" s="768"/>
      <c r="L113" s="768"/>
      <c r="M113" s="10"/>
    </row>
    <row r="114" spans="1:13">
      <c r="A114" s="1109"/>
      <c r="B114" s="768"/>
      <c r="C114" s="768" t="s">
        <v>193</v>
      </c>
      <c r="D114" s="768"/>
      <c r="E114" s="768"/>
      <c r="F114" s="768"/>
      <c r="G114" s="768"/>
      <c r="H114" s="768"/>
      <c r="I114" s="768"/>
      <c r="J114" s="768"/>
      <c r="K114" s="768"/>
      <c r="L114" s="768"/>
      <c r="M114" s="10"/>
    </row>
    <row r="115" spans="1:13">
      <c r="A115" s="1109"/>
      <c r="B115" s="768"/>
      <c r="C115" s="67" t="s">
        <v>194</v>
      </c>
      <c r="D115" s="10"/>
      <c r="E115" s="10"/>
      <c r="F115" s="10"/>
      <c r="G115" s="10"/>
      <c r="H115" s="10"/>
      <c r="I115" s="300" t="str">
        <f>"Line "&amp;A34&amp;""</f>
        <v>Line 18</v>
      </c>
      <c r="J115" s="768"/>
      <c r="K115" s="768"/>
      <c r="L115" s="768"/>
      <c r="M115" s="10"/>
    </row>
    <row r="116" spans="1:13">
      <c r="A116" s="1109"/>
      <c r="B116" s="768"/>
      <c r="C116" s="297" t="s">
        <v>195</v>
      </c>
      <c r="D116" s="10"/>
      <c r="E116" s="10"/>
      <c r="F116" s="10"/>
      <c r="G116" s="10"/>
      <c r="H116" s="10"/>
      <c r="I116" s="300" t="str">
        <f>"Line "&amp;A93&amp;""</f>
        <v>Line 55</v>
      </c>
      <c r="J116" s="768"/>
      <c r="K116" s="768"/>
      <c r="L116" s="768"/>
      <c r="M116" s="10"/>
    </row>
    <row r="117" spans="1:13">
      <c r="A117" s="1109"/>
      <c r="B117" s="768"/>
      <c r="C117" s="67" t="s">
        <v>196</v>
      </c>
      <c r="D117" s="10"/>
      <c r="E117" s="10"/>
      <c r="F117" s="10"/>
      <c r="G117" s="10"/>
      <c r="H117" s="10"/>
      <c r="I117" s="300" t="str">
        <f>"Line "&amp;A102&amp;""</f>
        <v>Line 59</v>
      </c>
      <c r="J117" s="768"/>
      <c r="K117" s="768"/>
      <c r="L117" s="768"/>
      <c r="M117" s="10"/>
    </row>
    <row r="118" spans="1:13">
      <c r="A118" s="1109"/>
      <c r="B118" s="768"/>
      <c r="C118" s="67" t="s">
        <v>197</v>
      </c>
      <c r="D118" s="10"/>
      <c r="E118" s="10"/>
      <c r="F118" s="10"/>
      <c r="G118" s="10"/>
      <c r="H118" s="10"/>
      <c r="I118" s="300" t="str">
        <f>"Line "&amp;A108&amp;""</f>
        <v>Line 63</v>
      </c>
      <c r="J118" s="768"/>
      <c r="K118" s="768"/>
      <c r="L118" s="768"/>
      <c r="M118" s="10"/>
    </row>
    <row r="119" spans="1:13">
      <c r="A119" s="1109"/>
      <c r="B119" s="768"/>
      <c r="C119" s="67" t="s">
        <v>198</v>
      </c>
      <c r="D119" s="10"/>
      <c r="E119" s="10"/>
      <c r="F119" s="10"/>
      <c r="G119" s="10"/>
      <c r="H119" s="10"/>
      <c r="I119" s="10" t="s">
        <v>199</v>
      </c>
      <c r="J119" s="768"/>
      <c r="K119" s="325">
        <v>3610018</v>
      </c>
      <c r="L119" s="768"/>
      <c r="M119" s="10"/>
    </row>
    <row r="120" spans="1:13">
      <c r="A120" s="768"/>
      <c r="B120" s="768"/>
      <c r="C120" s="768"/>
      <c r="D120" s="768"/>
      <c r="E120" s="768"/>
      <c r="F120" s="768"/>
      <c r="G120" s="768"/>
      <c r="H120" s="768"/>
      <c r="I120" s="768"/>
      <c r="J120" s="768"/>
      <c r="K120" s="768"/>
      <c r="L120" s="768"/>
      <c r="M120" s="10"/>
    </row>
    <row r="121" spans="1:13">
      <c r="A121" s="8" t="s">
        <v>200</v>
      </c>
      <c r="B121" s="9"/>
      <c r="C121" s="9"/>
      <c r="D121" s="9"/>
      <c r="E121" s="9"/>
      <c r="F121" s="9"/>
      <c r="G121" s="9"/>
      <c r="H121" s="7"/>
      <c r="I121" s="7"/>
      <c r="J121" s="7"/>
      <c r="K121" s="7"/>
      <c r="L121" s="768"/>
      <c r="M121" s="10"/>
    </row>
    <row r="122" spans="1:13">
      <c r="A122" s="768"/>
      <c r="B122" s="768"/>
      <c r="C122" s="768"/>
      <c r="D122" s="768"/>
      <c r="E122" s="768"/>
      <c r="F122" s="768"/>
      <c r="G122" s="768"/>
      <c r="H122" s="768"/>
      <c r="I122" s="768"/>
      <c r="J122" s="768"/>
      <c r="K122" s="768"/>
      <c r="L122" s="768"/>
      <c r="M122" s="10"/>
    </row>
    <row r="123" spans="1:13">
      <c r="A123" s="768"/>
      <c r="B123" s="45" t="s">
        <v>201</v>
      </c>
      <c r="C123" s="768"/>
      <c r="D123" s="768"/>
      <c r="E123" s="768"/>
      <c r="F123" s="768"/>
      <c r="G123" s="768"/>
      <c r="H123" s="768"/>
      <c r="I123" s="768"/>
      <c r="J123" s="768"/>
      <c r="K123" s="768"/>
      <c r="L123" s="768"/>
      <c r="M123" s="10"/>
    </row>
    <row r="124" spans="1:13">
      <c r="A124" s="64">
        <f>A112+1</f>
        <v>66</v>
      </c>
      <c r="B124" s="768" t="s">
        <v>202</v>
      </c>
      <c r="C124" s="768"/>
      <c r="D124" s="768"/>
      <c r="E124" s="768"/>
      <c r="F124" s="768"/>
      <c r="G124" s="768"/>
      <c r="H124" s="11"/>
      <c r="I124" s="10" t="str">
        <f>"19-OandM, Line "&amp;'19-OandM'!A124&amp;", Col. 6"</f>
        <v>19-OandM, Line 91, Col. 6</v>
      </c>
      <c r="J124" s="768"/>
      <c r="K124" s="37">
        <f>'19-OandM'!G124</f>
        <v>69646422.623998374</v>
      </c>
      <c r="L124" s="768"/>
      <c r="M124" s="10"/>
    </row>
    <row r="125" spans="1:13">
      <c r="A125" s="64">
        <f t="shared" ref="A125:A139" si="3">A124+1</f>
        <v>67</v>
      </c>
      <c r="B125" s="298" t="s">
        <v>203</v>
      </c>
      <c r="C125" s="768"/>
      <c r="D125" s="768"/>
      <c r="E125" s="768"/>
      <c r="F125" s="768"/>
      <c r="G125" s="768"/>
      <c r="H125" s="11"/>
      <c r="I125" s="10" t="str">
        <f>"20-AandG, Line "&amp;'20-AandG'!A30&amp;""</f>
        <v>20-AandG, Line 23</v>
      </c>
      <c r="J125" s="768"/>
      <c r="K125" s="37">
        <f>'20-AandG'!F30</f>
        <v>214646260.19499454</v>
      </c>
      <c r="L125" s="768"/>
      <c r="M125" s="10"/>
    </row>
    <row r="126" spans="1:13">
      <c r="A126" s="64">
        <f t="shared" si="3"/>
        <v>68</v>
      </c>
      <c r="B126" s="768" t="s">
        <v>204</v>
      </c>
      <c r="C126" s="768"/>
      <c r="D126" s="768"/>
      <c r="E126" s="768"/>
      <c r="F126" s="768"/>
      <c r="G126" s="768"/>
      <c r="H126" s="11"/>
      <c r="I126" s="300" t="str">
        <f>"22-NUCs, Line "&amp;'22-NUCs'!A17&amp;""</f>
        <v>22-NUCs, Line 8</v>
      </c>
      <c r="J126" s="768"/>
      <c r="K126" s="5">
        <f>'22-NUCs'!E17</f>
        <v>5429238</v>
      </c>
      <c r="L126" s="768"/>
      <c r="M126" s="10"/>
    </row>
    <row r="127" spans="1:13">
      <c r="A127" s="64">
        <f t="shared" si="3"/>
        <v>69</v>
      </c>
      <c r="B127" s="298" t="s">
        <v>205</v>
      </c>
      <c r="C127" s="768"/>
      <c r="D127" s="768"/>
      <c r="E127" s="768"/>
      <c r="F127" s="768"/>
      <c r="G127" s="768"/>
      <c r="H127" s="11"/>
      <c r="I127" s="10" t="str">
        <f>"17-Depreciation, Line "&amp;'17-Depreciation'!A94&amp;""</f>
        <v>17-Depreciation, Line 70</v>
      </c>
      <c r="J127" s="768"/>
      <c r="K127" s="5">
        <f>'17-Depreciation'!F94</f>
        <v>263420094.95571494</v>
      </c>
      <c r="L127" s="768"/>
      <c r="M127" s="10"/>
    </row>
    <row r="128" spans="1:13">
      <c r="A128" s="64">
        <f t="shared" si="3"/>
        <v>70</v>
      </c>
      <c r="B128" s="298" t="s">
        <v>206</v>
      </c>
      <c r="C128" s="768"/>
      <c r="D128" s="768"/>
      <c r="E128" s="768"/>
      <c r="F128" s="768"/>
      <c r="G128" s="768"/>
      <c r="H128" s="11"/>
      <c r="I128" s="10" t="str">
        <f>"12-AbandonedPlant, Line "&amp;'12-AbandonedPlant'!A18&amp;""</f>
        <v>12-AbandonedPlant, Line 1</v>
      </c>
      <c r="J128" s="768"/>
      <c r="K128" s="5">
        <f>'12-AbandonedPlant'!G18</f>
        <v>0</v>
      </c>
      <c r="L128" s="768"/>
      <c r="M128" s="10"/>
    </row>
    <row r="129" spans="1:13">
      <c r="A129" s="64">
        <f t="shared" si="3"/>
        <v>71</v>
      </c>
      <c r="B129" s="298" t="s">
        <v>149</v>
      </c>
      <c r="C129" s="768"/>
      <c r="D129" s="768"/>
      <c r="E129" s="768"/>
      <c r="F129" s="768"/>
      <c r="G129" s="768"/>
      <c r="H129" s="11"/>
      <c r="I129" s="10" t="str">
        <f>"Line "&amp;A58&amp;""</f>
        <v>Line 36</v>
      </c>
      <c r="J129" s="768"/>
      <c r="K129" s="5">
        <f>K58</f>
        <v>63834518.800213069</v>
      </c>
      <c r="L129" s="768"/>
      <c r="M129" s="10"/>
    </row>
    <row r="130" spans="1:13">
      <c r="A130" s="64">
        <f t="shared" si="3"/>
        <v>72</v>
      </c>
      <c r="B130" s="768" t="s">
        <v>207</v>
      </c>
      <c r="C130" s="768"/>
      <c r="D130" s="768"/>
      <c r="E130" s="768"/>
      <c r="F130" s="768"/>
      <c r="G130" s="768"/>
      <c r="H130" s="297" t="s">
        <v>113</v>
      </c>
      <c r="I130" s="10" t="str">
        <f>"21-Revenue Credits, Line "&amp;'21-RevenueCredits'!A227&amp;""</f>
        <v>21-Revenue Credits, Line 44</v>
      </c>
      <c r="J130" s="768"/>
      <c r="K130" s="5">
        <f>-'21-RevenueCredits'!E227</f>
        <v>-58173790.580408886</v>
      </c>
      <c r="L130" s="768"/>
      <c r="M130" s="10"/>
    </row>
    <row r="131" spans="1:13">
      <c r="A131" s="64">
        <f t="shared" si="3"/>
        <v>73</v>
      </c>
      <c r="B131" s="768" t="s">
        <v>208</v>
      </c>
      <c r="C131" s="768"/>
      <c r="D131" s="768"/>
      <c r="E131" s="768"/>
      <c r="F131" s="768"/>
      <c r="G131" s="768"/>
      <c r="H131" s="11"/>
      <c r="I131" s="10" t="str">
        <f>"Line "&amp;A95&amp;""</f>
        <v>Line 56</v>
      </c>
      <c r="J131" s="768"/>
      <c r="K131" s="5">
        <f>K95</f>
        <v>634195608.30962205</v>
      </c>
      <c r="L131" s="768"/>
      <c r="M131" s="10"/>
    </row>
    <row r="132" spans="1:13">
      <c r="A132" s="64">
        <f t="shared" si="3"/>
        <v>74</v>
      </c>
      <c r="B132" s="768" t="s">
        <v>209</v>
      </c>
      <c r="C132" s="768"/>
      <c r="D132" s="768"/>
      <c r="E132" s="768"/>
      <c r="F132" s="768"/>
      <c r="G132" s="768"/>
      <c r="H132" s="11"/>
      <c r="I132" s="10" t="str">
        <f>"Line "&amp;A110&amp;""</f>
        <v>Line 64</v>
      </c>
      <c r="J132" s="768"/>
      <c r="K132" s="305">
        <f>K110</f>
        <v>184577289.74229184</v>
      </c>
      <c r="L132" s="768"/>
      <c r="M132" s="10"/>
    </row>
    <row r="133" spans="1:13">
      <c r="A133" s="64">
        <f t="shared" si="3"/>
        <v>75</v>
      </c>
      <c r="B133" s="768" t="s">
        <v>210</v>
      </c>
      <c r="C133" s="768"/>
      <c r="D133" s="768"/>
      <c r="E133" s="768"/>
      <c r="F133" s="768"/>
      <c r="G133" s="768"/>
      <c r="H133" s="302" t="s">
        <v>211</v>
      </c>
      <c r="I133" s="300" t="str">
        <f>"11-PHFU, Line "&amp;'11-PHFU'!A46&amp;""</f>
        <v>11-PHFU, Line 10</v>
      </c>
      <c r="J133" s="768"/>
      <c r="K133" s="311">
        <f>-'11-PHFU'!E46</f>
        <v>0</v>
      </c>
      <c r="L133" s="768"/>
      <c r="M133" s="10"/>
    </row>
    <row r="134" spans="1:13">
      <c r="A134" s="64">
        <f t="shared" si="3"/>
        <v>76</v>
      </c>
      <c r="B134" s="395" t="s">
        <v>212</v>
      </c>
      <c r="C134" s="498"/>
      <c r="D134" s="10"/>
      <c r="E134" s="10"/>
      <c r="F134" s="768"/>
      <c r="G134" s="768"/>
      <c r="H134" s="11"/>
      <c r="I134" s="300" t="str">
        <f>"23-RegAssets, Line "&amp;'23-RegAssets'!A19&amp;""</f>
        <v>23-RegAssets, Line 16</v>
      </c>
      <c r="J134" s="768"/>
      <c r="K134" s="311">
        <f>'23-RegAssets'!E19</f>
        <v>0</v>
      </c>
      <c r="L134" s="768"/>
      <c r="M134" s="10"/>
    </row>
    <row r="135" spans="1:13">
      <c r="A135" s="64">
        <f t="shared" si="3"/>
        <v>77</v>
      </c>
      <c r="B135" s="298" t="s">
        <v>213</v>
      </c>
      <c r="C135" s="768"/>
      <c r="D135" s="768"/>
      <c r="E135" s="768"/>
      <c r="F135" s="768"/>
      <c r="G135" s="768"/>
      <c r="H135" s="11"/>
      <c r="I135" s="10" t="str">
        <f>"15-IncentiveAdder, Line "&amp;'15-IncentiveAdder'!A44&amp;""</f>
        <v>15-IncentiveAdder, Line 14</v>
      </c>
      <c r="J135" s="768"/>
      <c r="K135" s="55">
        <f>'15-IncentiveAdder'!G44</f>
        <v>27071431.552204303</v>
      </c>
      <c r="L135" s="768"/>
      <c r="M135" s="10"/>
    </row>
    <row r="136" spans="1:13">
      <c r="A136" s="64">
        <f t="shared" si="3"/>
        <v>78</v>
      </c>
      <c r="B136" s="298" t="s">
        <v>214</v>
      </c>
      <c r="C136" s="768"/>
      <c r="D136" s="768"/>
      <c r="E136" s="768"/>
      <c r="F136" s="768"/>
      <c r="G136" s="768"/>
      <c r="H136" s="11"/>
      <c r="I136" s="10" t="str">
        <f>"Sum of Lines "&amp;A124&amp;" to "&amp;A135&amp;""</f>
        <v>Sum of Lines 66 to 77</v>
      </c>
      <c r="J136" s="768"/>
      <c r="K136" s="5">
        <f>SUM(K124:K135)</f>
        <v>1404647073.5986302</v>
      </c>
      <c r="L136" s="768"/>
      <c r="M136" s="10"/>
    </row>
    <row r="137" spans="1:13">
      <c r="A137" s="984"/>
      <c r="B137" s="298"/>
      <c r="C137" s="768"/>
      <c r="D137" s="768"/>
      <c r="E137" s="768"/>
      <c r="F137" s="768"/>
      <c r="G137" s="768"/>
      <c r="H137" s="11"/>
      <c r="I137" s="10"/>
      <c r="J137" s="768"/>
      <c r="K137" s="5"/>
      <c r="L137" s="768"/>
      <c r="M137" s="10"/>
    </row>
    <row r="138" spans="1:13">
      <c r="A138" s="64">
        <f>A136+1</f>
        <v>79</v>
      </c>
      <c r="B138" s="298" t="s">
        <v>215</v>
      </c>
      <c r="C138" s="768"/>
      <c r="D138" s="768"/>
      <c r="E138" s="768"/>
      <c r="F138" s="768"/>
      <c r="G138" s="768"/>
      <c r="H138" s="768"/>
      <c r="I138" s="10" t="str">
        <f>"L "&amp;A136&amp;" * FF Factor (28-FFU, L "&amp;'28-FFU'!A22&amp;")"</f>
        <v>L 78 * FF Factor (28-FFU, L 5)</v>
      </c>
      <c r="J138" s="10"/>
      <c r="K138" s="5">
        <f>'28-FFU'!D22*K136</f>
        <v>12984557.548345739</v>
      </c>
      <c r="L138" s="768"/>
      <c r="M138" s="10"/>
    </row>
    <row r="139" spans="1:13">
      <c r="A139" s="64">
        <f t="shared" si="3"/>
        <v>80</v>
      </c>
      <c r="B139" s="298" t="s">
        <v>216</v>
      </c>
      <c r="C139" s="768"/>
      <c r="D139" s="768"/>
      <c r="E139" s="768"/>
      <c r="F139" s="768"/>
      <c r="G139" s="768"/>
      <c r="H139" s="768"/>
      <c r="I139" s="10" t="str">
        <f>"L "&amp;A136&amp;" * U Factor (28-FFU, L "&amp;'28-FFU'!A22&amp;")"</f>
        <v>L 78 * U Factor (28-FFU, L 5)</v>
      </c>
      <c r="J139" s="10"/>
      <c r="K139" s="5">
        <f>'28-FFU'!E22*K136</f>
        <v>2997516.855059477</v>
      </c>
      <c r="L139" s="768"/>
      <c r="M139" s="10"/>
    </row>
    <row r="140" spans="1:13">
      <c r="A140" s="64"/>
      <c r="B140" s="298"/>
      <c r="C140" s="768"/>
      <c r="D140" s="768"/>
      <c r="E140" s="768"/>
      <c r="F140" s="768"/>
      <c r="G140" s="768"/>
      <c r="H140" s="768"/>
      <c r="I140" s="768"/>
      <c r="J140" s="768"/>
      <c r="K140" s="5"/>
      <c r="L140" s="768"/>
      <c r="M140" s="10"/>
    </row>
    <row r="141" spans="1:13">
      <c r="A141" s="64">
        <f>A139+1</f>
        <v>81</v>
      </c>
      <c r="B141" s="298" t="s">
        <v>80</v>
      </c>
      <c r="C141" s="768"/>
      <c r="D141" s="768"/>
      <c r="E141" s="768"/>
      <c r="F141" s="768"/>
      <c r="G141" s="768"/>
      <c r="H141" s="768"/>
      <c r="I141" s="768" t="str">
        <f>"Line "&amp;A136&amp;" + Line "&amp;A138&amp;"+ Line "&amp;A139&amp;""</f>
        <v>Line 78 + Line 79+ Line 80</v>
      </c>
      <c r="J141" s="768"/>
      <c r="K141" s="5">
        <f>K136+K138+K139</f>
        <v>1420629148.0020354</v>
      </c>
      <c r="L141" s="768"/>
      <c r="M141" s="10"/>
    </row>
    <row r="142" spans="1:13">
      <c r="A142" s="768"/>
      <c r="B142" s="768"/>
      <c r="C142" s="768"/>
      <c r="D142" s="768"/>
      <c r="E142" s="768"/>
      <c r="F142" s="768"/>
      <c r="G142" s="768"/>
      <c r="H142" s="768"/>
      <c r="I142" s="768"/>
      <c r="J142" s="768"/>
      <c r="K142" s="768"/>
      <c r="L142" s="768"/>
      <c r="M142" s="10"/>
    </row>
    <row r="143" spans="1:13">
      <c r="A143" s="8" t="s">
        <v>217</v>
      </c>
      <c r="B143" s="9"/>
      <c r="C143" s="9"/>
      <c r="D143" s="9"/>
      <c r="E143" s="9"/>
      <c r="F143" s="9"/>
      <c r="G143" s="9"/>
      <c r="H143" s="7"/>
      <c r="I143" s="7"/>
      <c r="J143" s="7"/>
      <c r="K143" s="7"/>
      <c r="L143" s="768"/>
      <c r="M143" s="10"/>
    </row>
    <row r="144" spans="1:13">
      <c r="A144" s="768"/>
      <c r="B144" s="768"/>
      <c r="C144" s="768"/>
      <c r="D144" s="768"/>
      <c r="E144" s="768"/>
      <c r="F144" s="768"/>
      <c r="G144" s="768"/>
      <c r="H144" s="768"/>
      <c r="I144" s="768"/>
      <c r="J144" s="768"/>
      <c r="K144" s="768"/>
      <c r="L144" s="768"/>
      <c r="M144" s="10"/>
    </row>
    <row r="145" spans="1:13">
      <c r="A145" s="768"/>
      <c r="B145" s="45" t="s">
        <v>218</v>
      </c>
      <c r="C145" s="768"/>
      <c r="D145" s="768"/>
      <c r="E145" s="768"/>
      <c r="F145" s="768"/>
      <c r="G145" s="768"/>
      <c r="H145" s="768"/>
      <c r="I145" s="768"/>
      <c r="J145" s="768"/>
      <c r="K145" s="768"/>
      <c r="L145" s="768"/>
      <c r="M145" s="10"/>
    </row>
    <row r="146" spans="1:13">
      <c r="A146" s="64">
        <f>A141+1</f>
        <v>82</v>
      </c>
      <c r="B146" s="768" t="s">
        <v>80</v>
      </c>
      <c r="C146" s="768"/>
      <c r="D146" s="768"/>
      <c r="E146" s="768"/>
      <c r="F146" s="768"/>
      <c r="G146" s="768"/>
      <c r="H146" s="768"/>
      <c r="I146" s="768" t="str">
        <f>"Line "&amp;A141&amp;""</f>
        <v>Line 81</v>
      </c>
      <c r="J146" s="768"/>
      <c r="K146" s="5">
        <f>K141</f>
        <v>1420629148.0020354</v>
      </c>
      <c r="L146" s="768"/>
      <c r="M146" s="10"/>
    </row>
    <row r="147" spans="1:13">
      <c r="A147" s="64">
        <f>A146+1</f>
        <v>83</v>
      </c>
      <c r="B147" s="768" t="s">
        <v>81</v>
      </c>
      <c r="C147" s="768"/>
      <c r="D147" s="768"/>
      <c r="E147" s="768"/>
      <c r="F147" s="768"/>
      <c r="G147" s="768"/>
      <c r="H147" s="768"/>
      <c r="I147" s="300" t="str">
        <f>"2-IFPTRR, Line "&amp;'2-IFPTRR'!A91&amp;""</f>
        <v>2-IFPTRR, Line 82</v>
      </c>
      <c r="J147" s="768"/>
      <c r="K147" s="5">
        <f>'2-IFPTRR'!D91</f>
        <v>167078050.63809949</v>
      </c>
      <c r="L147" s="768"/>
      <c r="M147" s="10"/>
    </row>
    <row r="148" spans="1:13">
      <c r="A148" s="64">
        <f>A147+1</f>
        <v>84</v>
      </c>
      <c r="B148" s="298" t="s">
        <v>219</v>
      </c>
      <c r="C148" s="768"/>
      <c r="D148" s="768"/>
      <c r="E148" s="768"/>
      <c r="F148" s="768"/>
      <c r="G148" s="768"/>
      <c r="H148" s="298"/>
      <c r="I148" s="300" t="str">
        <f>"3-TrueUpAdjust, Line "&amp;'3-TrueUpAdjust'!A44&amp;""</f>
        <v>3-TrueUpAdjust, Line 30</v>
      </c>
      <c r="J148" s="768"/>
      <c r="K148" s="305">
        <f ca="1">'3-TrueUpAdjust'!E44</f>
        <v>-104492797.14171189</v>
      </c>
      <c r="L148" s="768"/>
      <c r="M148" s="10"/>
    </row>
    <row r="149" spans="1:13">
      <c r="A149" s="64">
        <f>A148+1</f>
        <v>85</v>
      </c>
      <c r="B149" s="300" t="s">
        <v>83</v>
      </c>
      <c r="C149" s="10"/>
      <c r="D149" s="768"/>
      <c r="E149" s="768"/>
      <c r="F149" s="768"/>
      <c r="G149" s="768"/>
      <c r="H149" s="298" t="s">
        <v>220</v>
      </c>
      <c r="I149" s="10"/>
      <c r="J149" s="768"/>
      <c r="K149" s="68">
        <v>-157560090</v>
      </c>
      <c r="L149" s="768"/>
      <c r="M149" s="10"/>
    </row>
    <row r="150" spans="1:13">
      <c r="A150" s="64"/>
      <c r="B150" s="768"/>
      <c r="C150" s="768"/>
      <c r="D150" s="768"/>
      <c r="E150" s="768"/>
      <c r="F150" s="768"/>
      <c r="G150" s="768"/>
      <c r="H150" s="768"/>
      <c r="I150" s="10"/>
      <c r="J150" s="768"/>
      <c r="K150" s="5"/>
      <c r="L150" s="768"/>
      <c r="M150" s="10"/>
    </row>
    <row r="151" spans="1:13">
      <c r="A151" s="64">
        <f>A149+1</f>
        <v>86</v>
      </c>
      <c r="B151" s="298" t="s">
        <v>221</v>
      </c>
      <c r="C151" s="768"/>
      <c r="D151" s="768"/>
      <c r="E151" s="768"/>
      <c r="F151" s="768"/>
      <c r="G151" s="768"/>
      <c r="H151" s="298" t="s">
        <v>222</v>
      </c>
      <c r="I151" s="10" t="str">
        <f>"L "&amp;A146&amp;" + L "&amp;A147&amp;" + L "&amp;A148&amp;" + L "&amp;A149&amp;""</f>
        <v>L 82 + L 83 + L 84 + L 85</v>
      </c>
      <c r="J151" s="768"/>
      <c r="K151" s="5">
        <f ca="1">K146+K147+K148+K149</f>
        <v>1325654311.4984229</v>
      </c>
      <c r="L151" s="768"/>
      <c r="M151" s="10"/>
    </row>
    <row r="152" spans="1:13">
      <c r="A152" s="64"/>
      <c r="B152" s="768"/>
      <c r="C152" s="768"/>
      <c r="D152" s="768"/>
      <c r="E152" s="768"/>
      <c r="F152" s="768"/>
      <c r="G152" s="768"/>
      <c r="H152" s="768"/>
      <c r="I152" s="10"/>
      <c r="J152" s="768"/>
      <c r="K152" s="5"/>
      <c r="L152" s="768"/>
      <c r="M152" s="10"/>
    </row>
    <row r="153" spans="1:13">
      <c r="A153" s="64"/>
      <c r="B153" s="45" t="s">
        <v>223</v>
      </c>
      <c r="C153" s="768"/>
      <c r="D153" s="768"/>
      <c r="E153" s="768"/>
      <c r="F153" s="768"/>
      <c r="G153" s="768"/>
      <c r="H153" s="768"/>
      <c r="I153" s="10"/>
      <c r="J153" s="768"/>
      <c r="K153" s="5"/>
      <c r="L153" s="768"/>
      <c r="M153" s="10"/>
    </row>
    <row r="154" spans="1:13">
      <c r="A154" s="64">
        <f>A151+1</f>
        <v>87</v>
      </c>
      <c r="B154" s="768" t="s">
        <v>224</v>
      </c>
      <c r="C154" s="768"/>
      <c r="D154" s="768"/>
      <c r="E154" s="768"/>
      <c r="F154" s="768"/>
      <c r="G154" s="768"/>
      <c r="H154" s="768"/>
      <c r="I154" s="10" t="str">
        <f>"Line "&amp;A151&amp;""</f>
        <v>Line 86</v>
      </c>
      <c r="J154" s="768"/>
      <c r="K154" s="5">
        <f ca="1">K151</f>
        <v>1325654311.4984229</v>
      </c>
      <c r="L154" s="768"/>
      <c r="M154" s="10"/>
    </row>
    <row r="155" spans="1:13">
      <c r="A155" s="64">
        <f>A154+1</f>
        <v>88</v>
      </c>
      <c r="B155" s="768" t="s">
        <v>225</v>
      </c>
      <c r="C155" s="768"/>
      <c r="D155" s="768"/>
      <c r="E155" s="768"/>
      <c r="F155" s="768"/>
      <c r="G155" s="768"/>
      <c r="H155" s="768"/>
      <c r="I155" s="300" t="str">
        <f>"25-WholesaleDifference, Line "&amp;'25-WholesaleDifference'!A93&amp;""</f>
        <v>25-WholesaleDifference, Line 45</v>
      </c>
      <c r="J155" s="768"/>
      <c r="K155" s="55">
        <f>'25-WholesaleDifference'!H93</f>
        <v>-5960356.0759497667</v>
      </c>
      <c r="L155" s="768"/>
      <c r="M155" s="10"/>
    </row>
    <row r="156" spans="1:13">
      <c r="A156" s="64">
        <f>A155+1</f>
        <v>89</v>
      </c>
      <c r="B156" s="768" t="s">
        <v>223</v>
      </c>
      <c r="C156" s="768"/>
      <c r="D156" s="768"/>
      <c r="E156" s="768"/>
      <c r="F156" s="768"/>
      <c r="G156" s="768"/>
      <c r="H156" s="768"/>
      <c r="I156" s="768" t="str">
        <f>"Line "&amp;A154&amp;" + Line "&amp;A155&amp;""</f>
        <v>Line 87 + Line 88</v>
      </c>
      <c r="J156" s="768"/>
      <c r="K156" s="5">
        <f ca="1">K154+K155</f>
        <v>1319693955.4224732</v>
      </c>
      <c r="L156" s="768"/>
      <c r="M156" s="10"/>
    </row>
    <row r="157" spans="1:13">
      <c r="A157" s="10"/>
      <c r="B157" s="768"/>
      <c r="C157" s="768"/>
      <c r="D157" s="768"/>
      <c r="E157" s="768"/>
      <c r="F157" s="768"/>
      <c r="G157" s="768"/>
      <c r="H157" s="298"/>
      <c r="I157" s="768"/>
      <c r="J157" s="768"/>
      <c r="K157" s="768"/>
      <c r="L157" s="768"/>
      <c r="M157" s="768"/>
    </row>
    <row r="159" spans="1:13">
      <c r="A159" s="768"/>
      <c r="B159" s="28" t="s">
        <v>226</v>
      </c>
      <c r="C159" s="768"/>
      <c r="D159" s="768"/>
      <c r="E159" s="768"/>
      <c r="F159" s="768"/>
      <c r="G159" s="768"/>
      <c r="H159" s="768"/>
      <c r="I159" s="768"/>
      <c r="J159" s="768"/>
      <c r="K159" s="768"/>
      <c r="L159" s="768"/>
      <c r="M159" s="768"/>
    </row>
    <row r="160" spans="1:13" s="768" customFormat="1">
      <c r="B160" s="298" t="s">
        <v>227</v>
      </c>
    </row>
    <row r="161" spans="2:11" s="768" customFormat="1">
      <c r="B161" s="302" t="s">
        <v>228</v>
      </c>
    </row>
    <row r="162" spans="2:11">
      <c r="B162" s="300" t="s">
        <v>229</v>
      </c>
      <c r="C162" s="10"/>
      <c r="D162" s="10"/>
      <c r="E162" s="10"/>
      <c r="F162" s="10"/>
      <c r="G162" s="10"/>
      <c r="H162" s="10"/>
      <c r="I162" s="10"/>
      <c r="J162" s="10"/>
      <c r="K162" s="10"/>
    </row>
    <row r="163" spans="2:11">
      <c r="B163" s="298" t="s">
        <v>230</v>
      </c>
      <c r="C163" s="768"/>
      <c r="D163" s="768"/>
      <c r="E163" s="768"/>
      <c r="F163" s="768"/>
      <c r="G163" s="768"/>
      <c r="H163" s="768"/>
      <c r="I163" s="768"/>
      <c r="J163" s="768"/>
      <c r="K163" s="768"/>
    </row>
    <row r="164" spans="2:11">
      <c r="B164" s="300" t="s">
        <v>231</v>
      </c>
      <c r="C164" s="10"/>
      <c r="D164" s="10"/>
      <c r="E164" s="10"/>
      <c r="F164" s="10"/>
      <c r="G164" s="10"/>
      <c r="H164" s="10"/>
      <c r="I164" s="10"/>
      <c r="J164" s="10"/>
      <c r="K164" s="10"/>
    </row>
    <row r="165" spans="2:11">
      <c r="B165" s="300"/>
      <c r="C165" s="10" t="s">
        <v>232</v>
      </c>
      <c r="D165" s="10"/>
      <c r="E165" s="10"/>
      <c r="F165" s="58" t="s">
        <v>233</v>
      </c>
      <c r="G165" s="58"/>
      <c r="H165" s="58"/>
      <c r="I165" s="10"/>
      <c r="J165" s="10"/>
      <c r="K165" s="10"/>
    </row>
    <row r="166" spans="2:11">
      <c r="B166" s="298" t="s">
        <v>234</v>
      </c>
      <c r="C166" s="300"/>
      <c r="D166" s="300"/>
      <c r="E166" s="300"/>
      <c r="F166" s="300"/>
      <c r="G166" s="300"/>
      <c r="H166" s="300"/>
      <c r="I166" s="10"/>
      <c r="J166" s="768"/>
      <c r="K166" s="768"/>
    </row>
    <row r="167" spans="2:11">
      <c r="B167" s="302" t="s">
        <v>235</v>
      </c>
      <c r="C167" s="768"/>
      <c r="D167" s="768"/>
      <c r="E167" s="768"/>
      <c r="F167" s="768"/>
      <c r="G167" s="768"/>
      <c r="H167" s="768"/>
      <c r="I167" s="768"/>
      <c r="J167" s="768"/>
      <c r="K167" s="768"/>
    </row>
    <row r="168" spans="2:11">
      <c r="B168" s="302" t="s">
        <v>236</v>
      </c>
      <c r="C168" s="768"/>
      <c r="D168" s="768"/>
      <c r="E168" s="768"/>
      <c r="F168" s="768"/>
      <c r="G168" s="768"/>
      <c r="H168" s="768"/>
      <c r="I168" s="768"/>
      <c r="J168" s="768"/>
      <c r="K168" s="768"/>
    </row>
    <row r="169" spans="2:11">
      <c r="B169" s="300" t="s">
        <v>237</v>
      </c>
      <c r="C169" s="768"/>
      <c r="D169" s="768"/>
      <c r="E169" s="768"/>
      <c r="F169" s="768"/>
      <c r="G169" s="768"/>
      <c r="H169" s="768"/>
      <c r="I169" s="768"/>
      <c r="J169" s="768"/>
      <c r="K169" s="768"/>
    </row>
  </sheetData>
  <phoneticPr fontId="22" type="noConversion"/>
  <pageMargins left="0.75" right="0.75" top="1" bottom="1" header="0.5" footer="0.5"/>
  <pageSetup scale="64" orientation="portrait" cellComments="asDisplayed" r:id="rId1"/>
  <headerFooter alignWithMargins="0">
    <oddHeader>&amp;CSchedule 1
Base TRR
&amp;RTO2020 Draft Annual Update 
Attachment1</oddHeader>
    <oddFooter>&amp;R&amp;A</oddFooter>
  </headerFooter>
  <rowBreaks count="2" manualBreakCount="2">
    <brk id="59" max="16383" man="1"/>
    <brk id="12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497" t="s">
        <v>2865</v>
      </c>
      <c r="B1" s="497"/>
      <c r="C1" s="498"/>
      <c r="D1" s="498"/>
      <c r="E1" s="768"/>
      <c r="F1" s="768"/>
      <c r="G1" s="498"/>
      <c r="H1" s="498"/>
      <c r="I1" s="498"/>
      <c r="J1" s="498"/>
      <c r="K1" s="498"/>
      <c r="L1" s="498"/>
      <c r="M1" s="498"/>
      <c r="N1" s="10"/>
      <c r="O1" s="10"/>
      <c r="P1" s="10"/>
      <c r="Q1" s="10"/>
      <c r="R1" s="10"/>
      <c r="S1" s="10"/>
      <c r="T1" s="10"/>
    </row>
    <row r="2" spans="1:20">
      <c r="A2" s="10"/>
      <c r="B2" s="10"/>
      <c r="C2" s="300"/>
      <c r="D2" s="10"/>
      <c r="E2" s="10"/>
      <c r="F2" s="10"/>
      <c r="G2" s="10"/>
      <c r="H2" s="10"/>
      <c r="I2" s="10"/>
      <c r="J2" s="10"/>
      <c r="K2" s="10"/>
      <c r="L2" s="10"/>
      <c r="M2" s="10"/>
      <c r="N2" s="10"/>
      <c r="O2" s="10"/>
      <c r="P2" s="10"/>
      <c r="Q2" s="10"/>
      <c r="R2" s="10"/>
      <c r="S2" s="10"/>
      <c r="T2" s="10"/>
    </row>
    <row r="3" spans="1:20">
      <c r="A3" s="499" t="s">
        <v>243</v>
      </c>
      <c r="B3" s="499"/>
      <c r="C3" s="498"/>
      <c r="D3" s="498"/>
      <c r="E3" s="498"/>
      <c r="F3" s="498"/>
      <c r="G3" s="498"/>
      <c r="H3" s="498"/>
      <c r="I3" s="498"/>
      <c r="J3" s="498"/>
      <c r="K3" s="498"/>
      <c r="L3" s="498"/>
      <c r="M3" s="498"/>
      <c r="N3" s="10"/>
      <c r="O3" s="10"/>
      <c r="P3" s="10"/>
      <c r="Q3" s="10"/>
      <c r="R3" s="10"/>
      <c r="S3" s="10"/>
      <c r="T3" s="10"/>
    </row>
    <row r="4" spans="1:20">
      <c r="A4" s="500">
        <v>1</v>
      </c>
      <c r="B4" s="500"/>
      <c r="C4" s="395"/>
      <c r="D4" s="395"/>
      <c r="E4" s="395"/>
      <c r="F4" s="395"/>
      <c r="G4" s="498"/>
      <c r="H4" s="498"/>
      <c r="I4" s="498"/>
      <c r="J4" s="498"/>
      <c r="K4" s="498"/>
      <c r="L4" s="498"/>
      <c r="M4" s="498"/>
      <c r="N4" s="10"/>
      <c r="O4" s="10"/>
      <c r="P4" s="10"/>
      <c r="Q4" s="10"/>
      <c r="R4" s="10"/>
      <c r="S4" s="10"/>
      <c r="T4" s="10"/>
    </row>
    <row r="5" spans="1:20">
      <c r="A5" s="386">
        <v>2</v>
      </c>
      <c r="B5" s="386"/>
      <c r="C5" s="395"/>
      <c r="D5" s="395"/>
      <c r="E5" s="395"/>
      <c r="F5" s="395"/>
      <c r="G5" s="498"/>
      <c r="H5" s="498"/>
      <c r="I5" s="498"/>
      <c r="J5" s="498"/>
      <c r="K5" s="498"/>
      <c r="L5" s="498"/>
      <c r="M5" s="498"/>
      <c r="N5" s="10"/>
      <c r="O5" s="10"/>
      <c r="P5" s="768"/>
      <c r="Q5" s="768"/>
      <c r="R5" s="768"/>
      <c r="S5" s="768"/>
      <c r="T5" s="768"/>
    </row>
    <row r="6" spans="1:20">
      <c r="A6" s="386">
        <v>3</v>
      </c>
      <c r="B6" s="386"/>
      <c r="C6" s="387"/>
      <c r="D6" s="387"/>
      <c r="E6" s="387"/>
      <c r="F6" s="387"/>
      <c r="G6" s="384"/>
      <c r="H6" s="384"/>
      <c r="I6" s="384"/>
      <c r="J6" s="384"/>
      <c r="K6" s="386" t="s">
        <v>1024</v>
      </c>
      <c r="L6" s="384"/>
      <c r="M6" s="384"/>
      <c r="N6" s="768"/>
      <c r="O6" s="768"/>
      <c r="P6" s="768"/>
      <c r="Q6" s="768"/>
      <c r="R6" s="768"/>
      <c r="S6" s="768"/>
      <c r="T6" s="768"/>
    </row>
    <row r="7" spans="1:20">
      <c r="A7" s="386">
        <v>4</v>
      </c>
      <c r="B7" s="386"/>
      <c r="C7" s="384"/>
      <c r="D7" s="384"/>
      <c r="E7" s="501" t="s">
        <v>251</v>
      </c>
      <c r="F7" s="502"/>
      <c r="G7" s="384"/>
      <c r="H7" s="384"/>
      <c r="I7" s="384"/>
      <c r="J7" s="384"/>
      <c r="K7" s="503" t="s">
        <v>79</v>
      </c>
      <c r="L7" s="384"/>
      <c r="M7" s="389"/>
      <c r="N7" s="768"/>
      <c r="O7" s="768"/>
      <c r="P7" s="768"/>
      <c r="Q7" s="768"/>
      <c r="R7" s="768"/>
      <c r="S7" s="768"/>
      <c r="T7" s="768"/>
    </row>
    <row r="8" spans="1:20">
      <c r="A8" s="386">
        <v>5</v>
      </c>
      <c r="B8" s="386"/>
      <c r="C8" s="387"/>
      <c r="D8" s="387"/>
      <c r="E8" s="387"/>
      <c r="F8" s="387"/>
      <c r="G8" s="384"/>
      <c r="H8" s="384"/>
      <c r="I8" s="384"/>
      <c r="J8" s="384"/>
      <c r="K8" s="390"/>
      <c r="L8" s="384"/>
      <c r="M8" s="387"/>
      <c r="N8" s="768"/>
      <c r="O8" s="768"/>
      <c r="P8" s="768"/>
      <c r="Q8" s="768"/>
      <c r="R8" s="768"/>
      <c r="S8" s="768"/>
      <c r="T8" s="768"/>
    </row>
    <row r="9" spans="1:20">
      <c r="A9" s="386">
        <v>6</v>
      </c>
      <c r="B9" s="386"/>
      <c r="C9" s="497" t="s">
        <v>2866</v>
      </c>
      <c r="D9" s="395"/>
      <c r="E9" s="395" t="s">
        <v>2867</v>
      </c>
      <c r="F9" s="395"/>
      <c r="G9" s="498"/>
      <c r="H9" s="498"/>
      <c r="I9" s="498"/>
      <c r="J9" s="498"/>
      <c r="K9" s="390">
        <f>I20</f>
        <v>-167851097.18066588</v>
      </c>
      <c r="L9" s="384"/>
      <c r="M9" s="387"/>
      <c r="N9" s="504"/>
      <c r="O9" s="768"/>
      <c r="P9" s="768"/>
      <c r="Q9" s="768"/>
      <c r="R9" s="768"/>
      <c r="S9" s="768"/>
      <c r="T9" s="768"/>
    </row>
    <row r="10" spans="1:20" ht="13.5" thickBot="1">
      <c r="A10" s="386">
        <v>7</v>
      </c>
      <c r="B10" s="386"/>
      <c r="C10" s="497" t="s">
        <v>2868</v>
      </c>
      <c r="D10" s="499"/>
      <c r="E10" s="395" t="s">
        <v>2869</v>
      </c>
      <c r="F10" s="395"/>
      <c r="G10" s="498"/>
      <c r="H10" s="498"/>
      <c r="I10" s="498"/>
      <c r="J10" s="498"/>
      <c r="K10" s="505">
        <f>+K20</f>
        <v>-89185606.76246196</v>
      </c>
      <c r="L10" s="384"/>
      <c r="M10" s="387"/>
      <c r="N10" s="768"/>
      <c r="O10" s="768"/>
      <c r="P10" s="768"/>
      <c r="Q10" s="768"/>
      <c r="R10" s="768"/>
      <c r="S10" s="768"/>
      <c r="T10" s="768"/>
    </row>
    <row r="11" spans="1:20" ht="13.5" thickTop="1">
      <c r="A11" s="386">
        <v>8</v>
      </c>
      <c r="B11" s="386"/>
      <c r="C11" s="395"/>
      <c r="D11" s="395"/>
      <c r="E11" s="395"/>
      <c r="F11" s="395"/>
      <c r="G11" s="498"/>
      <c r="H11" s="498"/>
      <c r="I11" s="498"/>
      <c r="J11" s="498"/>
      <c r="K11" s="390"/>
      <c r="L11" s="384"/>
      <c r="M11" s="384"/>
      <c r="N11" s="768"/>
      <c r="O11" s="768"/>
      <c r="P11" s="768"/>
      <c r="Q11" s="768"/>
      <c r="R11" s="768"/>
      <c r="S11" s="768"/>
      <c r="T11" s="768"/>
    </row>
    <row r="12" spans="1:20">
      <c r="A12" s="386">
        <v>9</v>
      </c>
      <c r="B12" s="386"/>
      <c r="C12" s="498"/>
      <c r="D12" s="498"/>
      <c r="E12" s="498"/>
      <c r="F12" s="498"/>
      <c r="G12" s="506" t="s">
        <v>307</v>
      </c>
      <c r="H12" s="506"/>
      <c r="I12" s="506" t="s">
        <v>308</v>
      </c>
      <c r="J12" s="506"/>
      <c r="K12" s="506" t="s">
        <v>309</v>
      </c>
      <c r="L12" s="384"/>
      <c r="M12" s="384"/>
      <c r="N12" s="768"/>
      <c r="O12" s="768"/>
      <c r="P12" s="768"/>
      <c r="Q12" s="768"/>
      <c r="R12" s="768"/>
      <c r="S12" s="768"/>
      <c r="T12" s="768"/>
    </row>
    <row r="13" spans="1:20">
      <c r="A13" s="386">
        <v>10</v>
      </c>
      <c r="B13" s="386"/>
      <c r="C13" s="498"/>
      <c r="D13" s="498"/>
      <c r="E13" s="498"/>
      <c r="F13" s="498"/>
      <c r="G13" s="500" t="s">
        <v>1024</v>
      </c>
      <c r="H13" s="500"/>
      <c r="I13" s="500" t="s">
        <v>1024</v>
      </c>
      <c r="J13" s="502"/>
      <c r="K13" s="500" t="s">
        <v>1024</v>
      </c>
      <c r="L13" s="384"/>
      <c r="M13" s="384"/>
      <c r="N13" s="768"/>
      <c r="O13" s="768"/>
      <c r="P13" s="768"/>
      <c r="Q13" s="768"/>
      <c r="R13" s="768"/>
      <c r="S13" s="768"/>
      <c r="T13" s="768"/>
    </row>
    <row r="14" spans="1:20" ht="15">
      <c r="A14" s="386">
        <v>11</v>
      </c>
      <c r="B14" s="386"/>
      <c r="C14" s="500"/>
      <c r="D14" s="500"/>
      <c r="E14" s="500"/>
      <c r="F14" s="500"/>
      <c r="G14" s="500" t="s">
        <v>909</v>
      </c>
      <c r="H14" s="500"/>
      <c r="I14" s="500" t="s">
        <v>1190</v>
      </c>
      <c r="J14" s="502"/>
      <c r="K14" s="507" t="s">
        <v>911</v>
      </c>
      <c r="L14" s="384"/>
      <c r="M14" s="384"/>
      <c r="N14" s="768"/>
      <c r="O14" s="768"/>
      <c r="P14" s="768"/>
      <c r="Q14" s="768"/>
      <c r="R14" s="768"/>
      <c r="S14" s="768"/>
      <c r="T14" s="768"/>
    </row>
    <row r="15" spans="1:20">
      <c r="A15" s="386">
        <v>12</v>
      </c>
      <c r="B15" s="386"/>
      <c r="C15" s="386" t="s">
        <v>2313</v>
      </c>
      <c r="D15" s="386"/>
      <c r="E15" s="500"/>
      <c r="F15" s="386"/>
      <c r="G15" s="386" t="s">
        <v>2870</v>
      </c>
      <c r="H15" s="502"/>
      <c r="I15" s="386" t="s">
        <v>2870</v>
      </c>
      <c r="J15" s="502"/>
      <c r="K15" s="386" t="s">
        <v>2870</v>
      </c>
      <c r="L15" s="384"/>
      <c r="M15" s="384"/>
      <c r="N15" s="768"/>
      <c r="O15" s="768"/>
      <c r="P15" s="768"/>
      <c r="Q15" s="768"/>
      <c r="R15" s="768"/>
      <c r="S15" s="768"/>
      <c r="T15" s="768"/>
    </row>
    <row r="16" spans="1:20">
      <c r="A16" s="386">
        <v>13</v>
      </c>
      <c r="B16" s="386"/>
      <c r="C16" s="388" t="s">
        <v>74</v>
      </c>
      <c r="D16" s="388"/>
      <c r="E16" s="717"/>
      <c r="F16" s="388"/>
      <c r="G16" s="503" t="s">
        <v>2871</v>
      </c>
      <c r="H16" s="502"/>
      <c r="I16" s="503" t="s">
        <v>2871</v>
      </c>
      <c r="J16" s="502"/>
      <c r="K16" s="503" t="s">
        <v>2871</v>
      </c>
      <c r="L16" s="384"/>
      <c r="M16" s="384"/>
      <c r="N16" s="768"/>
      <c r="O16" s="768"/>
      <c r="P16" s="768"/>
      <c r="Q16" s="768"/>
      <c r="R16" s="768"/>
      <c r="S16" s="768"/>
      <c r="T16" s="768"/>
    </row>
    <row r="17" spans="1:14">
      <c r="A17" s="386">
        <v>14</v>
      </c>
      <c r="B17" s="386"/>
      <c r="C17" s="395" t="s">
        <v>2872</v>
      </c>
      <c r="D17" s="395"/>
      <c r="E17" s="300" t="s">
        <v>2873</v>
      </c>
      <c r="F17" s="298"/>
      <c r="G17" s="390">
        <f>+G27</f>
        <v>-6331156.953220184</v>
      </c>
      <c r="H17" s="508"/>
      <c r="I17" s="390">
        <f>+I27</f>
        <v>-163638042.0328986</v>
      </c>
      <c r="J17" s="508"/>
      <c r="K17" s="390">
        <f>(+G17+I17)/2</f>
        <v>-84984599.493059397</v>
      </c>
      <c r="L17" s="384"/>
      <c r="M17" s="384"/>
      <c r="N17" s="384"/>
    </row>
    <row r="18" spans="1:14">
      <c r="A18" s="386">
        <v>15</v>
      </c>
      <c r="B18" s="386"/>
      <c r="C18" s="395" t="s">
        <v>2874</v>
      </c>
      <c r="D18" s="395"/>
      <c r="E18" s="395" t="s">
        <v>2875</v>
      </c>
      <c r="F18" s="395"/>
      <c r="G18" s="390">
        <f>+G32</f>
        <v>-3633885.6042830651</v>
      </c>
      <c r="H18" s="508"/>
      <c r="I18" s="390">
        <f>+I32</f>
        <v>-3663043.0931488229</v>
      </c>
      <c r="J18" s="508"/>
      <c r="K18" s="390">
        <f>(+G18+I18)/2</f>
        <v>-3648464.3487159442</v>
      </c>
      <c r="L18" s="384"/>
      <c r="M18" s="384"/>
      <c r="N18" s="384"/>
    </row>
    <row r="19" spans="1:14">
      <c r="A19" s="386">
        <v>16</v>
      </c>
      <c r="B19" s="386"/>
      <c r="C19" s="395" t="s">
        <v>2876</v>
      </c>
      <c r="D19" s="395"/>
      <c r="E19" s="395" t="s">
        <v>2877</v>
      </c>
      <c r="F19" s="395"/>
      <c r="G19" s="509">
        <f>+G39</f>
        <v>-555073.78675477044</v>
      </c>
      <c r="H19" s="510"/>
      <c r="I19" s="509">
        <f>+I39</f>
        <v>-550012.05461845524</v>
      </c>
      <c r="J19" s="510"/>
      <c r="K19" s="390">
        <f>(+G19+I19)/2</f>
        <v>-552542.92068661284</v>
      </c>
      <c r="L19" s="384"/>
      <c r="M19" s="384"/>
      <c r="N19" s="768"/>
    </row>
    <row r="20" spans="1:14" ht="13.5" thickBot="1">
      <c r="A20" s="386">
        <v>17</v>
      </c>
      <c r="B20" s="386"/>
      <c r="C20" s="387" t="s">
        <v>406</v>
      </c>
      <c r="D20" s="387"/>
      <c r="E20" s="395" t="s">
        <v>2878</v>
      </c>
      <c r="F20" s="387"/>
      <c r="G20" s="511">
        <f>+G17+G18+G19</f>
        <v>-10520116.34425802</v>
      </c>
      <c r="H20" s="508"/>
      <c r="I20" s="511">
        <f>+I17+I18+I19</f>
        <v>-167851097.18066588</v>
      </c>
      <c r="J20" s="508"/>
      <c r="K20" s="511">
        <f>+K17+K18+K19</f>
        <v>-89185606.76246196</v>
      </c>
      <c r="L20" s="384"/>
      <c r="M20" s="387"/>
      <c r="N20" s="298" t="s">
        <v>128</v>
      </c>
    </row>
    <row r="21" spans="1:14" ht="13.5" thickTop="1">
      <c r="A21" s="386">
        <v>18</v>
      </c>
      <c r="B21" s="386"/>
      <c r="C21" s="384"/>
      <c r="D21" s="384"/>
      <c r="E21" s="498"/>
      <c r="F21" s="384"/>
      <c r="G21" s="384"/>
      <c r="H21" s="512"/>
      <c r="I21" s="384"/>
      <c r="J21" s="512"/>
      <c r="K21" s="384"/>
      <c r="L21" s="384"/>
      <c r="M21" s="384"/>
      <c r="N21" s="768"/>
    </row>
    <row r="22" spans="1:14">
      <c r="A22" s="386">
        <v>19</v>
      </c>
      <c r="B22" s="386"/>
      <c r="C22" s="385" t="s">
        <v>2879</v>
      </c>
      <c r="D22" s="385"/>
      <c r="E22" s="499"/>
      <c r="F22" s="385"/>
      <c r="G22" s="384"/>
      <c r="H22" s="512"/>
      <c r="I22" s="384"/>
      <c r="J22" s="512"/>
      <c r="K22" s="384"/>
      <c r="L22" s="384"/>
      <c r="M22" s="384"/>
      <c r="N22" s="768"/>
    </row>
    <row r="23" spans="1:14">
      <c r="A23" s="386">
        <v>20</v>
      </c>
      <c r="B23" s="386"/>
      <c r="C23" s="768"/>
      <c r="D23" s="768"/>
      <c r="E23" s="10"/>
      <c r="F23" s="768"/>
      <c r="G23" s="768"/>
      <c r="H23" s="345"/>
      <c r="I23" s="768"/>
      <c r="J23" s="345"/>
      <c r="K23" s="299" t="s">
        <v>911</v>
      </c>
      <c r="L23" s="768"/>
      <c r="M23" s="768"/>
      <c r="N23" s="768"/>
    </row>
    <row r="24" spans="1:14">
      <c r="A24" s="386">
        <v>21</v>
      </c>
      <c r="B24" s="386"/>
      <c r="C24" s="385" t="s">
        <v>1682</v>
      </c>
      <c r="D24" s="385"/>
      <c r="E24" s="499"/>
      <c r="F24" s="385"/>
      <c r="G24" s="226" t="s">
        <v>909</v>
      </c>
      <c r="H24" s="513"/>
      <c r="I24" s="226" t="s">
        <v>1190</v>
      </c>
      <c r="J24" s="513"/>
      <c r="K24" s="514" t="s">
        <v>2880</v>
      </c>
      <c r="L24" s="768"/>
      <c r="M24" s="317" t="s">
        <v>128</v>
      </c>
      <c r="N24" s="768"/>
    </row>
    <row r="25" spans="1:14">
      <c r="A25" s="386">
        <v>22</v>
      </c>
      <c r="B25" s="386"/>
      <c r="C25" s="298" t="s">
        <v>2881</v>
      </c>
      <c r="D25" s="768"/>
      <c r="E25" s="395" t="s">
        <v>2882</v>
      </c>
      <c r="F25" s="395"/>
      <c r="G25" s="515">
        <v>-107247069.08</v>
      </c>
      <c r="H25" s="516"/>
      <c r="I25" s="515">
        <v>-2771957878.7399998</v>
      </c>
      <c r="J25" s="517"/>
      <c r="K25" s="768"/>
      <c r="L25" s="768"/>
      <c r="M25" s="504"/>
      <c r="N25" s="419"/>
    </row>
    <row r="26" spans="1:14">
      <c r="A26" s="500">
        <v>23</v>
      </c>
      <c r="B26" s="386"/>
      <c r="C26" s="768" t="s">
        <v>2503</v>
      </c>
      <c r="D26" s="768"/>
      <c r="E26" s="518" t="s">
        <v>2883</v>
      </c>
      <c r="F26" s="518"/>
      <c r="G26" s="519">
        <f>'27-Allocators'!G14</f>
        <v>5.9033379723389116E-2</v>
      </c>
      <c r="H26" s="520"/>
      <c r="I26" s="519">
        <f>'27-Allocators'!G14</f>
        <v>5.9033379723389116E-2</v>
      </c>
      <c r="J26" s="520"/>
      <c r="K26" s="768"/>
      <c r="L26" s="768"/>
      <c r="M26" s="504"/>
      <c r="N26" s="768"/>
    </row>
    <row r="27" spans="1:14" ht="13.5" thickBot="1">
      <c r="A27" s="500">
        <v>24</v>
      </c>
      <c r="B27" s="386"/>
      <c r="C27" s="768" t="s">
        <v>2884</v>
      </c>
      <c r="D27" s="768"/>
      <c r="E27" s="399" t="s">
        <v>2885</v>
      </c>
      <c r="F27" s="29"/>
      <c r="G27" s="521">
        <f>+G25*G26</f>
        <v>-6331156.953220184</v>
      </c>
      <c r="H27" s="522"/>
      <c r="I27" s="521">
        <f>+I25*I26</f>
        <v>-163638042.0328986</v>
      </c>
      <c r="J27" s="522"/>
      <c r="K27" s="523">
        <f>(G27+I27)/2</f>
        <v>-84984599.493059397</v>
      </c>
      <c r="L27" s="768"/>
      <c r="M27" s="504"/>
      <c r="N27" s="768"/>
    </row>
    <row r="28" spans="1:14" ht="13.5" thickTop="1">
      <c r="A28" s="500">
        <v>25</v>
      </c>
      <c r="B28" s="386"/>
      <c r="C28" s="768"/>
      <c r="D28" s="768"/>
      <c r="E28" s="10"/>
      <c r="F28" s="768"/>
      <c r="G28" s="768"/>
      <c r="H28" s="345"/>
      <c r="I28" s="768"/>
      <c r="J28" s="345"/>
      <c r="K28" s="768"/>
      <c r="L28" s="768"/>
      <c r="M28" s="504"/>
      <c r="N28" s="768"/>
    </row>
    <row r="29" spans="1:14">
      <c r="A29" s="500">
        <v>26</v>
      </c>
      <c r="B29" s="386"/>
      <c r="C29" s="28" t="s">
        <v>2886</v>
      </c>
      <c r="D29" s="28"/>
      <c r="E29" s="663"/>
      <c r="F29" s="28"/>
      <c r="G29" s="768"/>
      <c r="H29" s="345"/>
      <c r="I29" s="768"/>
      <c r="J29" s="345"/>
      <c r="K29" s="768"/>
      <c r="L29" s="768"/>
      <c r="M29" s="524" t="s">
        <v>128</v>
      </c>
      <c r="N29" s="768"/>
    </row>
    <row r="30" spans="1:14">
      <c r="A30" s="500">
        <v>27</v>
      </c>
      <c r="B30" s="386"/>
      <c r="C30" s="298" t="s">
        <v>2887</v>
      </c>
      <c r="D30" s="298"/>
      <c r="E30" s="395" t="s">
        <v>2882</v>
      </c>
      <c r="F30" s="395"/>
      <c r="G30" s="515">
        <v>-61556455.369999997</v>
      </c>
      <c r="H30" s="516"/>
      <c r="I30" s="515">
        <v>-62050370.659999996</v>
      </c>
      <c r="J30" s="517"/>
      <c r="K30" s="768"/>
      <c r="L30" s="768"/>
      <c r="M30" s="504"/>
      <c r="N30" s="768"/>
    </row>
    <row r="31" spans="1:14">
      <c r="A31" s="500">
        <v>28</v>
      </c>
      <c r="B31" s="386"/>
      <c r="C31" s="768" t="s">
        <v>2503</v>
      </c>
      <c r="D31" s="768"/>
      <c r="E31" s="518" t="s">
        <v>2883</v>
      </c>
      <c r="F31" s="518"/>
      <c r="G31" s="519">
        <f>'27-Allocators'!G14</f>
        <v>5.9033379723389116E-2</v>
      </c>
      <c r="H31" s="520"/>
      <c r="I31" s="519">
        <f>'27-Allocators'!G14</f>
        <v>5.9033379723389116E-2</v>
      </c>
      <c r="J31" s="520"/>
      <c r="K31" s="768"/>
      <c r="L31" s="768"/>
      <c r="M31" s="504"/>
      <c r="N31" s="768"/>
    </row>
    <row r="32" spans="1:14" ht="13.5" thickBot="1">
      <c r="A32" s="500">
        <v>29</v>
      </c>
      <c r="B32" s="386"/>
      <c r="C32" s="768" t="s">
        <v>2884</v>
      </c>
      <c r="D32" s="768"/>
      <c r="E32" s="399" t="s">
        <v>2888</v>
      </c>
      <c r="F32" s="29"/>
      <c r="G32" s="521">
        <f>+G30*G31</f>
        <v>-3633885.6042830651</v>
      </c>
      <c r="H32" s="522"/>
      <c r="I32" s="521">
        <f>+I30*I31</f>
        <v>-3663043.0931488229</v>
      </c>
      <c r="J32" s="522"/>
      <c r="K32" s="523">
        <f>(G32+I32)/2</f>
        <v>-3648464.3487159442</v>
      </c>
      <c r="L32" s="768"/>
      <c r="M32" s="504"/>
      <c r="N32" s="768"/>
    </row>
    <row r="33" spans="1:11" ht="13.5" thickTop="1">
      <c r="A33" s="500">
        <f t="shared" ref="A33:A39" si="0">1+A32</f>
        <v>30</v>
      </c>
      <c r="B33" s="768"/>
      <c r="C33" s="768"/>
      <c r="D33" s="768"/>
      <c r="E33" s="10"/>
      <c r="F33" s="768"/>
      <c r="G33" s="768"/>
      <c r="H33" s="345"/>
      <c r="I33" s="768"/>
      <c r="J33" s="345"/>
      <c r="K33" s="768"/>
    </row>
    <row r="34" spans="1:11">
      <c r="A34" s="500">
        <f t="shared" si="0"/>
        <v>31</v>
      </c>
      <c r="B34" s="768"/>
      <c r="C34" s="28" t="s">
        <v>2889</v>
      </c>
      <c r="D34" s="768"/>
      <c r="E34" s="10"/>
      <c r="F34" s="768"/>
      <c r="G34" s="768"/>
      <c r="H34" s="345"/>
      <c r="I34" s="768"/>
      <c r="J34" s="345"/>
      <c r="K34" s="768"/>
    </row>
    <row r="35" spans="1:11">
      <c r="A35" s="500">
        <f t="shared" si="0"/>
        <v>32</v>
      </c>
      <c r="B35" s="768"/>
      <c r="C35" s="298" t="s">
        <v>2889</v>
      </c>
      <c r="D35" s="768"/>
      <c r="E35" s="395" t="s">
        <v>2882</v>
      </c>
      <c r="F35" s="395"/>
      <c r="G35" s="787">
        <v>-18805421.25</v>
      </c>
      <c r="H35" s="516"/>
      <c r="I35" s="787">
        <v>-18633934.130000003</v>
      </c>
      <c r="J35" s="517"/>
      <c r="K35" s="768"/>
    </row>
    <row r="36" spans="1:11">
      <c r="A36" s="500">
        <f t="shared" si="0"/>
        <v>33</v>
      </c>
      <c r="B36" s="768"/>
      <c r="C36" s="298" t="s">
        <v>2890</v>
      </c>
      <c r="D36" s="768"/>
      <c r="E36" s="1069" t="s">
        <v>2891</v>
      </c>
      <c r="F36" s="768"/>
      <c r="G36" s="526">
        <v>0.5</v>
      </c>
      <c r="H36" s="345"/>
      <c r="I36" s="526">
        <v>0.5</v>
      </c>
      <c r="J36" s="345"/>
      <c r="K36" s="768"/>
    </row>
    <row r="37" spans="1:11">
      <c r="A37" s="500">
        <f t="shared" si="0"/>
        <v>34</v>
      </c>
      <c r="B37" s="768"/>
      <c r="C37" s="298" t="s">
        <v>2892</v>
      </c>
      <c r="D37" s="768"/>
      <c r="E37" s="300" t="s">
        <v>2893</v>
      </c>
      <c r="F37" s="768"/>
      <c r="G37" s="5">
        <f>+G35*G36</f>
        <v>-9402710.625</v>
      </c>
      <c r="H37" s="527"/>
      <c r="I37" s="5">
        <f>+I35*I36</f>
        <v>-9316967.0650000013</v>
      </c>
      <c r="J37" s="345"/>
      <c r="K37" s="768"/>
    </row>
    <row r="38" spans="1:11">
      <c r="A38" s="500">
        <f t="shared" si="0"/>
        <v>35</v>
      </c>
      <c r="B38" s="768"/>
      <c r="C38" s="768" t="s">
        <v>2503</v>
      </c>
      <c r="D38" s="768"/>
      <c r="E38" s="518" t="s">
        <v>2883</v>
      </c>
      <c r="F38" s="518"/>
      <c r="G38" s="519">
        <f>'27-Allocators'!G14</f>
        <v>5.9033379723389116E-2</v>
      </c>
      <c r="H38" s="520"/>
      <c r="I38" s="519">
        <f>'27-Allocators'!G14</f>
        <v>5.9033379723389116E-2</v>
      </c>
      <c r="J38" s="520"/>
      <c r="K38" s="768"/>
    </row>
    <row r="39" spans="1:11" ht="13.5" thickBot="1">
      <c r="A39" s="500">
        <f t="shared" si="0"/>
        <v>36</v>
      </c>
      <c r="B39" s="768"/>
      <c r="C39" s="768" t="s">
        <v>2884</v>
      </c>
      <c r="D39" s="768"/>
      <c r="E39" s="399" t="s">
        <v>2894</v>
      </c>
      <c r="F39" s="29"/>
      <c r="G39" s="521">
        <f>+G37*G38</f>
        <v>-555073.78675477044</v>
      </c>
      <c r="H39" s="522"/>
      <c r="I39" s="521">
        <f>+I37*I38</f>
        <v>-550012.05461845524</v>
      </c>
      <c r="J39" s="522"/>
      <c r="K39" s="523">
        <f>(G39+I39)/2</f>
        <v>-552542.92068661284</v>
      </c>
    </row>
    <row r="40" spans="1:11" ht="13.5" thickTop="1">
      <c r="A40" s="768"/>
      <c r="B40" s="768"/>
      <c r="C40" s="768"/>
      <c r="D40" s="768"/>
      <c r="E40" s="768"/>
      <c r="F40" s="768"/>
      <c r="G40" s="768"/>
      <c r="H40" s="345"/>
      <c r="I40" s="768"/>
      <c r="J40" s="345"/>
      <c r="K40" s="768"/>
    </row>
    <row r="41" spans="1:11">
      <c r="A41" s="768"/>
      <c r="B41" s="768"/>
      <c r="C41" s="28" t="s">
        <v>226</v>
      </c>
      <c r="D41" s="768"/>
      <c r="E41" s="768"/>
      <c r="F41" s="768"/>
      <c r="G41" s="768"/>
      <c r="H41" s="35"/>
      <c r="I41" s="768"/>
      <c r="J41" s="35"/>
      <c r="K41" s="768"/>
    </row>
    <row r="42" spans="1:11">
      <c r="A42" s="768"/>
      <c r="B42" s="768"/>
      <c r="C42" s="298" t="s">
        <v>2895</v>
      </c>
      <c r="D42" s="1003"/>
      <c r="E42" s="768"/>
      <c r="F42" s="768"/>
      <c r="G42" s="768"/>
      <c r="H42" s="35"/>
      <c r="I42" s="768"/>
      <c r="J42" s="35"/>
      <c r="K42" s="768"/>
    </row>
    <row r="43" spans="1:11">
      <c r="A43" s="768"/>
      <c r="B43" s="768"/>
      <c r="C43" s="302" t="s">
        <v>2896</v>
      </c>
      <c r="D43" s="768"/>
      <c r="E43" s="768"/>
      <c r="F43" s="768"/>
      <c r="G43" s="768"/>
      <c r="H43" s="35"/>
      <c r="I43" s="768"/>
      <c r="J43" s="35"/>
      <c r="K43" s="768"/>
    </row>
    <row r="44" spans="1:11">
      <c r="A44" s="768"/>
      <c r="B44" s="768"/>
      <c r="C44" s="768"/>
      <c r="D44" s="768"/>
      <c r="E44" s="768"/>
      <c r="F44" s="768"/>
      <c r="G44" s="768"/>
      <c r="H44" s="35"/>
      <c r="I44" s="768"/>
      <c r="J44" s="35"/>
      <c r="K44" s="768"/>
    </row>
    <row r="45" spans="1:11">
      <c r="A45" s="768"/>
      <c r="B45" s="768"/>
      <c r="C45" s="768"/>
      <c r="D45" s="768"/>
      <c r="E45" s="768"/>
      <c r="F45" s="768"/>
      <c r="G45" s="768"/>
      <c r="H45" s="35"/>
      <c r="I45" s="768"/>
      <c r="J45" s="35"/>
      <c r="K45" s="768"/>
    </row>
    <row r="46" spans="1:11">
      <c r="A46" s="768"/>
      <c r="B46" s="768"/>
      <c r="C46" s="768"/>
      <c r="D46" s="768"/>
      <c r="E46" s="768"/>
      <c r="F46" s="768"/>
      <c r="G46" s="768"/>
      <c r="H46" s="35"/>
      <c r="I46" s="768"/>
      <c r="J46" s="35"/>
      <c r="K46" s="768"/>
    </row>
    <row r="47" spans="1:11">
      <c r="A47" s="768"/>
      <c r="B47" s="768"/>
      <c r="C47" s="768"/>
      <c r="D47" s="768"/>
      <c r="E47" s="768"/>
      <c r="F47" s="768"/>
      <c r="G47" s="768"/>
      <c r="H47" s="35"/>
      <c r="I47" s="768"/>
      <c r="J47" s="35"/>
      <c r="K47" s="768"/>
    </row>
    <row r="48" spans="1:11">
      <c r="A48" s="768"/>
      <c r="B48" s="768"/>
      <c r="C48" s="768"/>
      <c r="D48" s="768"/>
      <c r="E48" s="768"/>
      <c r="F48" s="768"/>
      <c r="G48" s="768"/>
      <c r="H48" s="35"/>
      <c r="I48" s="768"/>
      <c r="J48" s="35"/>
      <c r="K48" s="768"/>
    </row>
    <row r="49" spans="8:10">
      <c r="H49" s="35"/>
      <c r="I49" s="768"/>
      <c r="J49" s="35"/>
    </row>
    <row r="50" spans="8:10">
      <c r="H50" s="35"/>
      <c r="I50" s="768"/>
      <c r="J50" s="35"/>
    </row>
    <row r="51" spans="8:10">
      <c r="H51" s="35"/>
      <c r="I51" s="768"/>
      <c r="J51" s="35"/>
    </row>
    <row r="52" spans="8:10">
      <c r="H52" s="35"/>
      <c r="I52" s="768"/>
      <c r="J52" s="35"/>
    </row>
    <row r="53" spans="8:10">
      <c r="H53" s="35"/>
      <c r="I53" s="768"/>
      <c r="J53" s="35"/>
    </row>
    <row r="54" spans="8:10">
      <c r="H54" s="35"/>
      <c r="I54" s="768"/>
      <c r="J54" s="35"/>
    </row>
    <row r="55" spans="8:10">
      <c r="H55" s="35"/>
      <c r="I55" s="768"/>
      <c r="J55" s="768"/>
    </row>
    <row r="56" spans="8:10">
      <c r="H56" s="35"/>
      <c r="I56" s="768"/>
      <c r="J56" s="768"/>
    </row>
  </sheetData>
  <pageMargins left="0.7" right="0.7" top="0.75" bottom="0.75" header="0.3" footer="0.3"/>
  <pageSetup scale="85" orientation="landscape" cellComments="asDisplayed" r:id="rId1"/>
  <headerFooter>
    <oddHeader>&amp;CSchedule 34
Unfunded Reserves
&amp;RTO2020 Draft Annual Update 
Attachment1</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238</v>
      </c>
      <c r="B1" s="768"/>
      <c r="C1" s="768"/>
      <c r="D1" s="768"/>
      <c r="E1" s="768"/>
      <c r="F1" s="768"/>
    </row>
    <row r="2" spans="1:6">
      <c r="A2" s="1"/>
      <c r="B2" s="768"/>
      <c r="C2" s="768"/>
      <c r="D2" s="768"/>
      <c r="E2" s="768"/>
      <c r="F2" s="768"/>
    </row>
    <row r="3" spans="1:6">
      <c r="A3" s="768"/>
      <c r="B3" s="298" t="s">
        <v>239</v>
      </c>
      <c r="C3" s="768"/>
      <c r="D3" s="768"/>
      <c r="E3" s="768"/>
      <c r="F3" s="768"/>
    </row>
    <row r="4" spans="1:6">
      <c r="A4" s="1"/>
      <c r="B4" s="302" t="s">
        <v>240</v>
      </c>
      <c r="C4" s="768"/>
      <c r="D4" s="768"/>
      <c r="E4" s="768"/>
      <c r="F4" s="768"/>
    </row>
    <row r="5" spans="1:6">
      <c r="A5" s="1"/>
      <c r="B5" s="302" t="s">
        <v>241</v>
      </c>
      <c r="C5" s="768"/>
      <c r="D5" s="768"/>
      <c r="E5" s="768"/>
      <c r="F5" s="768"/>
    </row>
    <row r="7" spans="1:6">
      <c r="A7" s="768"/>
      <c r="B7" s="1" t="s">
        <v>242</v>
      </c>
      <c r="C7" s="768"/>
      <c r="D7" s="768"/>
      <c r="E7" s="768"/>
      <c r="F7" s="768"/>
    </row>
    <row r="8" spans="1:6">
      <c r="A8" s="768"/>
      <c r="B8" s="768"/>
      <c r="C8" s="768"/>
      <c r="D8" s="768"/>
      <c r="E8" s="11"/>
      <c r="F8" s="768"/>
    </row>
    <row r="9" spans="1:6">
      <c r="A9" s="28" t="s">
        <v>243</v>
      </c>
      <c r="B9" s="41" t="s">
        <v>244</v>
      </c>
      <c r="C9" s="768"/>
      <c r="D9" s="768"/>
      <c r="E9" s="768"/>
      <c r="F9" s="768"/>
    </row>
    <row r="10" spans="1:6">
      <c r="A10" s="379">
        <v>1</v>
      </c>
      <c r="B10" s="768"/>
      <c r="C10" s="768"/>
      <c r="D10" s="768"/>
      <c r="E10" s="768"/>
      <c r="F10" s="768"/>
    </row>
    <row r="11" spans="1:6">
      <c r="A11" s="379">
        <f>A10+1</f>
        <v>2</v>
      </c>
      <c r="B11" s="672" t="s">
        <v>245</v>
      </c>
      <c r="C11" s="10"/>
      <c r="D11" s="10"/>
      <c r="E11" s="10"/>
      <c r="F11" s="10"/>
    </row>
    <row r="12" spans="1:6">
      <c r="A12" s="379">
        <f t="shared" ref="A12:A87" si="0">A11+1</f>
        <v>3</v>
      </c>
      <c r="B12" s="672" t="s">
        <v>246</v>
      </c>
      <c r="C12" s="10"/>
      <c r="D12" s="10"/>
      <c r="E12" s="10"/>
      <c r="F12" s="10"/>
    </row>
    <row r="13" spans="1:6">
      <c r="A13" s="379">
        <f t="shared" si="0"/>
        <v>4</v>
      </c>
      <c r="B13" s="672"/>
      <c r="C13" s="10"/>
      <c r="D13" s="10"/>
      <c r="E13" s="10"/>
      <c r="F13" s="10"/>
    </row>
    <row r="14" spans="1:6">
      <c r="A14" s="379">
        <f t="shared" si="0"/>
        <v>5</v>
      </c>
      <c r="B14" s="672" t="s">
        <v>247</v>
      </c>
      <c r="C14" s="10"/>
      <c r="D14" s="10"/>
      <c r="E14" s="10"/>
      <c r="F14" s="10"/>
    </row>
    <row r="15" spans="1:6">
      <c r="A15" s="379">
        <f t="shared" si="0"/>
        <v>6</v>
      </c>
      <c r="B15" s="212"/>
      <c r="C15" s="10"/>
      <c r="D15" s="10"/>
      <c r="E15" s="10"/>
      <c r="F15" s="10"/>
    </row>
    <row r="16" spans="1:6">
      <c r="A16" s="379">
        <f t="shared" si="0"/>
        <v>7</v>
      </c>
      <c r="B16" s="672" t="s">
        <v>248</v>
      </c>
      <c r="C16" s="10"/>
      <c r="D16" s="10"/>
      <c r="E16" s="10"/>
      <c r="F16" s="211"/>
    </row>
    <row r="17" spans="1:7">
      <c r="A17" s="379">
        <f t="shared" si="0"/>
        <v>8</v>
      </c>
      <c r="B17" s="674" t="s">
        <v>249</v>
      </c>
      <c r="C17" s="10"/>
      <c r="D17" s="10"/>
      <c r="E17" s="10"/>
      <c r="F17" s="39"/>
      <c r="G17" s="768"/>
    </row>
    <row r="18" spans="1:7">
      <c r="A18" s="379">
        <f t="shared" si="0"/>
        <v>9</v>
      </c>
      <c r="B18" s="674" t="s">
        <v>250</v>
      </c>
      <c r="C18" s="10"/>
      <c r="D18" s="10"/>
      <c r="E18" s="10"/>
      <c r="F18" s="39"/>
      <c r="G18" s="768"/>
    </row>
    <row r="19" spans="1:7">
      <c r="A19" s="379">
        <f t="shared" si="0"/>
        <v>10</v>
      </c>
      <c r="B19" s="674" t="s">
        <v>196</v>
      </c>
      <c r="C19" s="10"/>
      <c r="D19" s="10"/>
      <c r="E19" s="669"/>
      <c r="F19" s="37"/>
      <c r="G19" s="768"/>
    </row>
    <row r="20" spans="1:7">
      <c r="A20" s="379">
        <f t="shared" si="0"/>
        <v>11</v>
      </c>
      <c r="B20" s="25"/>
      <c r="C20" s="10"/>
      <c r="D20" s="669"/>
      <c r="E20" s="74" t="s">
        <v>251</v>
      </c>
      <c r="F20" s="10"/>
      <c r="G20" s="768"/>
    </row>
    <row r="21" spans="1:7">
      <c r="A21" s="379">
        <f t="shared" si="0"/>
        <v>12</v>
      </c>
      <c r="B21" s="768"/>
      <c r="C21" s="669" t="s">
        <v>252</v>
      </c>
      <c r="D21" s="1176">
        <f>'1-BaseTRR'!K88</f>
        <v>2.0797698678994836E-2</v>
      </c>
      <c r="E21" s="297" t="str">
        <f>"1-BaseTRR, Line "&amp;'1-BaseTRR'!A88&amp;""</f>
        <v>1-BaseTRR, Line 51</v>
      </c>
      <c r="F21" s="10"/>
      <c r="G21" s="768"/>
    </row>
    <row r="22" spans="1:7">
      <c r="A22" s="379">
        <f t="shared" si="0"/>
        <v>13</v>
      </c>
      <c r="B22" s="768"/>
      <c r="C22" s="669" t="s">
        <v>253</v>
      </c>
      <c r="D22" s="1176">
        <f>'1-BaseTRR'!K93</f>
        <v>8.8256906886912095E-2</v>
      </c>
      <c r="E22" s="297" t="str">
        <f>"1-BaseTRR, Line "&amp;'1-BaseTRR'!A93&amp;""</f>
        <v>1-BaseTRR, Line 55</v>
      </c>
      <c r="F22" s="10"/>
      <c r="G22" s="768"/>
    </row>
    <row r="23" spans="1:7">
      <c r="A23" s="379">
        <f t="shared" si="0"/>
        <v>14</v>
      </c>
      <c r="B23" s="768"/>
      <c r="C23" s="669" t="s">
        <v>254</v>
      </c>
      <c r="D23" s="1176">
        <f>'1-BaseTRR'!K102</f>
        <v>0.27983599999999997</v>
      </c>
      <c r="E23" s="297" t="str">
        <f>"1-BaseTRR, Line "&amp;'1-BaseTRR'!A102&amp;""</f>
        <v>1-BaseTRR, Line 59</v>
      </c>
      <c r="F23" s="10"/>
      <c r="G23" s="768"/>
    </row>
    <row r="24" spans="1:7">
      <c r="A24" s="379">
        <f t="shared" si="0"/>
        <v>15</v>
      </c>
      <c r="B24" s="300"/>
      <c r="C24" s="10"/>
      <c r="D24" s="1176"/>
      <c r="E24" s="297"/>
      <c r="F24" s="10"/>
      <c r="G24" s="768"/>
    </row>
    <row r="25" spans="1:7">
      <c r="A25" s="379">
        <f t="shared" si="0"/>
        <v>16</v>
      </c>
      <c r="B25" s="768"/>
      <c r="C25" s="669" t="s">
        <v>255</v>
      </c>
      <c r="D25" s="1176">
        <f>D21 + (D22*(1/(1-D23)))</f>
        <v>0.14334882159948531</v>
      </c>
      <c r="E25" s="297" t="str">
        <f>"Line "&amp;A21&amp;" + (Line "&amp;A22&amp;" * (1/(1 - Line "&amp;A23&amp;")))"</f>
        <v>Line 12 + (Line 13 * (1/(1 - Line 14)))</v>
      </c>
      <c r="F25" s="10"/>
      <c r="G25" s="10"/>
    </row>
    <row r="26" spans="1:7">
      <c r="A26" s="379">
        <f t="shared" si="0"/>
        <v>17</v>
      </c>
      <c r="B26" s="300"/>
      <c r="C26" s="10"/>
      <c r="D26" s="669"/>
      <c r="E26" s="297"/>
      <c r="F26" s="10"/>
      <c r="G26" s="768"/>
    </row>
    <row r="27" spans="1:7">
      <c r="A27" s="379">
        <f t="shared" si="0"/>
        <v>18</v>
      </c>
      <c r="B27" s="41" t="s">
        <v>256</v>
      </c>
      <c r="C27" s="10"/>
      <c r="D27" s="669"/>
      <c r="E27" s="297"/>
      <c r="F27" s="10"/>
      <c r="G27" s="768"/>
    </row>
    <row r="28" spans="1:7">
      <c r="A28" s="379">
        <f t="shared" si="0"/>
        <v>19</v>
      </c>
      <c r="B28" s="300"/>
      <c r="C28" s="10"/>
      <c r="D28" s="669"/>
      <c r="E28" s="297"/>
      <c r="F28" s="10"/>
      <c r="G28" s="768"/>
    </row>
    <row r="29" spans="1:7">
      <c r="A29" s="379">
        <f t="shared" si="0"/>
        <v>20</v>
      </c>
      <c r="B29" s="672" t="s">
        <v>257</v>
      </c>
      <c r="C29" s="10"/>
      <c r="D29" s="669"/>
      <c r="E29" s="297"/>
      <c r="F29" s="10"/>
      <c r="G29" s="768"/>
    </row>
    <row r="30" spans="1:7">
      <c r="A30" s="379">
        <f t="shared" si="0"/>
        <v>21</v>
      </c>
      <c r="B30" s="672" t="s">
        <v>258</v>
      </c>
      <c r="C30" s="10"/>
      <c r="D30" s="669"/>
      <c r="E30" s="297"/>
      <c r="F30" s="10"/>
      <c r="G30" s="768"/>
    </row>
    <row r="31" spans="1:7">
      <c r="A31" s="379">
        <f t="shared" si="0"/>
        <v>22</v>
      </c>
      <c r="B31" s="768"/>
      <c r="C31" s="10"/>
      <c r="D31" s="669"/>
      <c r="E31" s="297"/>
      <c r="F31" s="10"/>
      <c r="G31" s="768"/>
    </row>
    <row r="32" spans="1:7">
      <c r="A32" s="379">
        <f t="shared" si="0"/>
        <v>23</v>
      </c>
      <c r="B32" s="674" t="s">
        <v>259</v>
      </c>
      <c r="C32" s="10"/>
      <c r="D32" s="669"/>
      <c r="E32" s="297"/>
      <c r="F32" s="10"/>
      <c r="G32" s="768"/>
    </row>
    <row r="33" spans="1:11">
      <c r="A33" s="379">
        <f t="shared" si="0"/>
        <v>24</v>
      </c>
      <c r="B33" s="768"/>
      <c r="C33" s="768"/>
      <c r="D33" s="768"/>
      <c r="E33" s="768"/>
      <c r="F33" s="10"/>
      <c r="G33" s="768"/>
      <c r="H33" s="768"/>
      <c r="I33" s="768"/>
      <c r="J33" s="768"/>
      <c r="K33" s="768"/>
    </row>
    <row r="34" spans="1:11">
      <c r="A34" s="379">
        <f t="shared" si="0"/>
        <v>25</v>
      </c>
      <c r="B34" s="41" t="s">
        <v>260</v>
      </c>
      <c r="C34" s="768"/>
      <c r="D34" s="768"/>
      <c r="E34" s="768"/>
      <c r="F34" s="10"/>
      <c r="G34" s="768"/>
      <c r="H34" s="768"/>
      <c r="I34" s="768"/>
      <c r="J34" s="768"/>
      <c r="K34" s="768"/>
    </row>
    <row r="35" spans="1:11">
      <c r="A35" s="379">
        <f t="shared" si="0"/>
        <v>26</v>
      </c>
      <c r="B35" s="298"/>
      <c r="C35" s="768"/>
      <c r="D35" s="768"/>
      <c r="E35" s="2" t="s">
        <v>251</v>
      </c>
      <c r="F35" s="10"/>
      <c r="G35" s="768"/>
      <c r="H35" s="768"/>
      <c r="I35" s="768"/>
      <c r="J35" s="768"/>
      <c r="K35" s="768"/>
    </row>
    <row r="36" spans="1:11">
      <c r="A36" s="379">
        <f t="shared" si="0"/>
        <v>27</v>
      </c>
      <c r="B36" s="768"/>
      <c r="C36" s="296" t="s">
        <v>261</v>
      </c>
      <c r="D36" s="305">
        <f>'6-PlantInService'!M23</f>
        <v>8787478997.5088406</v>
      </c>
      <c r="E36" s="297" t="str">
        <f>"6-PlantInService, Line "&amp;'6-PlantInService'!A23&amp;""</f>
        <v>6-PlantInService, Line 13</v>
      </c>
      <c r="F36" s="10"/>
      <c r="G36" s="10"/>
      <c r="H36" s="768"/>
      <c r="I36" s="768"/>
      <c r="J36" s="768"/>
      <c r="K36" s="768"/>
    </row>
    <row r="37" spans="1:11">
      <c r="A37" s="379">
        <f t="shared" si="0"/>
        <v>28</v>
      </c>
      <c r="B37" s="768"/>
      <c r="C37" s="296" t="s">
        <v>262</v>
      </c>
      <c r="D37" s="305">
        <f>'6-PlantInService'!F35</f>
        <v>0</v>
      </c>
      <c r="E37" s="297" t="str">
        <f>"6-PlantInService, Line "&amp;'6-PlantInService'!A35&amp;""</f>
        <v>6-PlantInService, Line 16</v>
      </c>
      <c r="F37" s="10"/>
      <c r="G37" s="10"/>
      <c r="H37" s="768"/>
      <c r="I37" s="768"/>
      <c r="J37" s="768"/>
      <c r="K37" s="768"/>
    </row>
    <row r="38" spans="1:11">
      <c r="A38" s="379">
        <f t="shared" si="0"/>
        <v>29</v>
      </c>
      <c r="B38" s="768"/>
      <c r="C38" s="296" t="s">
        <v>263</v>
      </c>
      <c r="D38" s="305">
        <f>'8-AccDep'!N24</f>
        <v>1754739489.7144194</v>
      </c>
      <c r="E38" s="297" t="str">
        <f>"8-AccDep, Line "&amp;'8-AccDep'!A24&amp;""</f>
        <v>8-AccDep, Line 13</v>
      </c>
      <c r="F38" s="10"/>
      <c r="G38" s="10"/>
      <c r="H38" s="768"/>
      <c r="I38" s="768"/>
      <c r="J38" s="768"/>
      <c r="K38" s="768"/>
    </row>
    <row r="39" spans="1:11">
      <c r="A39" s="379">
        <f t="shared" si="0"/>
        <v>30</v>
      </c>
      <c r="B39" s="768"/>
      <c r="C39" s="296" t="s">
        <v>264</v>
      </c>
      <c r="D39" s="55">
        <f>'8-AccDep'!G34</f>
        <v>0</v>
      </c>
      <c r="E39" s="297" t="str">
        <f>"8-AccDep, Line "&amp;'8-AccDep'!A34&amp;""</f>
        <v>8-AccDep, Line 16</v>
      </c>
      <c r="F39" s="10"/>
      <c r="G39" s="10"/>
      <c r="H39" s="768"/>
      <c r="I39" s="768"/>
      <c r="J39" s="768"/>
      <c r="K39" s="768"/>
    </row>
    <row r="40" spans="1:11">
      <c r="A40" s="379">
        <f t="shared" si="0"/>
        <v>31</v>
      </c>
      <c r="B40" s="768"/>
      <c r="C40" s="296" t="s">
        <v>265</v>
      </c>
      <c r="D40" s="5">
        <f>(D36+D37)-(D38+D39)</f>
        <v>7032739507.7944212</v>
      </c>
      <c r="E40" s="297" t="str">
        <f>"(L"&amp;A36&amp;" + L"&amp;A37&amp;") - (L"&amp;A38&amp;" + L"&amp;A39&amp;")"</f>
        <v>(L27 + L28) - (L29 + L30)</v>
      </c>
      <c r="F40" s="10"/>
      <c r="G40" s="10"/>
      <c r="H40" s="768"/>
      <c r="I40" s="768"/>
      <c r="J40" s="768"/>
      <c r="K40" s="768"/>
    </row>
    <row r="41" spans="1:11">
      <c r="A41" s="379">
        <f t="shared" si="0"/>
        <v>32</v>
      </c>
      <c r="B41" s="768"/>
      <c r="C41" s="296"/>
      <c r="D41" s="5"/>
      <c r="E41" s="297"/>
      <c r="F41" s="10"/>
      <c r="G41" s="10"/>
      <c r="H41" s="768"/>
      <c r="I41" s="768"/>
      <c r="J41" s="768"/>
      <c r="K41" s="768"/>
    </row>
    <row r="42" spans="1:11">
      <c r="A42" s="379">
        <f t="shared" si="0"/>
        <v>33</v>
      </c>
      <c r="B42" s="41" t="s">
        <v>266</v>
      </c>
      <c r="C42" s="768"/>
      <c r="D42" s="768"/>
      <c r="E42" s="10"/>
      <c r="F42" s="10"/>
      <c r="G42" s="10"/>
      <c r="H42" s="768"/>
      <c r="I42" s="768"/>
      <c r="J42" s="768"/>
      <c r="K42" s="768"/>
    </row>
    <row r="43" spans="1:11">
      <c r="A43" s="379">
        <f t="shared" si="0"/>
        <v>34</v>
      </c>
      <c r="B43" s="41"/>
      <c r="C43" s="768"/>
      <c r="D43" s="768"/>
      <c r="E43" s="10"/>
      <c r="F43" s="10"/>
      <c r="G43" s="10"/>
      <c r="H43" s="768"/>
      <c r="I43" s="768"/>
      <c r="J43" s="768"/>
      <c r="K43" s="768"/>
    </row>
    <row r="44" spans="1:11">
      <c r="A44" s="379">
        <f t="shared" si="0"/>
        <v>35</v>
      </c>
      <c r="B44" s="41" t="s">
        <v>267</v>
      </c>
      <c r="C44" s="768"/>
      <c r="D44" s="768"/>
      <c r="E44" s="10"/>
      <c r="F44" s="10"/>
      <c r="G44" s="10"/>
      <c r="H44" s="768"/>
      <c r="I44" s="768"/>
      <c r="J44" s="768"/>
      <c r="K44" s="768"/>
    </row>
    <row r="45" spans="1:11">
      <c r="A45" s="379">
        <f t="shared" si="0"/>
        <v>36</v>
      </c>
      <c r="B45" s="32" t="s">
        <v>268</v>
      </c>
      <c r="C45" s="768"/>
      <c r="D45" s="768"/>
      <c r="E45" s="10"/>
      <c r="F45" s="10"/>
      <c r="G45" s="10"/>
      <c r="H45" s="768"/>
      <c r="I45" s="768"/>
      <c r="J45" s="768"/>
      <c r="K45" s="768"/>
    </row>
    <row r="46" spans="1:11">
      <c r="A46" s="379">
        <f t="shared" si="0"/>
        <v>37</v>
      </c>
      <c r="B46" s="41"/>
      <c r="C46" s="296" t="s">
        <v>269</v>
      </c>
      <c r="D46" s="305">
        <f>'10-CWIP'!D25</f>
        <v>442100547.47999996</v>
      </c>
      <c r="E46" s="297" t="str">
        <f>"10-CWIP, L "&amp;'10-CWIP'!A25&amp;" C1"</f>
        <v>10-CWIP, L 13 C1</v>
      </c>
      <c r="F46" s="10"/>
      <c r="G46" s="10"/>
      <c r="H46" s="768"/>
      <c r="I46" s="768"/>
      <c r="J46" s="768"/>
      <c r="K46" s="5"/>
    </row>
    <row r="47" spans="1:11">
      <c r="A47" s="379">
        <f t="shared" si="0"/>
        <v>38</v>
      </c>
      <c r="B47" s="41"/>
      <c r="C47" s="296" t="s">
        <v>270</v>
      </c>
      <c r="D47" s="930">
        <f>D25</f>
        <v>0.14334882159948531</v>
      </c>
      <c r="E47" s="297" t="str">
        <f>"Line "&amp;A25&amp;""</f>
        <v>Line 16</v>
      </c>
      <c r="F47" s="10"/>
      <c r="G47" s="10"/>
      <c r="H47" s="768"/>
      <c r="I47" s="768"/>
      <c r="J47" s="768"/>
      <c r="K47" s="5"/>
    </row>
    <row r="48" spans="1:11">
      <c r="A48" s="379">
        <f t="shared" si="0"/>
        <v>39</v>
      </c>
      <c r="B48" s="41"/>
      <c r="C48" s="296" t="s">
        <v>271</v>
      </c>
      <c r="D48" s="305">
        <f>D46*D47</f>
        <v>63374592.5097453</v>
      </c>
      <c r="E48" s="297" t="str">
        <f>"Line "&amp;A46&amp;" * Line "&amp;A47&amp;""</f>
        <v>Line 37 * Line 38</v>
      </c>
      <c r="F48" s="10"/>
      <c r="G48" s="10"/>
      <c r="H48" s="768"/>
      <c r="I48" s="768"/>
      <c r="J48" s="768"/>
      <c r="K48" s="5"/>
    </row>
    <row r="49" spans="1:11">
      <c r="A49" s="379">
        <f t="shared" si="0"/>
        <v>40</v>
      </c>
      <c r="B49" s="41"/>
      <c r="C49" s="296"/>
      <c r="D49" s="305"/>
      <c r="E49" s="297"/>
      <c r="F49" s="10"/>
      <c r="G49" s="10"/>
      <c r="H49" s="768"/>
      <c r="I49" s="768"/>
      <c r="J49" s="768"/>
      <c r="K49" s="5"/>
    </row>
    <row r="50" spans="1:11">
      <c r="A50" s="379">
        <f t="shared" si="0"/>
        <v>41</v>
      </c>
      <c r="B50" s="32" t="s">
        <v>272</v>
      </c>
      <c r="C50" s="768"/>
      <c r="D50" s="768"/>
      <c r="E50" s="10"/>
      <c r="F50" s="10"/>
      <c r="G50" s="10"/>
      <c r="H50" s="768"/>
      <c r="I50" s="768"/>
      <c r="J50" s="768"/>
      <c r="K50" s="5"/>
    </row>
    <row r="51" spans="1:11">
      <c r="A51" s="379">
        <f t="shared" si="0"/>
        <v>42</v>
      </c>
      <c r="B51" s="41"/>
      <c r="C51" s="296" t="s">
        <v>273</v>
      </c>
      <c r="D51" s="305">
        <f>'15-IncentiveAdder'!G17</f>
        <v>6591.2325013469817</v>
      </c>
      <c r="E51" s="67" t="str">
        <f>"15-IncentiveAdder, Line "&amp;'15-IncentiveAdder'!A17&amp;""</f>
        <v>15-IncentiveAdder, Line 3</v>
      </c>
      <c r="F51" s="10"/>
      <c r="G51" s="10"/>
      <c r="H51" s="768"/>
      <c r="I51" s="768"/>
      <c r="J51" s="768"/>
      <c r="K51" s="5"/>
    </row>
    <row r="52" spans="1:11">
      <c r="A52" s="379">
        <f t="shared" si="0"/>
        <v>43</v>
      </c>
      <c r="B52" s="41"/>
      <c r="C52" s="296"/>
      <c r="D52" s="768"/>
      <c r="E52" s="10"/>
      <c r="F52" s="10"/>
      <c r="G52" s="10"/>
      <c r="H52" s="768"/>
      <c r="I52" s="768"/>
      <c r="J52" s="768"/>
      <c r="K52" s="5"/>
    </row>
    <row r="53" spans="1:11">
      <c r="A53" s="379">
        <f t="shared" si="0"/>
        <v>44</v>
      </c>
      <c r="B53" s="41"/>
      <c r="C53" s="296" t="s">
        <v>274</v>
      </c>
      <c r="D53" s="5">
        <f>'10-CWIP'!E25</f>
        <v>156282.26999999999</v>
      </c>
      <c r="E53" s="297" t="str">
        <f>"10-CWIP, Line "&amp;'10-CWIP'!A25&amp;""</f>
        <v>10-CWIP, Line 13</v>
      </c>
      <c r="F53" s="300"/>
      <c r="G53" s="10"/>
      <c r="H53" s="768"/>
      <c r="I53" s="768"/>
      <c r="J53" s="768"/>
      <c r="K53" s="5"/>
    </row>
    <row r="54" spans="1:11">
      <c r="A54" s="379">
        <f t="shared" si="0"/>
        <v>45</v>
      </c>
      <c r="B54" s="41"/>
      <c r="C54" s="296" t="s">
        <v>275</v>
      </c>
      <c r="D54" s="23">
        <f>'15-IncentiveAdder'!E26</f>
        <v>1.2500000000000001E-2</v>
      </c>
      <c r="E54" s="67" t="str">
        <f>"15-IncentiveAdder, Line "&amp;'15-IncentiveAdder'!A26&amp;""</f>
        <v>15-IncentiveAdder, Line 5</v>
      </c>
      <c r="F54" s="300"/>
      <c r="G54" s="10"/>
      <c r="H54" s="768"/>
      <c r="I54" s="768"/>
      <c r="J54" s="768"/>
      <c r="K54" s="5"/>
    </row>
    <row r="55" spans="1:11">
      <c r="A55" s="379">
        <f t="shared" si="0"/>
        <v>46</v>
      </c>
      <c r="B55" s="41"/>
      <c r="C55" s="296" t="s">
        <v>276</v>
      </c>
      <c r="D55" s="5">
        <f>(D53/1000000)*($D$51*(D54/0.01))</f>
        <v>1287.6159717603555</v>
      </c>
      <c r="E55" s="297" t="str">
        <f>"Formula on Line "&amp;A61&amp;""</f>
        <v>Formula on Line 52</v>
      </c>
      <c r="F55" s="10"/>
      <c r="G55" s="10"/>
      <c r="H55" s="768"/>
      <c r="I55" s="768"/>
      <c r="J55" s="768"/>
      <c r="K55" s="5"/>
    </row>
    <row r="56" spans="1:11">
      <c r="A56" s="379">
        <f t="shared" si="0"/>
        <v>47</v>
      </c>
      <c r="B56" s="41"/>
      <c r="C56" s="296"/>
      <c r="D56" s="768"/>
      <c r="E56" s="37"/>
      <c r="F56" s="10"/>
      <c r="G56" s="10"/>
      <c r="H56" s="768"/>
      <c r="I56" s="768"/>
      <c r="J56" s="768"/>
      <c r="K56" s="5"/>
    </row>
    <row r="57" spans="1:11">
      <c r="A57" s="379">
        <f t="shared" si="0"/>
        <v>48</v>
      </c>
      <c r="B57" s="768"/>
      <c r="C57" s="296" t="s">
        <v>277</v>
      </c>
      <c r="D57" s="5">
        <f>'10-CWIP'!F25</f>
        <v>0</v>
      </c>
      <c r="E57" s="297" t="str">
        <f>"10-CWIP, Line "&amp;'10-CWIP'!A25&amp;""</f>
        <v>10-CWIP, Line 13</v>
      </c>
      <c r="F57" s="10"/>
      <c r="G57" s="10"/>
      <c r="H57" s="768"/>
      <c r="I57" s="768"/>
      <c r="J57" s="768"/>
      <c r="K57" s="5"/>
    </row>
    <row r="58" spans="1:11">
      <c r="A58" s="379">
        <f t="shared" si="0"/>
        <v>49</v>
      </c>
      <c r="B58" s="768"/>
      <c r="C58" s="296" t="s">
        <v>278</v>
      </c>
      <c r="D58" s="23">
        <f>'15-IncentiveAdder'!E27</f>
        <v>0.01</v>
      </c>
      <c r="E58" s="67" t="str">
        <f>"15-IncentiveAdder, Line "&amp;'15-IncentiveAdder'!A27&amp;""</f>
        <v>15-IncentiveAdder, Line 6</v>
      </c>
      <c r="F58" s="10"/>
      <c r="G58" s="10"/>
      <c r="H58" s="768"/>
      <c r="I58" s="768"/>
      <c r="J58" s="768"/>
      <c r="K58" s="5"/>
    </row>
    <row r="59" spans="1:11">
      <c r="A59" s="379">
        <f t="shared" si="0"/>
        <v>50</v>
      </c>
      <c r="B59" s="768"/>
      <c r="C59" s="296" t="s">
        <v>279</v>
      </c>
      <c r="D59" s="5">
        <f>(D57/1000000)*($D$51*(D58/0.01))</f>
        <v>0</v>
      </c>
      <c r="E59" s="297" t="str">
        <f>"Formula on Line "&amp;A61&amp;""</f>
        <v>Formula on Line 52</v>
      </c>
      <c r="F59" s="10"/>
      <c r="G59" s="10"/>
      <c r="H59" s="768"/>
      <c r="I59" s="768"/>
      <c r="J59" s="768"/>
      <c r="K59" s="5"/>
    </row>
    <row r="60" spans="1:11">
      <c r="A60" s="379">
        <f t="shared" si="0"/>
        <v>51</v>
      </c>
      <c r="B60" s="768"/>
      <c r="C60" s="296"/>
      <c r="D60" s="5"/>
      <c r="E60" s="297"/>
      <c r="F60" s="10"/>
      <c r="G60" s="10"/>
      <c r="H60" s="768"/>
      <c r="I60" s="768"/>
      <c r="J60" s="768"/>
      <c r="K60" s="5"/>
    </row>
    <row r="61" spans="1:11">
      <c r="A61" s="379">
        <f t="shared" si="0"/>
        <v>52</v>
      </c>
      <c r="B61" s="768"/>
      <c r="C61" s="362" t="s">
        <v>280</v>
      </c>
      <c r="D61" s="5"/>
      <c r="E61" s="297"/>
      <c r="F61" s="10"/>
      <c r="G61" s="10"/>
      <c r="H61" s="768"/>
      <c r="I61" s="768"/>
      <c r="J61" s="768"/>
      <c r="K61" s="5"/>
    </row>
    <row r="62" spans="1:11">
      <c r="A62" s="379">
        <f t="shared" si="0"/>
        <v>53</v>
      </c>
      <c r="B62" s="768"/>
      <c r="C62" s="768"/>
      <c r="D62" s="768"/>
      <c r="E62" s="10"/>
      <c r="F62" s="10"/>
      <c r="G62" s="10"/>
      <c r="H62" s="768"/>
      <c r="I62" s="768"/>
      <c r="J62" s="768"/>
      <c r="K62" s="5"/>
    </row>
    <row r="63" spans="1:11">
      <c r="A63" s="379">
        <f t="shared" si="0"/>
        <v>54</v>
      </c>
      <c r="B63" s="768"/>
      <c r="C63" s="296" t="s">
        <v>281</v>
      </c>
      <c r="D63" s="305">
        <f>D48+D55+D59</f>
        <v>63375880.125717059</v>
      </c>
      <c r="E63" s="297" t="str">
        <f>"Line "&amp;A48&amp;" + Line "&amp;A55&amp;" + Line "&amp;A59&amp;""</f>
        <v>Line 39 + Line 46 + Line 50</v>
      </c>
      <c r="F63" s="10"/>
      <c r="G63" s="10"/>
      <c r="H63" s="768"/>
      <c r="I63" s="768"/>
      <c r="J63" s="768"/>
      <c r="K63" s="5"/>
    </row>
    <row r="64" spans="1:11">
      <c r="A64" s="379">
        <f t="shared" si="0"/>
        <v>55</v>
      </c>
      <c r="B64" s="768"/>
      <c r="C64" s="296" t="s">
        <v>282</v>
      </c>
      <c r="D64" s="55">
        <f>('28-FFU'!D22+'28-FFU'!E22)*D63</f>
        <v>721090.76407040877</v>
      </c>
      <c r="E64" s="297" t="str">
        <f>"(28-FFU, L"&amp;'28-FFU'!A22&amp;" FF Factor + U Factor) * L"&amp;A63&amp;""</f>
        <v>(28-FFU, L5 FF Factor + U Factor) * L54</v>
      </c>
      <c r="F64" s="10"/>
      <c r="G64" s="10"/>
      <c r="H64" s="768"/>
      <c r="I64" s="768"/>
      <c r="J64" s="768"/>
      <c r="K64" s="5"/>
    </row>
    <row r="65" spans="1:11">
      <c r="A65" s="379">
        <f t="shared" si="0"/>
        <v>56</v>
      </c>
      <c r="B65" s="768"/>
      <c r="C65" s="296" t="s">
        <v>283</v>
      </c>
      <c r="D65" s="305">
        <f>SUM(D63:D64)</f>
        <v>64096970.889787465</v>
      </c>
      <c r="E65" s="297" t="str">
        <f>"Line "&amp;A63&amp;" + Line "&amp;A64&amp;""</f>
        <v>Line 54 + Line 55</v>
      </c>
      <c r="F65" s="10"/>
      <c r="G65" s="768"/>
      <c r="H65" s="768"/>
      <c r="I65" s="768"/>
      <c r="J65" s="768"/>
      <c r="K65" s="5"/>
    </row>
    <row r="66" spans="1:11">
      <c r="A66" s="379">
        <f t="shared" si="0"/>
        <v>57</v>
      </c>
      <c r="B66" s="768"/>
      <c r="C66" s="296"/>
      <c r="D66" s="305"/>
      <c r="E66" s="297"/>
      <c r="F66" s="10"/>
      <c r="G66" s="768"/>
      <c r="H66" s="768"/>
      <c r="I66" s="768"/>
      <c r="J66" s="768"/>
      <c r="K66" s="5"/>
    </row>
    <row r="67" spans="1:11">
      <c r="A67" s="379">
        <f t="shared" si="0"/>
        <v>58</v>
      </c>
      <c r="B67" s="41" t="s">
        <v>284</v>
      </c>
      <c r="C67" s="296"/>
      <c r="D67" s="305"/>
      <c r="E67" s="297"/>
      <c r="F67" s="10"/>
      <c r="G67" s="768"/>
      <c r="H67" s="768"/>
      <c r="I67" s="768"/>
      <c r="J67" s="768"/>
      <c r="K67" s="5"/>
    </row>
    <row r="68" spans="1:11">
      <c r="A68" s="379">
        <f t="shared" si="0"/>
        <v>59</v>
      </c>
      <c r="B68" s="768"/>
      <c r="C68" s="768"/>
      <c r="D68" s="768"/>
      <c r="E68" s="768"/>
      <c r="F68" s="10"/>
      <c r="G68" s="768"/>
      <c r="H68" s="768"/>
      <c r="I68" s="768"/>
      <c r="J68" s="768"/>
      <c r="K68" s="5"/>
    </row>
    <row r="69" spans="1:11">
      <c r="A69" s="64">
        <f t="shared" si="0"/>
        <v>60</v>
      </c>
      <c r="B69" s="10"/>
      <c r="C69" s="669" t="s">
        <v>281</v>
      </c>
      <c r="D69" s="311">
        <f>D63</f>
        <v>63375880.125717059</v>
      </c>
      <c r="E69" s="297" t="str">
        <f>"Line "&amp;A63&amp;""</f>
        <v>Line 54</v>
      </c>
      <c r="F69" s="10"/>
      <c r="G69" s="768"/>
      <c r="H69" s="768"/>
      <c r="I69" s="768"/>
      <c r="J69" s="768"/>
      <c r="K69" s="5"/>
    </row>
    <row r="70" spans="1:11">
      <c r="A70" s="64">
        <f t="shared" si="0"/>
        <v>61</v>
      </c>
      <c r="B70" s="10"/>
      <c r="C70" s="669" t="s">
        <v>285</v>
      </c>
      <c r="D70" s="311">
        <f>'1-BaseTRR'!K136</f>
        <v>1404647073.5986302</v>
      </c>
      <c r="E70" s="297" t="str">
        <f>"1-BaseTRR, Line "&amp;'1-BaseTRR'!A136&amp;""</f>
        <v>1-BaseTRR, Line 78</v>
      </c>
      <c r="F70" s="10"/>
      <c r="G70" s="768"/>
      <c r="H70" s="768"/>
      <c r="I70" s="768"/>
      <c r="J70" s="768"/>
      <c r="K70" s="5"/>
    </row>
    <row r="71" spans="1:11">
      <c r="A71" s="64">
        <f t="shared" si="0"/>
        <v>62</v>
      </c>
      <c r="B71" s="10"/>
      <c r="C71" s="669" t="s">
        <v>286</v>
      </c>
      <c r="D71" s="311">
        <f>D70-D69</f>
        <v>1341271193.472913</v>
      </c>
      <c r="E71" s="297" t="str">
        <f>"Line "&amp;A70&amp;" - Line "&amp;A69&amp;""</f>
        <v>Line 61 - Line 60</v>
      </c>
      <c r="F71" s="10"/>
      <c r="G71" s="768"/>
      <c r="H71" s="768"/>
      <c r="I71" s="768"/>
      <c r="J71" s="768"/>
      <c r="K71" s="5"/>
    </row>
    <row r="72" spans="1:11">
      <c r="A72" s="64">
        <f t="shared" si="0"/>
        <v>63</v>
      </c>
      <c r="B72" s="10"/>
      <c r="C72" s="670" t="s">
        <v>287</v>
      </c>
      <c r="D72" s="37">
        <f>('1-BaseTRR'!K124+'1-BaseTRR'!K125)*0.75</f>
        <v>213219512.1142447</v>
      </c>
      <c r="E72" s="297" t="str">
        <f>"(1-BaseTRR, Line "&amp;'1-BaseTRR'!A124&amp;" + Line "&amp;'1-BaseTRR'!A125&amp;") * .75"</f>
        <v>(1-BaseTRR, Line 66 + Line 67) * .75</v>
      </c>
      <c r="F72" s="10"/>
      <c r="G72" s="10"/>
      <c r="H72" s="768"/>
      <c r="I72" s="768"/>
      <c r="J72" s="768"/>
      <c r="K72" s="5"/>
    </row>
    <row r="73" spans="1:11">
      <c r="A73" s="64">
        <f t="shared" si="0"/>
        <v>64</v>
      </c>
      <c r="B73" s="10"/>
      <c r="C73" s="669" t="s">
        <v>288</v>
      </c>
      <c r="D73" s="1177">
        <f xml:space="preserve"> (D71-D72)/D40</f>
        <v>0.1604000375825726</v>
      </c>
      <c r="E73" s="297" t="str">
        <f>"(Line "&amp;A71&amp;" - Line "&amp;A72&amp;") / Line "&amp;A40&amp;""</f>
        <v>(Line 62 - Line 63) / Line 31</v>
      </c>
      <c r="F73" s="10"/>
      <c r="G73" s="768"/>
      <c r="H73" s="768"/>
      <c r="I73" s="768"/>
      <c r="J73" s="768"/>
      <c r="K73" s="5"/>
    </row>
    <row r="74" spans="1:11">
      <c r="A74" s="64">
        <f t="shared" si="0"/>
        <v>65</v>
      </c>
      <c r="B74" s="10"/>
      <c r="C74" s="10"/>
      <c r="D74" s="37"/>
      <c r="E74" s="297"/>
      <c r="F74" s="10"/>
      <c r="G74" s="768"/>
      <c r="H74" s="768"/>
      <c r="I74" s="768"/>
      <c r="J74" s="768"/>
      <c r="K74" s="768"/>
    </row>
    <row r="75" spans="1:11">
      <c r="A75" s="64">
        <f t="shared" si="0"/>
        <v>66</v>
      </c>
      <c r="B75" s="25" t="s">
        <v>289</v>
      </c>
      <c r="C75" s="10"/>
      <c r="D75" s="10"/>
      <c r="E75" s="10"/>
      <c r="F75" s="10"/>
      <c r="G75" s="768"/>
      <c r="H75" s="768"/>
      <c r="I75" s="768"/>
      <c r="J75" s="768"/>
      <c r="K75" s="768"/>
    </row>
    <row r="76" spans="1:11">
      <c r="A76" s="64">
        <f t="shared" si="0"/>
        <v>67</v>
      </c>
      <c r="B76" s="10"/>
      <c r="C76" s="10"/>
      <c r="D76" s="10"/>
      <c r="E76" s="10"/>
      <c r="F76" s="10"/>
      <c r="G76" s="768"/>
      <c r="H76" s="768"/>
      <c r="I76" s="768"/>
      <c r="J76" s="768"/>
      <c r="K76" s="768"/>
    </row>
    <row r="77" spans="1:11">
      <c r="A77" s="64">
        <f t="shared" si="0"/>
        <v>68</v>
      </c>
      <c r="B77" s="10"/>
      <c r="C77" s="10"/>
      <c r="D77" s="10"/>
      <c r="E77" s="74" t="s">
        <v>251</v>
      </c>
      <c r="F77" s="10"/>
      <c r="G77" s="768"/>
      <c r="H77" s="768"/>
      <c r="I77" s="1"/>
      <c r="J77" s="768"/>
      <c r="K77" s="768"/>
    </row>
    <row r="78" spans="1:11">
      <c r="A78" s="64">
        <f t="shared" si="0"/>
        <v>69</v>
      </c>
      <c r="B78" s="10"/>
      <c r="C78" s="669" t="s">
        <v>290</v>
      </c>
      <c r="D78" s="37">
        <f>'16-PlantAdditions'!N37</f>
        <v>601634909.98708487</v>
      </c>
      <c r="E78" s="297" t="str">
        <f>"16-PlantAdditions, L "&amp;'16-PlantAdditions'!A37&amp;", C10"</f>
        <v>16-PlantAdditions, L 25, C10</v>
      </c>
      <c r="F78" s="10"/>
      <c r="G78" s="768"/>
      <c r="H78" s="768"/>
      <c r="I78" s="768"/>
      <c r="J78" s="768"/>
      <c r="K78" s="5"/>
    </row>
    <row r="79" spans="1:11">
      <c r="A79" s="64">
        <f t="shared" si="0"/>
        <v>70</v>
      </c>
      <c r="B79" s="10"/>
      <c r="C79" s="669" t="s">
        <v>288</v>
      </c>
      <c r="D79" s="671">
        <f>D73</f>
        <v>0.1604000375825726</v>
      </c>
      <c r="E79" s="297" t="str">
        <f>"Line "&amp;A73&amp;""</f>
        <v>Line 64</v>
      </c>
      <c r="F79" s="10"/>
      <c r="G79" s="768"/>
      <c r="H79" s="768"/>
      <c r="I79" s="768"/>
      <c r="J79" s="768"/>
      <c r="K79" s="495"/>
    </row>
    <row r="80" spans="1:11">
      <c r="A80" s="64">
        <f t="shared" si="0"/>
        <v>71</v>
      </c>
      <c r="B80" s="10"/>
      <c r="C80" s="669" t="s">
        <v>291</v>
      </c>
      <c r="D80" s="37">
        <f>D78*D79</f>
        <v>96502262.172916099</v>
      </c>
      <c r="E80" s="297" t="str">
        <f>"Line "&amp;A78&amp;" * Line "&amp;A79&amp;""</f>
        <v>Line 69 * Line 70</v>
      </c>
      <c r="F80" s="10"/>
      <c r="G80" s="768"/>
      <c r="H80" s="768"/>
      <c r="I80" s="768"/>
      <c r="J80" s="768"/>
      <c r="K80" s="5"/>
    </row>
    <row r="81" spans="1:11">
      <c r="A81" s="64">
        <f t="shared" si="0"/>
        <v>72</v>
      </c>
      <c r="B81" s="10"/>
      <c r="C81" s="10"/>
      <c r="D81" s="10"/>
      <c r="E81" s="10"/>
      <c r="F81" s="10"/>
      <c r="G81" s="768"/>
      <c r="H81" s="768"/>
      <c r="I81" s="768"/>
      <c r="J81" s="768"/>
      <c r="K81" s="5"/>
    </row>
    <row r="82" spans="1:11">
      <c r="A82" s="64">
        <f t="shared" si="0"/>
        <v>73</v>
      </c>
      <c r="B82" s="10"/>
      <c r="C82" s="669" t="s">
        <v>292</v>
      </c>
      <c r="D82" s="37">
        <f>'10-CWIP'!K79</f>
        <v>479223756.72146785</v>
      </c>
      <c r="E82" s="297" t="str">
        <f>"10-CWIP, L "&amp;'10-CWIP'!A79&amp;", C8"</f>
        <v>10-CWIP, L 54, C8</v>
      </c>
      <c r="F82" s="10"/>
      <c r="G82" s="768"/>
      <c r="H82" s="768"/>
      <c r="I82" s="768"/>
      <c r="J82" s="768"/>
      <c r="K82" s="5"/>
    </row>
    <row r="83" spans="1:11">
      <c r="A83" s="64">
        <f t="shared" si="0"/>
        <v>74</v>
      </c>
      <c r="B83" s="10"/>
      <c r="C83" s="669" t="s">
        <v>270</v>
      </c>
      <c r="D83" s="671">
        <f>D25</f>
        <v>0.14334882159948531</v>
      </c>
      <c r="E83" s="297" t="str">
        <f>"Line "&amp;A25&amp;""</f>
        <v>Line 16</v>
      </c>
      <c r="F83" s="10"/>
      <c r="G83" s="768"/>
      <c r="H83" s="768"/>
      <c r="I83" s="768"/>
      <c r="J83" s="768"/>
      <c r="K83" s="495"/>
    </row>
    <row r="84" spans="1:11">
      <c r="A84" s="64">
        <f t="shared" si="0"/>
        <v>75</v>
      </c>
      <c r="B84" s="10"/>
      <c r="C84" s="669" t="s">
        <v>293</v>
      </c>
      <c r="D84" s="37">
        <f>D82*D83</f>
        <v>68696160.808500841</v>
      </c>
      <c r="E84" s="297" t="str">
        <f>"Line "&amp;A82&amp;" * Line "&amp;A83&amp;""</f>
        <v>Line 73 * Line 74</v>
      </c>
      <c r="F84" s="10"/>
      <c r="G84" s="768"/>
      <c r="H84" s="768"/>
      <c r="I84" s="768"/>
      <c r="J84" s="768"/>
      <c r="K84" s="5"/>
    </row>
    <row r="85" spans="1:11">
      <c r="A85" s="64">
        <f t="shared" si="0"/>
        <v>76</v>
      </c>
      <c r="B85" s="10"/>
      <c r="C85" s="10"/>
      <c r="D85" s="10"/>
      <c r="E85" s="10"/>
      <c r="F85" s="10"/>
      <c r="G85" s="768"/>
      <c r="H85" s="768"/>
      <c r="I85" s="768"/>
      <c r="J85" s="768"/>
      <c r="K85" s="5"/>
    </row>
    <row r="86" spans="1:11">
      <c r="A86" s="64">
        <f t="shared" si="0"/>
        <v>77</v>
      </c>
      <c r="B86" s="10"/>
      <c r="C86" s="669" t="s">
        <v>294</v>
      </c>
      <c r="D86" s="37">
        <f>D80+D84</f>
        <v>165198422.98141694</v>
      </c>
      <c r="E86" s="297" t="str">
        <f>"Line "&amp;A80&amp;" + Line "&amp;A84&amp;""</f>
        <v>Line 71 + Line 75</v>
      </c>
      <c r="F86" s="10"/>
      <c r="G86" s="768"/>
      <c r="H86" s="768"/>
      <c r="I86" s="768"/>
      <c r="J86" s="768"/>
      <c r="K86" s="5"/>
    </row>
    <row r="87" spans="1:11">
      <c r="A87" s="64">
        <f t="shared" si="0"/>
        <v>78</v>
      </c>
      <c r="B87" s="10"/>
      <c r="C87" s="10"/>
      <c r="D87" s="10"/>
      <c r="E87" s="10"/>
      <c r="F87" s="10"/>
      <c r="G87" s="768"/>
      <c r="H87" s="768"/>
      <c r="I87" s="768"/>
      <c r="J87" s="768"/>
      <c r="K87" s="5"/>
    </row>
    <row r="88" spans="1:11">
      <c r="A88" s="64">
        <f t="shared" ref="A88:A91" si="1">A87+1</f>
        <v>79</v>
      </c>
      <c r="B88" s="10"/>
      <c r="C88" s="669" t="s">
        <v>295</v>
      </c>
      <c r="D88" s="37">
        <f>'28-FFU'!D22*D86</f>
        <v>1527094.2220402183</v>
      </c>
      <c r="E88" s="67" t="str">
        <f>"Line "&amp;A86&amp;" * FF (from 28-FFU, L "&amp;'28-FFU'!A22&amp;")"</f>
        <v>Line 77 * FF (from 28-FFU, L 5)</v>
      </c>
      <c r="F88" s="10"/>
      <c r="G88" s="768"/>
      <c r="H88" s="768"/>
      <c r="I88" s="768"/>
      <c r="J88" s="768"/>
      <c r="K88" s="5"/>
    </row>
    <row r="89" spans="1:11">
      <c r="A89" s="64">
        <f t="shared" si="1"/>
        <v>80</v>
      </c>
      <c r="B89" s="10"/>
      <c r="C89" s="48" t="s">
        <v>296</v>
      </c>
      <c r="D89" s="37">
        <f>'28-FFU'!E22*D86</f>
        <v>352533.43464234378</v>
      </c>
      <c r="E89" s="67" t="str">
        <f>"Line "&amp;A86&amp;" * U (from 28-FFU, L "&amp;'28-FFU'!A22&amp;")"</f>
        <v>Line 77 * U (from 28-FFU, L 5)</v>
      </c>
      <c r="F89" s="10"/>
      <c r="G89" s="768"/>
      <c r="H89" s="768"/>
      <c r="I89" s="768"/>
      <c r="J89" s="768"/>
      <c r="K89" s="5"/>
    </row>
    <row r="90" spans="1:11">
      <c r="A90" s="64">
        <f t="shared" si="1"/>
        <v>81</v>
      </c>
      <c r="B90" s="10"/>
      <c r="C90" s="10"/>
      <c r="D90" s="37"/>
      <c r="E90" s="10"/>
      <c r="F90" s="10"/>
      <c r="G90" s="768"/>
      <c r="H90" s="768"/>
      <c r="I90" s="768"/>
      <c r="J90" s="768"/>
      <c r="K90" s="5"/>
    </row>
    <row r="91" spans="1:11">
      <c r="A91" s="64">
        <f t="shared" si="1"/>
        <v>82</v>
      </c>
      <c r="B91" s="10"/>
      <c r="C91" s="48" t="s">
        <v>297</v>
      </c>
      <c r="D91" s="37">
        <f>D86+D88+D89</f>
        <v>167078050.63809949</v>
      </c>
      <c r="E91" s="297" t="str">
        <f>"Line "&amp;A86&amp;" + Line "&amp;A88&amp;" + Line "&amp;A89&amp;""</f>
        <v>Line 77 + Line 79 + Line 80</v>
      </c>
      <c r="F91" s="10"/>
      <c r="G91" s="768"/>
      <c r="H91" s="768"/>
      <c r="I91" s="768"/>
      <c r="J91" s="768"/>
      <c r="K91" s="5"/>
    </row>
  </sheetData>
  <phoneticPr fontId="22" type="noConversion"/>
  <pageMargins left="0.75" right="0.75" top="1" bottom="1" header="0.5" footer="0.5"/>
  <pageSetup scale="75" orientation="portrait" cellComments="asDisplayed" r:id="rId1"/>
  <headerFooter alignWithMargins="0">
    <oddHeader>&amp;CSchedule 2
Incremental Forecast Period TRR
&amp;RTO2020 Draft Annual Update 
Attachment1</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7"/>
  <sheetViews>
    <sheetView zoomScaleNormal="100" workbookViewId="0"/>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298</v>
      </c>
      <c r="B1" s="133"/>
      <c r="C1" s="133"/>
      <c r="D1" s="133"/>
      <c r="E1" s="133"/>
      <c r="F1" s="133"/>
      <c r="G1" s="133"/>
      <c r="H1" s="133"/>
      <c r="I1" s="133"/>
      <c r="J1" s="133"/>
      <c r="K1" s="133"/>
      <c r="L1" s="133"/>
    </row>
    <row r="2" spans="1:12">
      <c r="A2" s="133"/>
      <c r="B2" s="133"/>
      <c r="C2" s="133"/>
      <c r="D2" s="133"/>
      <c r="E2" s="133"/>
      <c r="F2" s="133"/>
      <c r="G2" s="133"/>
      <c r="H2" s="133"/>
      <c r="I2" s="133"/>
      <c r="J2" s="133"/>
      <c r="K2" s="133"/>
      <c r="L2" s="133"/>
    </row>
    <row r="3" spans="1:12">
      <c r="A3" s="133"/>
      <c r="B3" s="1" t="s">
        <v>299</v>
      </c>
      <c r="C3" s="133"/>
      <c r="D3" s="133"/>
      <c r="E3" s="133"/>
      <c r="F3" s="133"/>
      <c r="G3" s="133"/>
      <c r="H3" s="133"/>
      <c r="I3" s="133"/>
      <c r="J3" s="133"/>
      <c r="K3" s="133"/>
      <c r="L3" s="133"/>
    </row>
    <row r="4" spans="1:12">
      <c r="A4" s="133"/>
      <c r="B4" s="302" t="s">
        <v>300</v>
      </c>
      <c r="C4" s="133"/>
      <c r="D4" s="133"/>
      <c r="E4" s="133"/>
      <c r="F4" s="133"/>
      <c r="G4" s="133"/>
      <c r="H4" s="133"/>
      <c r="I4" s="133"/>
      <c r="J4" s="133"/>
      <c r="K4" s="133"/>
      <c r="L4" s="133"/>
    </row>
    <row r="5" spans="1:12">
      <c r="A5" s="133"/>
      <c r="B5" s="302" t="s">
        <v>301</v>
      </c>
      <c r="C5" s="133"/>
      <c r="D5" s="133"/>
      <c r="E5" s="133"/>
      <c r="F5" s="133"/>
      <c r="G5" s="133"/>
      <c r="H5" s="133"/>
      <c r="I5" s="133"/>
      <c r="J5" s="133"/>
      <c r="K5" s="133"/>
      <c r="L5" s="133"/>
    </row>
    <row r="6" spans="1:12">
      <c r="A6" s="133"/>
      <c r="B6" s="302" t="s">
        <v>302</v>
      </c>
      <c r="C6" s="133"/>
      <c r="D6" s="133"/>
      <c r="E6" s="133"/>
      <c r="F6" s="133"/>
      <c r="G6" s="133"/>
      <c r="H6" s="133"/>
      <c r="I6" s="133"/>
      <c r="J6" s="133"/>
      <c r="K6" s="133"/>
      <c r="L6" s="133"/>
    </row>
    <row r="7" spans="1:12">
      <c r="A7" s="133"/>
      <c r="B7" s="302" t="str">
        <f>"d) Include previous Annual Update Cumulative Excess or Shortfall in Prior Year (from Previous Annual Update Line "&amp;A36&amp;")"</f>
        <v>d) Include previous Annual Update Cumulative Excess or Shortfall in Prior Year (from Previous Annual Update Line 23)</v>
      </c>
      <c r="C7" s="133"/>
      <c r="D7" s="133"/>
      <c r="E7" s="133"/>
      <c r="F7" s="133"/>
      <c r="G7" s="133"/>
      <c r="H7" s="133"/>
      <c r="I7" s="133"/>
      <c r="J7" s="133"/>
      <c r="K7" s="133"/>
      <c r="L7" s="133"/>
    </row>
    <row r="8" spans="1:12">
      <c r="A8" s="133"/>
      <c r="B8" s="848" t="str">
        <f>"and any One-Time Adjustments in Column 4 (Lines "&amp;A24&amp;" and "&amp;A25&amp;" respectively)."</f>
        <v>and any One-Time Adjustments in Column 4 (Lines 11 and 12 respectively).</v>
      </c>
      <c r="C8" s="133"/>
      <c r="D8" s="133"/>
      <c r="E8" s="133"/>
      <c r="F8" s="133"/>
      <c r="G8" s="133"/>
      <c r="H8" s="133"/>
      <c r="I8" s="133"/>
      <c r="J8" s="133"/>
      <c r="K8" s="133"/>
      <c r="L8" s="133"/>
    </row>
    <row r="9" spans="1:12">
      <c r="A9" s="133"/>
      <c r="B9" s="302"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33"/>
      <c r="D9" s="133"/>
      <c r="E9" s="133"/>
      <c r="F9" s="133"/>
      <c r="G9" s="133"/>
      <c r="H9" s="133"/>
      <c r="I9" s="133"/>
      <c r="J9" s="133"/>
      <c r="K9" s="133"/>
      <c r="L9" s="133"/>
    </row>
    <row r="10" spans="1:12">
      <c r="A10" s="133"/>
      <c r="B10" s="133"/>
      <c r="C10" s="133"/>
      <c r="D10" s="133"/>
      <c r="E10" s="133"/>
      <c r="F10" s="133"/>
      <c r="G10" s="133"/>
      <c r="H10" s="133"/>
      <c r="I10" s="133"/>
      <c r="J10" s="133"/>
      <c r="K10" s="133"/>
      <c r="L10" s="133"/>
    </row>
    <row r="11" spans="1:12">
      <c r="A11" s="379"/>
      <c r="B11" s="51" t="s">
        <v>303</v>
      </c>
      <c r="C11" s="133"/>
      <c r="D11" s="134"/>
      <c r="E11" s="135"/>
      <c r="F11" s="133"/>
      <c r="G11" s="133"/>
      <c r="H11" s="133"/>
      <c r="I11" s="133"/>
      <c r="J11" s="133"/>
      <c r="K11" s="305"/>
      <c r="L11" s="133"/>
    </row>
    <row r="12" spans="1:12" s="10" customFormat="1">
      <c r="A12" s="64"/>
      <c r="B12" s="727" t="s">
        <v>304</v>
      </c>
      <c r="C12" s="141"/>
      <c r="D12" s="685"/>
      <c r="E12" s="137"/>
      <c r="F12" s="141"/>
      <c r="G12" s="141"/>
      <c r="H12" s="141"/>
      <c r="I12" s="141"/>
      <c r="J12" s="141"/>
      <c r="K12" s="141"/>
      <c r="L12" s="141"/>
    </row>
    <row r="13" spans="1:12">
      <c r="A13" s="30" t="s">
        <v>97</v>
      </c>
      <c r="B13" s="133"/>
      <c r="C13" s="51"/>
      <c r="D13" s="134"/>
      <c r="E13" s="135"/>
      <c r="F13" s="2"/>
      <c r="G13" s="133"/>
      <c r="H13" s="133"/>
      <c r="I13" s="133"/>
      <c r="J13" s="133"/>
      <c r="K13" s="133"/>
      <c r="L13" s="133"/>
    </row>
    <row r="14" spans="1:12">
      <c r="A14" s="379">
        <f>A7+1</f>
        <v>1</v>
      </c>
      <c r="B14" s="133"/>
      <c r="C14" s="133"/>
      <c r="D14" s="318" t="s">
        <v>305</v>
      </c>
      <c r="E14" s="135">
        <f>'4-TUTRR'!E72</f>
        <v>1142753015.4391534</v>
      </c>
      <c r="F14" s="319" t="s">
        <v>306</v>
      </c>
      <c r="G14" s="141"/>
      <c r="H14" s="133" t="str">
        <f>"Line "&amp;'4-TUTRR'!A72&amp;""</f>
        <v>Line 46</v>
      </c>
      <c r="I14" s="141"/>
      <c r="J14" s="133"/>
      <c r="K14" s="133"/>
      <c r="L14" s="133"/>
    </row>
    <row r="15" spans="1:12">
      <c r="A15" s="379">
        <f>A14+1</f>
        <v>2</v>
      </c>
      <c r="B15" s="51"/>
      <c r="C15" s="133"/>
      <c r="D15" s="133"/>
      <c r="E15" s="133"/>
      <c r="F15" s="133"/>
      <c r="G15" s="133"/>
      <c r="H15" s="135"/>
      <c r="I15" s="133"/>
      <c r="J15" s="133"/>
      <c r="K15" s="133"/>
      <c r="L15" s="133"/>
    </row>
    <row r="16" spans="1:12">
      <c r="A16" s="379">
        <f t="shared" ref="A16:A50" si="0">A15+1</f>
        <v>3</v>
      </c>
      <c r="B16" s="133"/>
      <c r="C16" s="133"/>
      <c r="D16" s="52" t="s">
        <v>307</v>
      </c>
      <c r="E16" s="52" t="s">
        <v>308</v>
      </c>
      <c r="F16" s="52" t="s">
        <v>309</v>
      </c>
      <c r="G16" s="52" t="s">
        <v>310</v>
      </c>
      <c r="H16" s="52" t="s">
        <v>311</v>
      </c>
      <c r="I16" s="52" t="s">
        <v>312</v>
      </c>
      <c r="J16" s="52" t="s">
        <v>313</v>
      </c>
      <c r="K16" s="52" t="s">
        <v>314</v>
      </c>
      <c r="L16" s="52" t="s">
        <v>315</v>
      </c>
    </row>
    <row r="17" spans="1:12">
      <c r="A17" s="379">
        <f t="shared" si="0"/>
        <v>4</v>
      </c>
      <c r="B17" s="133"/>
      <c r="C17" s="134" t="s">
        <v>316</v>
      </c>
      <c r="D17" s="52"/>
      <c r="E17" s="299" t="s">
        <v>317</v>
      </c>
      <c r="F17" s="299" t="s">
        <v>318</v>
      </c>
      <c r="G17" s="299" t="s">
        <v>319</v>
      </c>
      <c r="H17" s="307" t="s">
        <v>320</v>
      </c>
      <c r="I17" s="299" t="s">
        <v>321</v>
      </c>
      <c r="J17" s="299" t="s">
        <v>322</v>
      </c>
      <c r="K17" s="299" t="s">
        <v>323</v>
      </c>
      <c r="L17" s="307" t="s">
        <v>324</v>
      </c>
    </row>
    <row r="18" spans="1:12">
      <c r="A18" s="379">
        <f t="shared" si="0"/>
        <v>5</v>
      </c>
      <c r="B18" s="133"/>
      <c r="C18" s="133"/>
      <c r="D18" s="52"/>
      <c r="E18" s="768"/>
      <c r="F18" s="768"/>
      <c r="G18" s="3" t="s">
        <v>325</v>
      </c>
      <c r="H18" s="768"/>
      <c r="I18" s="52"/>
      <c r="J18" s="379" t="s">
        <v>326</v>
      </c>
      <c r="K18" s="52"/>
      <c r="L18" s="52"/>
    </row>
    <row r="19" spans="1:12">
      <c r="A19" s="379">
        <f t="shared" si="0"/>
        <v>6</v>
      </c>
      <c r="B19" s="133"/>
      <c r="C19" s="133"/>
      <c r="D19" s="52"/>
      <c r="E19" s="768"/>
      <c r="F19" s="768"/>
      <c r="G19" s="284" t="s">
        <v>327</v>
      </c>
      <c r="H19" s="768"/>
      <c r="I19" s="133"/>
      <c r="J19" s="379" t="s">
        <v>328</v>
      </c>
      <c r="K19" s="133"/>
      <c r="L19" s="379" t="s">
        <v>326</v>
      </c>
    </row>
    <row r="20" spans="1:12">
      <c r="A20" s="379">
        <f t="shared" si="0"/>
        <v>7</v>
      </c>
      <c r="B20" s="133"/>
      <c r="C20" s="133"/>
      <c r="D20" s="52"/>
      <c r="E20" s="768"/>
      <c r="F20" s="379" t="s">
        <v>329</v>
      </c>
      <c r="G20" s="379" t="s">
        <v>330</v>
      </c>
      <c r="H20" s="379" t="s">
        <v>331</v>
      </c>
      <c r="I20" s="133"/>
      <c r="J20" s="379" t="s">
        <v>332</v>
      </c>
      <c r="K20" s="133"/>
      <c r="L20" s="379" t="s">
        <v>328</v>
      </c>
    </row>
    <row r="21" spans="1:12">
      <c r="A21" s="379">
        <f t="shared" si="0"/>
        <v>8</v>
      </c>
      <c r="B21" s="133"/>
      <c r="C21" s="133"/>
      <c r="D21" s="379"/>
      <c r="E21" s="379" t="s">
        <v>331</v>
      </c>
      <c r="F21" s="379" t="s">
        <v>333</v>
      </c>
      <c r="G21" s="379" t="s">
        <v>334</v>
      </c>
      <c r="H21" s="379" t="s">
        <v>328</v>
      </c>
      <c r="I21" s="379" t="s">
        <v>331</v>
      </c>
      <c r="J21" s="379" t="s">
        <v>335</v>
      </c>
      <c r="K21" s="136" t="s">
        <v>336</v>
      </c>
      <c r="L21" s="379" t="s">
        <v>332</v>
      </c>
    </row>
    <row r="22" spans="1:12">
      <c r="A22" s="379">
        <f t="shared" si="0"/>
        <v>9</v>
      </c>
      <c r="B22" s="133"/>
      <c r="C22" s="133"/>
      <c r="D22" s="379"/>
      <c r="E22" s="379" t="s">
        <v>337</v>
      </c>
      <c r="F22" s="379" t="s">
        <v>338</v>
      </c>
      <c r="G22" s="379" t="s">
        <v>339</v>
      </c>
      <c r="H22" s="379" t="s">
        <v>332</v>
      </c>
      <c r="I22" s="379" t="s">
        <v>336</v>
      </c>
      <c r="J22" s="379" t="s">
        <v>340</v>
      </c>
      <c r="K22" s="379" t="s">
        <v>341</v>
      </c>
      <c r="L22" s="379" t="s">
        <v>335</v>
      </c>
    </row>
    <row r="23" spans="1:12" s="10" customFormat="1">
      <c r="A23" s="64">
        <f t="shared" si="0"/>
        <v>10</v>
      </c>
      <c r="B23" s="141"/>
      <c r="C23" s="15" t="s">
        <v>342</v>
      </c>
      <c r="D23" s="15" t="s">
        <v>343</v>
      </c>
      <c r="E23" s="74" t="s">
        <v>344</v>
      </c>
      <c r="F23" s="74" t="s">
        <v>345</v>
      </c>
      <c r="G23" s="74" t="s">
        <v>346</v>
      </c>
      <c r="H23" s="74" t="s">
        <v>335</v>
      </c>
      <c r="I23" s="74" t="s">
        <v>347</v>
      </c>
      <c r="J23" s="74" t="s">
        <v>348</v>
      </c>
      <c r="K23" s="74" t="s">
        <v>342</v>
      </c>
      <c r="L23" s="74" t="s">
        <v>349</v>
      </c>
    </row>
    <row r="24" spans="1:12" s="768" customFormat="1">
      <c r="A24" s="379">
        <f>A23+1</f>
        <v>11</v>
      </c>
      <c r="B24" s="133"/>
      <c r="C24" s="326" t="s">
        <v>350</v>
      </c>
      <c r="D24" s="1178">
        <v>2017</v>
      </c>
      <c r="E24" s="140" t="s">
        <v>351</v>
      </c>
      <c r="F24" s="140" t="s">
        <v>351</v>
      </c>
      <c r="G24" s="800">
        <v>-98407947.657645464</v>
      </c>
      <c r="H24" s="135">
        <f ca="1">G24</f>
        <v>-98407947.657645464</v>
      </c>
      <c r="I24" s="140" t="s">
        <v>351</v>
      </c>
      <c r="J24" s="139">
        <f ca="1">H24</f>
        <v>-98407947.657645464</v>
      </c>
      <c r="K24" s="140" t="s">
        <v>351</v>
      </c>
      <c r="L24" s="839">
        <f ca="1">J24</f>
        <v>-98407947.657645464</v>
      </c>
    </row>
    <row r="25" spans="1:12">
      <c r="A25" s="379">
        <f t="shared" ref="A25:A36" si="1">A24+1</f>
        <v>12</v>
      </c>
      <c r="B25" s="133"/>
      <c r="C25" s="326" t="s">
        <v>352</v>
      </c>
      <c r="D25" s="1178">
        <v>2018</v>
      </c>
      <c r="E25" s="135">
        <f>$E$14/12</f>
        <v>95229417.953262791</v>
      </c>
      <c r="F25" s="137">
        <f>C77</f>
        <v>95104408.189999998</v>
      </c>
      <c r="G25" s="800">
        <v>-7552</v>
      </c>
      <c r="H25" s="135">
        <f ca="1">E25-F25+G25</f>
        <v>117457.34792550144</v>
      </c>
      <c r="I25" s="138">
        <v>3.5000000000000001E-3</v>
      </c>
      <c r="J25" s="139">
        <f ca="1">L24+H25</f>
        <v>-98290490.309719965</v>
      </c>
      <c r="K25" s="139">
        <f ca="1">((L24+J25)/2)*I25</f>
        <v>-344222.26644288952</v>
      </c>
      <c r="L25" s="139">
        <f ca="1">J25+K25</f>
        <v>-98634712.57616286</v>
      </c>
    </row>
    <row r="26" spans="1:12">
      <c r="A26" s="379">
        <f t="shared" si="1"/>
        <v>13</v>
      </c>
      <c r="B26" s="133"/>
      <c r="C26" s="324" t="s">
        <v>353</v>
      </c>
      <c r="D26" s="1178">
        <v>2018</v>
      </c>
      <c r="E26" s="135">
        <f>$E$14/12</f>
        <v>95229417.953262791</v>
      </c>
      <c r="F26" s="137">
        <f t="shared" ref="F26:F36" si="2">C78</f>
        <v>79602859.120000005</v>
      </c>
      <c r="G26" s="340"/>
      <c r="H26" s="135">
        <f t="shared" ref="H26:H35" ca="1" si="3">E26-F26+G26</f>
        <v>15626558.833262786</v>
      </c>
      <c r="I26" s="138">
        <v>3.5000000000000001E-3</v>
      </c>
      <c r="J26" s="139">
        <f ca="1">L25+H26</f>
        <v>-83008153.742900074</v>
      </c>
      <c r="K26" s="139">
        <f ca="1">((L25+J26)/2)*I26</f>
        <v>-317875.01605836017</v>
      </c>
      <c r="L26" s="139">
        <f t="shared" ref="L26:L35" ca="1" si="4">J26+K26</f>
        <v>-83326028.758958429</v>
      </c>
    </row>
    <row r="27" spans="1:12">
      <c r="A27" s="379">
        <f t="shared" si="1"/>
        <v>14</v>
      </c>
      <c r="B27" s="133"/>
      <c r="C27" s="324" t="s">
        <v>354</v>
      </c>
      <c r="D27" s="1178">
        <v>2018</v>
      </c>
      <c r="E27" s="135">
        <f t="shared" ref="E27:E36" si="5">$E$14/12</f>
        <v>95229417.953262791</v>
      </c>
      <c r="F27" s="137">
        <f t="shared" si="2"/>
        <v>86953150.840000004</v>
      </c>
      <c r="G27" s="340"/>
      <c r="H27" s="135">
        <f t="shared" ca="1" si="3"/>
        <v>8276267.1132627875</v>
      </c>
      <c r="I27" s="138">
        <v>3.5000000000000001E-3</v>
      </c>
      <c r="J27" s="139">
        <f t="shared" ref="J27:J35" ca="1" si="6">L26+H27</f>
        <v>-75049761.645695642</v>
      </c>
      <c r="K27" s="139">
        <f t="shared" ref="K27:K36" ca="1" si="7">((L26+J27)/2)*I27</f>
        <v>-277157.63320814463</v>
      </c>
      <c r="L27" s="139">
        <f t="shared" ca="1" si="4"/>
        <v>-75326919.278903782</v>
      </c>
    </row>
    <row r="28" spans="1:12">
      <c r="A28" s="379">
        <f t="shared" si="1"/>
        <v>15</v>
      </c>
      <c r="B28" s="133"/>
      <c r="C28" s="326" t="s">
        <v>355</v>
      </c>
      <c r="D28" s="1178">
        <v>2018</v>
      </c>
      <c r="E28" s="135">
        <f t="shared" si="5"/>
        <v>95229417.953262791</v>
      </c>
      <c r="F28" s="137">
        <f t="shared" si="2"/>
        <v>115273321.78</v>
      </c>
      <c r="G28" s="340"/>
      <c r="H28" s="135">
        <f t="shared" ca="1" si="3"/>
        <v>-20043903.82673721</v>
      </c>
      <c r="I28" s="138">
        <v>3.7000000000000002E-3</v>
      </c>
      <c r="J28" s="139">
        <f t="shared" ca="1" si="6"/>
        <v>-95370823.105640993</v>
      </c>
      <c r="K28" s="139">
        <f t="shared" ca="1" si="7"/>
        <v>-315790.82341140788</v>
      </c>
      <c r="L28" s="139">
        <f t="shared" ca="1" si="4"/>
        <v>-95686613.929052398</v>
      </c>
    </row>
    <row r="29" spans="1:12">
      <c r="A29" s="379">
        <f t="shared" si="1"/>
        <v>16</v>
      </c>
      <c r="B29" s="133"/>
      <c r="C29" s="324" t="s">
        <v>356</v>
      </c>
      <c r="D29" s="1178">
        <v>2018</v>
      </c>
      <c r="E29" s="135">
        <f t="shared" si="5"/>
        <v>95229417.953262791</v>
      </c>
      <c r="F29" s="137">
        <f t="shared" si="2"/>
        <v>94769644.920000002</v>
      </c>
      <c r="G29" s="340"/>
      <c r="H29" s="135">
        <f t="shared" ca="1" si="3"/>
        <v>459773.03326278925</v>
      </c>
      <c r="I29" s="138">
        <v>3.7000000000000002E-3</v>
      </c>
      <c r="J29" s="139">
        <f t="shared" ca="1" si="6"/>
        <v>-95226840.895789608</v>
      </c>
      <c r="K29" s="139">
        <f t="shared" ca="1" si="7"/>
        <v>-353189.89142595773</v>
      </c>
      <c r="L29" s="139">
        <f t="shared" ca="1" si="4"/>
        <v>-95580030.787215561</v>
      </c>
    </row>
    <row r="30" spans="1:12">
      <c r="A30" s="379">
        <f t="shared" si="1"/>
        <v>17</v>
      </c>
      <c r="B30" s="133"/>
      <c r="C30" s="324" t="s">
        <v>357</v>
      </c>
      <c r="D30" s="1178">
        <v>2018</v>
      </c>
      <c r="E30" s="135">
        <f t="shared" si="5"/>
        <v>95229417.953262791</v>
      </c>
      <c r="F30" s="137">
        <f t="shared" si="2"/>
        <v>97599706.280000001</v>
      </c>
      <c r="G30" s="340"/>
      <c r="H30" s="135">
        <f t="shared" ca="1" si="3"/>
        <v>-2370288.3267372102</v>
      </c>
      <c r="I30" s="138">
        <v>3.7000000000000002E-3</v>
      </c>
      <c r="J30" s="139">
        <f t="shared" ca="1" si="6"/>
        <v>-97950319.113952771</v>
      </c>
      <c r="K30" s="139">
        <f t="shared" ca="1" si="7"/>
        <v>-358031.14731716143</v>
      </c>
      <c r="L30" s="139">
        <f t="shared" ca="1" si="4"/>
        <v>-98308350.261269927</v>
      </c>
    </row>
    <row r="31" spans="1:12">
      <c r="A31" s="379">
        <f t="shared" si="1"/>
        <v>18</v>
      </c>
      <c r="B31" s="133"/>
      <c r="C31" s="326" t="s">
        <v>358</v>
      </c>
      <c r="D31" s="1178">
        <v>2018</v>
      </c>
      <c r="E31" s="135">
        <f t="shared" si="5"/>
        <v>95229417.953262791</v>
      </c>
      <c r="F31" s="137">
        <f t="shared" si="2"/>
        <v>121694630.16</v>
      </c>
      <c r="G31" s="340"/>
      <c r="H31" s="135">
        <f t="shared" ca="1" si="3"/>
        <v>-26465212.206737205</v>
      </c>
      <c r="I31" s="138">
        <v>3.8999999999999998E-3</v>
      </c>
      <c r="J31" s="139">
        <f t="shared" ca="1" si="6"/>
        <v>-124773562.46800713</v>
      </c>
      <c r="K31" s="139">
        <f t="shared" ca="1" si="7"/>
        <v>-435009.7298220903</v>
      </c>
      <c r="L31" s="139">
        <f t="shared" ca="1" si="4"/>
        <v>-125208572.19782922</v>
      </c>
    </row>
    <row r="32" spans="1:12">
      <c r="A32" s="379">
        <f t="shared" si="1"/>
        <v>19</v>
      </c>
      <c r="B32" s="133"/>
      <c r="C32" s="324" t="s">
        <v>359</v>
      </c>
      <c r="D32" s="1178">
        <v>2018</v>
      </c>
      <c r="E32" s="135">
        <f t="shared" si="5"/>
        <v>95229417.953262791</v>
      </c>
      <c r="F32" s="137">
        <f t="shared" si="2"/>
        <v>172990909.44999999</v>
      </c>
      <c r="G32" s="340"/>
      <c r="H32" s="135">
        <f t="shared" ca="1" si="3"/>
        <v>-77761491.496737197</v>
      </c>
      <c r="I32" s="138">
        <v>3.8999999999999998E-3</v>
      </c>
      <c r="J32" s="139">
        <f t="shared" ca="1" si="6"/>
        <v>-202970063.69456643</v>
      </c>
      <c r="K32" s="139">
        <f t="shared" ca="1" si="7"/>
        <v>-639948.33999017137</v>
      </c>
      <c r="L32" s="139">
        <f t="shared" ca="1" si="4"/>
        <v>-203610012.0345566</v>
      </c>
    </row>
    <row r="33" spans="1:12">
      <c r="A33" s="379">
        <f t="shared" si="1"/>
        <v>20</v>
      </c>
      <c r="B33" s="133"/>
      <c r="C33" s="324" t="s">
        <v>360</v>
      </c>
      <c r="D33" s="1178">
        <v>2018</v>
      </c>
      <c r="E33" s="135">
        <f t="shared" si="5"/>
        <v>95229417.953262791</v>
      </c>
      <c r="F33" s="137">
        <f t="shared" si="2"/>
        <v>58038787.18</v>
      </c>
      <c r="G33" s="340"/>
      <c r="H33" s="135">
        <f t="shared" ca="1" si="3"/>
        <v>37190630.773262791</v>
      </c>
      <c r="I33" s="138">
        <v>3.8999999999999998E-3</v>
      </c>
      <c r="J33" s="139">
        <f t="shared" ca="1" si="6"/>
        <v>-166419381.2612938</v>
      </c>
      <c r="K33" s="139">
        <f t="shared" ca="1" si="7"/>
        <v>-721557.31692690821</v>
      </c>
      <c r="L33" s="139">
        <f t="shared" ca="1" si="4"/>
        <v>-167140938.5782207</v>
      </c>
    </row>
    <row r="34" spans="1:12">
      <c r="A34" s="379">
        <f t="shared" si="1"/>
        <v>21</v>
      </c>
      <c r="B34" s="133"/>
      <c r="C34" s="326" t="s">
        <v>361</v>
      </c>
      <c r="D34" s="1178">
        <v>2018</v>
      </c>
      <c r="E34" s="135">
        <f t="shared" si="5"/>
        <v>95229417.953262791</v>
      </c>
      <c r="F34" s="137">
        <f t="shared" si="2"/>
        <v>118998497.5</v>
      </c>
      <c r="G34" s="340"/>
      <c r="H34" s="135">
        <f t="shared" ca="1" si="3"/>
        <v>-23769079.546737209</v>
      </c>
      <c r="I34" s="138">
        <v>4.1000000000000003E-3</v>
      </c>
      <c r="J34" s="139">
        <f t="shared" ca="1" si="6"/>
        <v>-190910018.12495792</v>
      </c>
      <c r="K34" s="139">
        <f t="shared" ca="1" si="7"/>
        <v>-734004.46124151628</v>
      </c>
      <c r="L34" s="139">
        <f t="shared" ca="1" si="4"/>
        <v>-191644022.58619943</v>
      </c>
    </row>
    <row r="35" spans="1:12">
      <c r="A35" s="379">
        <f t="shared" si="1"/>
        <v>22</v>
      </c>
      <c r="B35" s="133"/>
      <c r="C35" s="326" t="s">
        <v>362</v>
      </c>
      <c r="D35" s="1178">
        <v>2018</v>
      </c>
      <c r="E35" s="135">
        <f t="shared" si="5"/>
        <v>95229417.953262791</v>
      </c>
      <c r="F35" s="137">
        <f t="shared" si="2"/>
        <v>63930367.600000001</v>
      </c>
      <c r="G35" s="340"/>
      <c r="H35" s="135">
        <f t="shared" ca="1" si="3"/>
        <v>31299050.35326279</v>
      </c>
      <c r="I35" s="138">
        <v>4.1000000000000003E-3</v>
      </c>
      <c r="J35" s="139">
        <f t="shared" ca="1" si="6"/>
        <v>-160344972.23293665</v>
      </c>
      <c r="K35" s="139">
        <f t="shared" ca="1" si="7"/>
        <v>-721577.43937922898</v>
      </c>
      <c r="L35" s="139">
        <f t="shared" ca="1" si="4"/>
        <v>-161066549.67231587</v>
      </c>
    </row>
    <row r="36" spans="1:12">
      <c r="A36" s="379">
        <f t="shared" si="1"/>
        <v>23</v>
      </c>
      <c r="B36" s="133"/>
      <c r="C36" s="324" t="s">
        <v>350</v>
      </c>
      <c r="D36" s="1178">
        <v>2018</v>
      </c>
      <c r="E36" s="135">
        <f t="shared" si="5"/>
        <v>95229417.953262791</v>
      </c>
      <c r="F36" s="137">
        <f t="shared" si="2"/>
        <v>98014769.019999996</v>
      </c>
      <c r="G36" s="340">
        <v>4701468.8322171327</v>
      </c>
      <c r="H36" s="135">
        <f ca="1">E36-F36+G36</f>
        <v>1917211.5757230725</v>
      </c>
      <c r="I36" s="138">
        <v>4.1000000000000003E-3</v>
      </c>
      <c r="J36" s="139">
        <f ca="1">L35+H36</f>
        <v>-159149338.09659278</v>
      </c>
      <c r="K36" s="139">
        <f t="shared" ca="1" si="7"/>
        <v>-656442.56992626272</v>
      </c>
      <c r="L36" s="139">
        <f ca="1">J36+K36</f>
        <v>-159805780.66651905</v>
      </c>
    </row>
    <row r="37" spans="1:12">
      <c r="A37" s="64"/>
      <c r="B37" s="133"/>
      <c r="C37" s="324"/>
      <c r="D37" s="330"/>
      <c r="E37" s="133"/>
      <c r="F37" s="145"/>
      <c r="G37" s="137"/>
      <c r="H37" s="213"/>
      <c r="I37" s="133"/>
      <c r="J37" s="133"/>
      <c r="K37" s="133"/>
      <c r="L37" s="133"/>
    </row>
    <row r="38" spans="1:12" s="10" customFormat="1">
      <c r="A38" s="64">
        <f>A36+1</f>
        <v>24</v>
      </c>
      <c r="B38" s="25" t="s">
        <v>363</v>
      </c>
      <c r="C38" s="324"/>
      <c r="D38" s="330"/>
      <c r="E38" s="141"/>
      <c r="F38" s="297"/>
      <c r="G38" s="137"/>
      <c r="H38" s="701"/>
      <c r="I38" s="141"/>
      <c r="J38" s="141"/>
      <c r="K38" s="141"/>
      <c r="L38" s="141"/>
    </row>
    <row r="39" spans="1:12">
      <c r="A39" s="64">
        <f t="shared" si="0"/>
        <v>25</v>
      </c>
      <c r="B39" s="1"/>
      <c r="C39" s="324"/>
      <c r="D39" s="330"/>
      <c r="E39" s="133"/>
      <c r="F39" s="323" t="s">
        <v>226</v>
      </c>
      <c r="G39" s="137"/>
      <c r="H39" s="145"/>
      <c r="I39" s="133"/>
      <c r="J39" s="133"/>
      <c r="K39" s="133"/>
      <c r="L39" s="133"/>
    </row>
    <row r="40" spans="1:12">
      <c r="A40" s="64">
        <f t="shared" si="0"/>
        <v>26</v>
      </c>
      <c r="B40" s="133"/>
      <c r="C40" s="324"/>
      <c r="D40" s="134" t="s">
        <v>364</v>
      </c>
      <c r="E40" s="135">
        <f ca="1">L36</f>
        <v>-159805780.66651905</v>
      </c>
      <c r="F40" s="297" t="str">
        <f>"Line "&amp;A36&amp;", Column 9"</f>
        <v>Line 23, Column 9</v>
      </c>
      <c r="G40" s="142"/>
      <c r="H40" s="145"/>
      <c r="I40" s="133"/>
      <c r="J40" s="133"/>
      <c r="K40" s="133"/>
      <c r="L40" s="133"/>
    </row>
    <row r="41" spans="1:12" s="768" customFormat="1">
      <c r="A41" s="64">
        <f t="shared" si="0"/>
        <v>27</v>
      </c>
      <c r="B41" s="133"/>
      <c r="C41" s="324"/>
      <c r="D41" s="296" t="s">
        <v>365</v>
      </c>
      <c r="E41" s="840">
        <v>-62494552.186623462</v>
      </c>
      <c r="F41" s="297" t="str">
        <f>"Previous Annual Update Schedule 3, Line "&amp;A44&amp;""</f>
        <v>Previous Annual Update Schedule 3, Line 30</v>
      </c>
      <c r="G41" s="142"/>
      <c r="H41" s="701"/>
      <c r="J41" s="134" t="s">
        <v>366</v>
      </c>
      <c r="K41" s="769" t="s">
        <v>367</v>
      </c>
      <c r="L41" s="769" t="s">
        <v>368</v>
      </c>
    </row>
    <row r="42" spans="1:12" s="768" customFormat="1">
      <c r="A42" s="64">
        <f t="shared" si="0"/>
        <v>28</v>
      </c>
      <c r="B42" s="133"/>
      <c r="C42" s="324"/>
      <c r="D42" s="296" t="s">
        <v>369</v>
      </c>
      <c r="E42" s="903">
        <f ca="1">E40-E41</f>
        <v>-97311228.479895592</v>
      </c>
      <c r="F42" s="297" t="str">
        <f>"Line "&amp;A40&amp;" - Line "&amp;A41&amp;""</f>
        <v>Line 26 - Line 27</v>
      </c>
      <c r="G42" s="142"/>
      <c r="H42" s="145"/>
      <c r="J42" s="297"/>
      <c r="K42" s="769"/>
      <c r="L42" s="769"/>
    </row>
    <row r="43" spans="1:12" s="768" customFormat="1" ht="15">
      <c r="A43" s="64">
        <f t="shared" si="0"/>
        <v>29</v>
      </c>
      <c r="B43" s="133"/>
      <c r="C43" s="324"/>
      <c r="D43" s="296" t="s">
        <v>370</v>
      </c>
      <c r="E43" s="902">
        <f ca="1">E42*I36*18</f>
        <v>-7181568.6618162952</v>
      </c>
      <c r="F43" s="297" t="str">
        <f>"Line "&amp;A42&amp;" * (Line "&amp;A36&amp;", Column 6) * 18 months"</f>
        <v>Line 28 * (Line 23, Column 6) * 18 months</v>
      </c>
      <c r="G43" s="142"/>
      <c r="H43" s="701"/>
      <c r="I43" s="297"/>
      <c r="J43" s="133"/>
      <c r="K43" s="133"/>
      <c r="L43" s="133"/>
    </row>
    <row r="44" spans="1:12" s="10" customFormat="1">
      <c r="A44" s="64">
        <f t="shared" si="0"/>
        <v>30</v>
      </c>
      <c r="B44" s="141"/>
      <c r="C44" s="324"/>
      <c r="D44" s="1179" t="s">
        <v>371</v>
      </c>
      <c r="E44" s="137">
        <f ca="1">E42+E43</f>
        <v>-104492797.14171189</v>
      </c>
      <c r="F44" s="841" t="str">
        <f>"Line "&amp;A42&amp;" + Line "&amp;A43&amp;".  Positive amount is to be collected by SCE (included in Base TRR as a positive amount)."</f>
        <v>Line 28 + Line 29.  Positive amount is to be collected by SCE (included in Base TRR as a positive amount).</v>
      </c>
      <c r="G44" s="142"/>
      <c r="H44" s="701"/>
      <c r="I44" s="141"/>
      <c r="J44" s="141"/>
      <c r="K44" s="141"/>
      <c r="L44" s="141"/>
    </row>
    <row r="45" spans="1:12">
      <c r="A45" s="64">
        <f t="shared" si="0"/>
        <v>31</v>
      </c>
      <c r="B45" s="133"/>
      <c r="C45" s="133"/>
      <c r="D45" s="133"/>
      <c r="E45" s="133"/>
      <c r="F45" s="322" t="s">
        <v>372</v>
      </c>
      <c r="G45" s="133"/>
      <c r="H45" s="133"/>
      <c r="I45" s="133"/>
      <c r="J45" s="133"/>
      <c r="K45" s="133"/>
      <c r="L45" s="133"/>
    </row>
    <row r="46" spans="1:12">
      <c r="A46" s="64">
        <f t="shared" si="0"/>
        <v>32</v>
      </c>
      <c r="B46" s="1" t="s">
        <v>373</v>
      </c>
      <c r="C46" s="133"/>
      <c r="D46" s="133"/>
      <c r="E46" s="133"/>
      <c r="F46" s="147"/>
      <c r="G46" s="133"/>
      <c r="H46" s="133"/>
      <c r="I46" s="133"/>
      <c r="J46" s="133"/>
      <c r="K46" s="133"/>
      <c r="L46" s="133"/>
    </row>
    <row r="47" spans="1:12">
      <c r="A47" s="64">
        <f t="shared" si="0"/>
        <v>33</v>
      </c>
      <c r="B47" s="302" t="s">
        <v>374</v>
      </c>
      <c r="C47" s="133"/>
      <c r="D47" s="133"/>
      <c r="E47" s="133"/>
      <c r="F47" s="133"/>
      <c r="G47" s="133"/>
      <c r="H47" s="133"/>
      <c r="I47" s="133"/>
      <c r="J47" s="133"/>
      <c r="K47" s="133"/>
      <c r="L47" s="133"/>
    </row>
    <row r="48" spans="1:12">
      <c r="A48" s="64">
        <f t="shared" si="0"/>
        <v>34</v>
      </c>
      <c r="B48" s="302" t="s">
        <v>375</v>
      </c>
      <c r="C48" s="133"/>
      <c r="D48" s="133"/>
      <c r="E48" s="133"/>
      <c r="F48" s="133"/>
      <c r="G48" s="133"/>
      <c r="H48" s="133"/>
      <c r="I48" s="133"/>
      <c r="J48" s="133"/>
      <c r="K48" s="133"/>
      <c r="L48" s="133"/>
    </row>
    <row r="49" spans="1:12">
      <c r="A49" s="64">
        <f t="shared" si="0"/>
        <v>35</v>
      </c>
      <c r="B49" s="302" t="s">
        <v>376</v>
      </c>
      <c r="C49" s="133"/>
      <c r="D49" s="133"/>
      <c r="E49" s="133"/>
      <c r="F49" s="133"/>
      <c r="G49" s="133"/>
      <c r="H49" s="133"/>
      <c r="I49" s="133"/>
      <c r="J49" s="133"/>
      <c r="K49" s="133"/>
      <c r="L49" s="133"/>
    </row>
    <row r="50" spans="1:12">
      <c r="A50" s="64">
        <f t="shared" si="0"/>
        <v>36</v>
      </c>
      <c r="B50" s="133"/>
      <c r="C50" s="133"/>
      <c r="D50" s="133"/>
      <c r="E50" s="133"/>
      <c r="F50" s="133"/>
      <c r="G50" s="133"/>
      <c r="H50" s="133"/>
      <c r="I50" s="133"/>
      <c r="J50" s="133"/>
      <c r="K50" s="133"/>
      <c r="L50" s="133"/>
    </row>
    <row r="51" spans="1:12">
      <c r="A51" s="64">
        <f t="shared" ref="A51:A91" si="8">A50+1</f>
        <v>37</v>
      </c>
      <c r="B51" s="1" t="s">
        <v>377</v>
      </c>
      <c r="C51" s="133"/>
      <c r="D51" s="133"/>
      <c r="E51" s="133"/>
      <c r="F51" s="133"/>
      <c r="G51" s="133"/>
      <c r="H51" s="133"/>
      <c r="I51" s="133"/>
      <c r="J51" s="133"/>
      <c r="K51" s="133"/>
      <c r="L51" s="133"/>
    </row>
    <row r="52" spans="1:12">
      <c r="A52" s="64">
        <f t="shared" si="8"/>
        <v>38</v>
      </c>
      <c r="B52" s="133"/>
      <c r="C52" s="133"/>
      <c r="D52" s="136" t="s">
        <v>378</v>
      </c>
      <c r="E52" s="133"/>
      <c r="F52" s="768"/>
      <c r="G52" s="133"/>
      <c r="H52" s="133"/>
      <c r="I52" s="133"/>
      <c r="J52" s="133"/>
      <c r="K52" s="133"/>
      <c r="L52" s="133"/>
    </row>
    <row r="53" spans="1:12">
      <c r="A53" s="64">
        <f t="shared" si="8"/>
        <v>39</v>
      </c>
      <c r="B53" s="133"/>
      <c r="C53" s="13" t="s">
        <v>342</v>
      </c>
      <c r="D53" s="2" t="s">
        <v>379</v>
      </c>
      <c r="E53" s="2" t="s">
        <v>380</v>
      </c>
      <c r="F53" s="768"/>
      <c r="G53" s="141"/>
      <c r="H53" s="141"/>
      <c r="I53" s="141"/>
      <c r="J53" s="141"/>
      <c r="K53" s="141"/>
      <c r="L53" s="141"/>
    </row>
    <row r="54" spans="1:12">
      <c r="A54" s="64">
        <f t="shared" si="8"/>
        <v>40</v>
      </c>
      <c r="B54" s="133"/>
      <c r="C54" s="326" t="s">
        <v>352</v>
      </c>
      <c r="D54" s="930">
        <v>6.3763211440757639E-2</v>
      </c>
      <c r="E54" s="302" t="s">
        <v>381</v>
      </c>
      <c r="F54" s="768"/>
      <c r="G54" s="141"/>
      <c r="H54" s="141"/>
      <c r="I54" s="141"/>
      <c r="J54" s="141"/>
      <c r="K54" s="141"/>
      <c r="L54" s="141"/>
    </row>
    <row r="55" spans="1:12">
      <c r="A55" s="64">
        <f t="shared" si="8"/>
        <v>41</v>
      </c>
      <c r="B55" s="133"/>
      <c r="C55" s="324" t="s">
        <v>353</v>
      </c>
      <c r="D55" s="930">
        <v>5.6553289888256801E-2</v>
      </c>
      <c r="E55" s="768"/>
      <c r="F55" s="768"/>
      <c r="G55" s="141"/>
      <c r="H55" s="141"/>
      <c r="I55" s="141"/>
      <c r="J55" s="141"/>
      <c r="K55" s="141"/>
      <c r="L55" s="141"/>
    </row>
    <row r="56" spans="1:12">
      <c r="A56" s="64">
        <f t="shared" si="8"/>
        <v>42</v>
      </c>
      <c r="B56" s="133"/>
      <c r="C56" s="324" t="s">
        <v>354</v>
      </c>
      <c r="D56" s="930">
        <v>7.1828142218240867E-2</v>
      </c>
      <c r="E56" s="302"/>
      <c r="F56" s="768"/>
      <c r="G56" s="141"/>
      <c r="H56" s="141"/>
      <c r="I56" s="141"/>
      <c r="J56" s="141"/>
      <c r="K56" s="141"/>
      <c r="L56" s="141"/>
    </row>
    <row r="57" spans="1:12">
      <c r="A57" s="64">
        <f t="shared" si="8"/>
        <v>43</v>
      </c>
      <c r="B57" s="133"/>
      <c r="C57" s="326" t="s">
        <v>355</v>
      </c>
      <c r="D57" s="930">
        <v>8.2236801934806855E-2</v>
      </c>
      <c r="E57" s="1180"/>
      <c r="F57" s="768"/>
      <c r="G57" s="141"/>
      <c r="H57" s="141"/>
      <c r="I57" s="141"/>
      <c r="J57" s="141"/>
      <c r="K57" s="141"/>
      <c r="L57" s="141"/>
    </row>
    <row r="58" spans="1:12">
      <c r="A58" s="64">
        <f t="shared" si="8"/>
        <v>44</v>
      </c>
      <c r="B58" s="133"/>
      <c r="C58" s="324" t="s">
        <v>356</v>
      </c>
      <c r="D58" s="930">
        <v>8.01837425905748E-2</v>
      </c>
      <c r="E58" s="148"/>
      <c r="F58" s="768"/>
      <c r="G58" s="141"/>
      <c r="H58" s="141"/>
      <c r="I58" s="141"/>
      <c r="J58" s="141"/>
      <c r="K58" s="141"/>
      <c r="L58" s="141"/>
    </row>
    <row r="59" spans="1:12">
      <c r="A59" s="64">
        <f t="shared" si="8"/>
        <v>45</v>
      </c>
      <c r="B59" s="133"/>
      <c r="C59" s="324" t="s">
        <v>357</v>
      </c>
      <c r="D59" s="930">
        <v>8.9450501877561497E-2</v>
      </c>
      <c r="E59" s="148"/>
      <c r="F59" s="768"/>
      <c r="G59" s="141"/>
      <c r="H59" s="141"/>
      <c r="I59" s="141"/>
      <c r="J59" s="141"/>
      <c r="K59" s="141"/>
      <c r="L59" s="141"/>
    </row>
    <row r="60" spans="1:12">
      <c r="A60" s="64">
        <f t="shared" si="8"/>
        <v>46</v>
      </c>
      <c r="B60" s="133"/>
      <c r="C60" s="326" t="s">
        <v>358</v>
      </c>
      <c r="D60" s="930">
        <v>9.8908415854749826E-2</v>
      </c>
      <c r="E60" s="148"/>
      <c r="F60" s="768"/>
      <c r="G60" s="141"/>
      <c r="H60" s="141"/>
      <c r="I60" s="141"/>
      <c r="J60" s="141"/>
      <c r="K60" s="141"/>
      <c r="L60" s="141"/>
    </row>
    <row r="61" spans="1:12">
      <c r="A61" s="64">
        <f t="shared" si="8"/>
        <v>47</v>
      </c>
      <c r="B61" s="133"/>
      <c r="C61" s="324" t="s">
        <v>359</v>
      </c>
      <c r="D61" s="930">
        <v>0.10141004323318151</v>
      </c>
      <c r="E61" s="148"/>
      <c r="F61" s="768"/>
      <c r="G61" s="141"/>
      <c r="H61" s="141"/>
      <c r="I61" s="141"/>
      <c r="J61" s="141"/>
      <c r="K61" s="141"/>
      <c r="L61" s="141"/>
    </row>
    <row r="62" spans="1:12">
      <c r="A62" s="64">
        <f t="shared" si="8"/>
        <v>48</v>
      </c>
      <c r="B62" s="133"/>
      <c r="C62" s="324" t="s">
        <v>360</v>
      </c>
      <c r="D62" s="930">
        <v>0.10217900008822713</v>
      </c>
      <c r="E62" s="148"/>
      <c r="F62" s="768"/>
      <c r="G62" s="141"/>
      <c r="H62" s="141"/>
      <c r="I62" s="141"/>
      <c r="J62" s="141"/>
      <c r="K62" s="141"/>
      <c r="L62" s="141"/>
    </row>
    <row r="63" spans="1:12">
      <c r="A63" s="64">
        <f t="shared" si="8"/>
        <v>49</v>
      </c>
      <c r="B63" s="133"/>
      <c r="C63" s="326" t="s">
        <v>361</v>
      </c>
      <c r="D63" s="930">
        <v>9.1787269171678454E-2</v>
      </c>
      <c r="E63" s="148"/>
      <c r="F63" s="768"/>
      <c r="G63" s="141"/>
      <c r="H63" s="141"/>
      <c r="I63" s="141"/>
      <c r="J63" s="141"/>
      <c r="K63" s="141"/>
      <c r="L63" s="141"/>
    </row>
    <row r="64" spans="1:12">
      <c r="A64" s="64">
        <f t="shared" si="8"/>
        <v>50</v>
      </c>
      <c r="B64" s="133"/>
      <c r="C64" s="326" t="s">
        <v>362</v>
      </c>
      <c r="D64" s="930">
        <v>7.5296938318149625E-2</v>
      </c>
      <c r="E64" s="148"/>
      <c r="F64" s="768"/>
      <c r="G64" s="133"/>
      <c r="H64" s="133"/>
      <c r="I64" s="133"/>
      <c r="J64" s="133"/>
      <c r="K64" s="133"/>
      <c r="L64" s="133"/>
    </row>
    <row r="65" spans="1:16">
      <c r="A65" s="64">
        <f t="shared" si="8"/>
        <v>51</v>
      </c>
      <c r="B65" s="133"/>
      <c r="C65" s="324" t="s">
        <v>350</v>
      </c>
      <c r="D65" s="214">
        <v>8.640264338381512E-2</v>
      </c>
      <c r="E65" s="97"/>
      <c r="F65" s="768"/>
      <c r="G65" s="133"/>
      <c r="H65" s="133"/>
      <c r="I65" s="133"/>
      <c r="J65" s="133"/>
      <c r="K65" s="133"/>
      <c r="L65" s="133"/>
      <c r="M65" s="768"/>
      <c r="N65" s="768"/>
      <c r="O65" s="768"/>
      <c r="P65" s="768"/>
    </row>
    <row r="66" spans="1:16">
      <c r="A66" s="64">
        <f t="shared" si="8"/>
        <v>52</v>
      </c>
      <c r="B66" s="133"/>
      <c r="C66" s="327" t="s">
        <v>382</v>
      </c>
      <c r="D66" s="225">
        <f>SUM(D54:D65)</f>
        <v>1.0000000000000002</v>
      </c>
      <c r="E66" s="133"/>
      <c r="F66" s="768"/>
      <c r="G66" s="133"/>
      <c r="H66" s="133"/>
      <c r="I66" s="133"/>
      <c r="J66" s="133"/>
      <c r="K66" s="133"/>
      <c r="L66" s="133"/>
      <c r="M66" s="768"/>
      <c r="N66" s="768"/>
      <c r="O66" s="768"/>
      <c r="P66" s="768"/>
    </row>
    <row r="67" spans="1:16" s="10" customFormat="1">
      <c r="A67" s="64">
        <f t="shared" si="8"/>
        <v>53</v>
      </c>
      <c r="B67" s="141"/>
      <c r="C67" s="141"/>
      <c r="D67" s="141"/>
      <c r="E67" s="141"/>
      <c r="F67" s="64"/>
      <c r="G67" s="141"/>
      <c r="H67" s="141"/>
      <c r="I67" s="141"/>
      <c r="J67" s="141"/>
      <c r="K67" s="141"/>
      <c r="L67" s="141"/>
    </row>
    <row r="68" spans="1:16">
      <c r="A68" s="64">
        <f t="shared" si="8"/>
        <v>54</v>
      </c>
      <c r="B68" s="1" t="s">
        <v>383</v>
      </c>
      <c r="C68" s="133"/>
      <c r="D68" s="133"/>
      <c r="E68" s="133"/>
      <c r="F68" s="379"/>
      <c r="G68" s="133"/>
      <c r="H68" s="133"/>
      <c r="I68" s="133"/>
      <c r="J68" s="133"/>
      <c r="K68" s="133"/>
      <c r="L68" s="133"/>
      <c r="M68" s="768"/>
      <c r="N68" s="768"/>
      <c r="O68" s="768"/>
      <c r="P68" s="768"/>
    </row>
    <row r="69" spans="1:16">
      <c r="A69" s="64">
        <f t="shared" si="8"/>
        <v>55</v>
      </c>
      <c r="B69" s="133"/>
      <c r="C69" s="133"/>
      <c r="D69" s="133"/>
      <c r="E69" s="133"/>
      <c r="F69" s="379"/>
      <c r="G69" s="133"/>
      <c r="H69" s="133"/>
      <c r="I69" s="133"/>
      <c r="J69" s="133"/>
      <c r="K69" s="133"/>
      <c r="L69" s="133"/>
      <c r="M69" s="768"/>
      <c r="N69" s="768"/>
      <c r="O69" s="768"/>
      <c r="P69" s="768"/>
    </row>
    <row r="70" spans="1:16">
      <c r="A70" s="64">
        <f t="shared" si="8"/>
        <v>56</v>
      </c>
      <c r="B70" s="133"/>
      <c r="C70" s="52" t="s">
        <v>307</v>
      </c>
      <c r="D70" s="52" t="s">
        <v>308</v>
      </c>
      <c r="E70" s="52" t="s">
        <v>309</v>
      </c>
      <c r="F70" s="52" t="s">
        <v>310</v>
      </c>
      <c r="G70" s="52" t="s">
        <v>311</v>
      </c>
      <c r="H70" s="52" t="s">
        <v>312</v>
      </c>
      <c r="I70" s="52" t="s">
        <v>313</v>
      </c>
      <c r="J70" s="133"/>
      <c r="K70" s="768"/>
      <c r="L70" s="768"/>
      <c r="M70" s="768"/>
      <c r="N70" s="768"/>
      <c r="O70" s="768"/>
      <c r="P70" s="768"/>
    </row>
    <row r="71" spans="1:16">
      <c r="A71" s="64">
        <f t="shared" si="8"/>
        <v>57</v>
      </c>
      <c r="B71" s="133"/>
      <c r="C71" s="299" t="s">
        <v>384</v>
      </c>
      <c r="D71" s="299" t="s">
        <v>385</v>
      </c>
      <c r="E71" s="52"/>
      <c r="F71" s="52"/>
      <c r="G71" s="52"/>
      <c r="H71" s="52"/>
      <c r="I71" s="299" t="s">
        <v>386</v>
      </c>
      <c r="J71" s="133"/>
      <c r="K71" s="133"/>
      <c r="L71" s="133"/>
      <c r="M71" s="768"/>
      <c r="N71" s="768"/>
      <c r="O71" s="768"/>
      <c r="P71" s="768"/>
    </row>
    <row r="72" spans="1:16">
      <c r="A72" s="64">
        <f t="shared" si="8"/>
        <v>58</v>
      </c>
      <c r="B72" s="133"/>
      <c r="C72" s="133"/>
      <c r="D72" s="133"/>
      <c r="E72" s="133"/>
      <c r="F72" s="379"/>
      <c r="G72" s="133"/>
      <c r="H72" s="133"/>
      <c r="I72" s="133"/>
      <c r="J72" s="133"/>
      <c r="K72" s="227"/>
      <c r="L72" s="133"/>
      <c r="M72" s="768"/>
      <c r="N72" s="768"/>
      <c r="O72" s="768"/>
      <c r="P72" s="768"/>
    </row>
    <row r="73" spans="1:16">
      <c r="A73" s="64">
        <f t="shared" si="8"/>
        <v>59</v>
      </c>
      <c r="B73" s="133"/>
      <c r="C73" s="379" t="s">
        <v>329</v>
      </c>
      <c r="D73" s="133"/>
      <c r="E73" s="133"/>
      <c r="F73" s="379"/>
      <c r="G73" s="133"/>
      <c r="H73" s="133"/>
      <c r="I73" s="379" t="s">
        <v>331</v>
      </c>
      <c r="J73" s="133"/>
      <c r="K73" s="315"/>
      <c r="L73" s="133"/>
      <c r="M73" s="768"/>
      <c r="N73" s="768"/>
      <c r="O73" s="768"/>
      <c r="P73" s="768"/>
    </row>
    <row r="74" spans="1:16">
      <c r="A74" s="64">
        <f t="shared" si="8"/>
        <v>60</v>
      </c>
      <c r="B74" s="136" t="s">
        <v>387</v>
      </c>
      <c r="C74" s="379" t="s">
        <v>333</v>
      </c>
      <c r="D74" s="133"/>
      <c r="E74" s="133"/>
      <c r="F74" s="52"/>
      <c r="G74" s="133"/>
      <c r="H74" s="133"/>
      <c r="I74" s="379" t="s">
        <v>388</v>
      </c>
      <c r="J74" s="133"/>
      <c r="K74" s="768"/>
      <c r="L74" s="768"/>
      <c r="M74" s="768"/>
      <c r="N74" s="768"/>
      <c r="O74" s="768"/>
      <c r="P74" s="768"/>
    </row>
    <row r="75" spans="1:16" ht="15">
      <c r="A75" s="64">
        <f t="shared" si="8"/>
        <v>61</v>
      </c>
      <c r="B75" s="136" t="s">
        <v>343</v>
      </c>
      <c r="C75" s="379" t="s">
        <v>338</v>
      </c>
      <c r="D75" s="379" t="s">
        <v>389</v>
      </c>
      <c r="E75" s="379"/>
      <c r="F75" s="379"/>
      <c r="G75" s="379" t="s">
        <v>390</v>
      </c>
      <c r="H75" s="379"/>
      <c r="I75" s="379" t="s">
        <v>391</v>
      </c>
      <c r="J75" s="133"/>
      <c r="K75" s="768"/>
      <c r="L75" s="768"/>
      <c r="M75" s="768"/>
      <c r="N75" s="768"/>
      <c r="O75" s="768"/>
      <c r="P75" s="143"/>
    </row>
    <row r="76" spans="1:16" ht="15">
      <c r="A76" s="64">
        <f t="shared" si="8"/>
        <v>62</v>
      </c>
      <c r="B76" s="2" t="s">
        <v>342</v>
      </c>
      <c r="C76" s="2" t="s">
        <v>345</v>
      </c>
      <c r="D76" s="2" t="s">
        <v>338</v>
      </c>
      <c r="E76" s="2" t="s">
        <v>392</v>
      </c>
      <c r="F76" s="2" t="s">
        <v>393</v>
      </c>
      <c r="G76" s="2" t="s">
        <v>5</v>
      </c>
      <c r="H76" s="2" t="s">
        <v>389</v>
      </c>
      <c r="I76" s="2" t="s">
        <v>394</v>
      </c>
      <c r="J76" s="133"/>
      <c r="K76" s="144"/>
      <c r="L76" s="144"/>
      <c r="M76" s="144"/>
      <c r="N76" s="144"/>
      <c r="O76" s="144"/>
      <c r="P76" s="144"/>
    </row>
    <row r="77" spans="1:16">
      <c r="A77" s="64">
        <f t="shared" si="8"/>
        <v>63</v>
      </c>
      <c r="B77" s="149" t="s">
        <v>395</v>
      </c>
      <c r="C77" s="146">
        <v>95104408.189999998</v>
      </c>
      <c r="D77" s="146">
        <v>-15436886.380000001</v>
      </c>
      <c r="E77" s="146">
        <v>394408447.63999999</v>
      </c>
      <c r="F77" s="146">
        <v>356363745.16999996</v>
      </c>
      <c r="G77" s="146">
        <v>35830374.470000006</v>
      </c>
      <c r="H77" s="772">
        <v>41895108.759999998</v>
      </c>
      <c r="I77" s="135">
        <f>SUM(C77:H77)</f>
        <v>908165197.8499999</v>
      </c>
      <c r="J77" s="133"/>
      <c r="K77" s="29"/>
      <c r="L77" s="768"/>
      <c r="M77" s="5"/>
      <c r="N77" s="5"/>
      <c r="O77" s="5"/>
      <c r="P77" s="5"/>
    </row>
    <row r="78" spans="1:16">
      <c r="A78" s="64">
        <f t="shared" si="8"/>
        <v>64</v>
      </c>
      <c r="B78" s="149" t="s">
        <v>396</v>
      </c>
      <c r="C78" s="146">
        <v>79602859.120000005</v>
      </c>
      <c r="D78" s="146">
        <v>-13553246.030000001</v>
      </c>
      <c r="E78" s="146">
        <v>327720359.73000002</v>
      </c>
      <c r="F78" s="146">
        <v>305936497.2299999</v>
      </c>
      <c r="G78" s="146">
        <v>27202410.199999999</v>
      </c>
      <c r="H78" s="146">
        <v>28130529.219999999</v>
      </c>
      <c r="I78" s="135">
        <f t="shared" ref="I78:I87" si="9">SUM(C78:H78)</f>
        <v>755039409.47000003</v>
      </c>
      <c r="J78" s="133"/>
      <c r="K78" s="29"/>
      <c r="L78" s="768"/>
      <c r="M78" s="5"/>
      <c r="N78" s="5"/>
      <c r="O78" s="5"/>
      <c r="P78" s="5"/>
    </row>
    <row r="79" spans="1:16">
      <c r="A79" s="64">
        <f t="shared" si="8"/>
        <v>65</v>
      </c>
      <c r="B79" s="149" t="s">
        <v>397</v>
      </c>
      <c r="C79" s="146">
        <v>86953150.840000004</v>
      </c>
      <c r="D79" s="146">
        <v>-14725231.76</v>
      </c>
      <c r="E79" s="146">
        <v>362176856.46000004</v>
      </c>
      <c r="F79" s="146">
        <v>339214373.61000001</v>
      </c>
      <c r="G79" s="146">
        <v>27577647.559999999</v>
      </c>
      <c r="H79" s="146">
        <v>30890044.709999997</v>
      </c>
      <c r="I79" s="135">
        <f t="shared" si="9"/>
        <v>832086841.42000008</v>
      </c>
      <c r="J79" s="133"/>
      <c r="K79" s="29"/>
      <c r="L79" s="768"/>
      <c r="M79" s="5"/>
      <c r="N79" s="5"/>
      <c r="O79" s="5"/>
      <c r="P79" s="5"/>
    </row>
    <row r="80" spans="1:16">
      <c r="A80" s="64">
        <f t="shared" si="8"/>
        <v>66</v>
      </c>
      <c r="B80" s="149" t="s">
        <v>398</v>
      </c>
      <c r="C80" s="146">
        <v>115273321.78</v>
      </c>
      <c r="D80" s="146">
        <v>-19629777.620000001</v>
      </c>
      <c r="E80" s="146">
        <v>296971624.56</v>
      </c>
      <c r="F80" s="146">
        <v>431151607.36000001</v>
      </c>
      <c r="G80" s="146">
        <v>40167599.859999999</v>
      </c>
      <c r="H80" s="146">
        <v>40809099.189999998</v>
      </c>
      <c r="I80" s="135">
        <f t="shared" si="9"/>
        <v>904743475.13000011</v>
      </c>
      <c r="J80" s="133"/>
      <c r="K80" s="29"/>
      <c r="L80" s="768"/>
      <c r="M80" s="5"/>
      <c r="N80" s="5"/>
      <c r="O80" s="5"/>
      <c r="P80" s="5"/>
    </row>
    <row r="81" spans="1:16">
      <c r="A81" s="64">
        <f t="shared" si="8"/>
        <v>67</v>
      </c>
      <c r="B81" s="299" t="s">
        <v>356</v>
      </c>
      <c r="C81" s="146">
        <v>94769644.920000002</v>
      </c>
      <c r="D81" s="146">
        <v>-15898513.219999999</v>
      </c>
      <c r="E81" s="146">
        <v>384866021.73000002</v>
      </c>
      <c r="F81" s="146">
        <v>356635537.36999989</v>
      </c>
      <c r="G81" s="146">
        <v>32028188.039999999</v>
      </c>
      <c r="H81" s="146">
        <v>32742754.48</v>
      </c>
      <c r="I81" s="135">
        <f t="shared" si="9"/>
        <v>885143633.31999993</v>
      </c>
      <c r="J81" s="133"/>
      <c r="K81" s="29"/>
      <c r="L81" s="768"/>
      <c r="M81" s="5"/>
      <c r="N81" s="5"/>
      <c r="O81" s="5"/>
      <c r="P81" s="5"/>
    </row>
    <row r="82" spans="1:16">
      <c r="A82" s="64">
        <f t="shared" si="8"/>
        <v>68</v>
      </c>
      <c r="B82" s="149" t="s">
        <v>399</v>
      </c>
      <c r="C82" s="146">
        <v>97599706.280000001</v>
      </c>
      <c r="D82" s="146">
        <v>-13678335.359999999</v>
      </c>
      <c r="E82" s="146">
        <v>394530690.13999999</v>
      </c>
      <c r="F82" s="146">
        <v>518975288.88999999</v>
      </c>
      <c r="G82" s="146">
        <v>28864996.810000002</v>
      </c>
      <c r="H82" s="146">
        <v>34972169.960000001</v>
      </c>
      <c r="I82" s="135">
        <f t="shared" si="9"/>
        <v>1061264516.72</v>
      </c>
      <c r="J82" s="133"/>
      <c r="K82" s="29"/>
      <c r="L82" s="768"/>
      <c r="M82" s="5"/>
      <c r="N82" s="5"/>
      <c r="O82" s="5"/>
      <c r="P82" s="5"/>
    </row>
    <row r="83" spans="1:16">
      <c r="A83" s="64">
        <f t="shared" si="8"/>
        <v>69</v>
      </c>
      <c r="B83" s="149" t="s">
        <v>400</v>
      </c>
      <c r="C83" s="146">
        <v>121694630.16</v>
      </c>
      <c r="D83" s="146">
        <v>-13103769.020000001</v>
      </c>
      <c r="E83" s="146">
        <v>496963837.42000002</v>
      </c>
      <c r="F83" s="146">
        <v>792271882.48000002</v>
      </c>
      <c r="G83" s="146">
        <v>48301703.939999998</v>
      </c>
      <c r="H83" s="146">
        <v>43104256.270000003</v>
      </c>
      <c r="I83" s="135">
        <f t="shared" si="9"/>
        <v>1489232541.25</v>
      </c>
      <c r="J83" s="133"/>
      <c r="K83" s="29"/>
      <c r="L83" s="768"/>
      <c r="M83" s="5"/>
      <c r="N83" s="5"/>
      <c r="O83" s="5"/>
      <c r="P83" s="5"/>
    </row>
    <row r="84" spans="1:16">
      <c r="A84" s="64">
        <f t="shared" si="8"/>
        <v>70</v>
      </c>
      <c r="B84" s="149" t="s">
        <v>401</v>
      </c>
      <c r="C84" s="146">
        <v>172990909.44999999</v>
      </c>
      <c r="D84" s="146">
        <v>-20821053.43</v>
      </c>
      <c r="E84" s="146">
        <v>713976103.80000007</v>
      </c>
      <c r="F84" s="146">
        <v>1001538305.17</v>
      </c>
      <c r="G84" s="146">
        <v>96406085.359999999</v>
      </c>
      <c r="H84" s="146">
        <v>61391968.960000001</v>
      </c>
      <c r="I84" s="135">
        <f t="shared" si="9"/>
        <v>2025482319.3099999</v>
      </c>
      <c r="J84" s="133"/>
      <c r="K84" s="29"/>
      <c r="L84" s="768"/>
      <c r="M84" s="5"/>
      <c r="N84" s="5"/>
      <c r="O84" s="5"/>
      <c r="P84" s="5"/>
    </row>
    <row r="85" spans="1:16">
      <c r="A85" s="64">
        <f t="shared" si="8"/>
        <v>71</v>
      </c>
      <c r="B85" s="149" t="s">
        <v>402</v>
      </c>
      <c r="C85" s="146">
        <v>58038787.18</v>
      </c>
      <c r="D85" s="146">
        <v>-7370129.4700000007</v>
      </c>
      <c r="E85" s="146">
        <v>252619010.13999999</v>
      </c>
      <c r="F85" s="146">
        <v>193609090.60000002</v>
      </c>
      <c r="G85" s="146">
        <v>20049986.729999997</v>
      </c>
      <c r="H85" s="146">
        <v>21083038.09</v>
      </c>
      <c r="I85" s="135">
        <f t="shared" si="9"/>
        <v>538029783.26999998</v>
      </c>
      <c r="J85" s="133"/>
      <c r="K85" s="29"/>
      <c r="L85" s="768"/>
      <c r="M85" s="5"/>
      <c r="N85" s="5"/>
      <c r="O85" s="5"/>
      <c r="P85" s="5"/>
    </row>
    <row r="86" spans="1:16">
      <c r="A86" s="64">
        <f t="shared" si="8"/>
        <v>72</v>
      </c>
      <c r="B86" s="149" t="s">
        <v>403</v>
      </c>
      <c r="C86" s="146">
        <v>118998497.5</v>
      </c>
      <c r="D86" s="146">
        <v>-14529866.82</v>
      </c>
      <c r="E86" s="146">
        <v>244707477.36000001</v>
      </c>
      <c r="F86" s="146">
        <v>406478675.78999996</v>
      </c>
      <c r="G86" s="146">
        <v>39686155.170000002</v>
      </c>
      <c r="H86" s="146">
        <v>41418276.969999999</v>
      </c>
      <c r="I86" s="135">
        <f t="shared" si="9"/>
        <v>836759215.96999991</v>
      </c>
      <c r="J86" s="133"/>
      <c r="K86" s="29"/>
      <c r="L86" s="768"/>
      <c r="M86" s="5"/>
      <c r="N86" s="5"/>
      <c r="O86" s="5"/>
      <c r="P86" s="5"/>
    </row>
    <row r="87" spans="1:16">
      <c r="A87" s="64">
        <f t="shared" si="8"/>
        <v>73</v>
      </c>
      <c r="B87" s="149" t="s">
        <v>404</v>
      </c>
      <c r="C87" s="146">
        <v>63930367.600000001</v>
      </c>
      <c r="D87" s="146">
        <v>-9709464.3499999996</v>
      </c>
      <c r="E87" s="146">
        <v>319088081.52999997</v>
      </c>
      <c r="F87" s="146">
        <v>257129554.31</v>
      </c>
      <c r="G87" s="146">
        <v>20413845.940000001</v>
      </c>
      <c r="H87" s="146">
        <v>22443947.82</v>
      </c>
      <c r="I87" s="135">
        <f t="shared" si="9"/>
        <v>673296332.85000002</v>
      </c>
      <c r="J87" s="133"/>
      <c r="K87" s="29"/>
      <c r="L87" s="768"/>
      <c r="M87" s="5"/>
      <c r="N87" s="5"/>
      <c r="O87" s="5"/>
      <c r="P87" s="5"/>
    </row>
    <row r="88" spans="1:16">
      <c r="A88" s="64">
        <f t="shared" si="8"/>
        <v>74</v>
      </c>
      <c r="B88" s="149" t="s">
        <v>405</v>
      </c>
      <c r="C88" s="63">
        <v>98014769.019999996</v>
      </c>
      <c r="D88" s="63">
        <v>-9972889.6000000015</v>
      </c>
      <c r="E88" s="63">
        <v>407434974.09000003</v>
      </c>
      <c r="F88" s="63">
        <v>377906594.68000007</v>
      </c>
      <c r="G88" s="63">
        <v>33165011.509999998</v>
      </c>
      <c r="H88" s="63">
        <v>33501762.450000003</v>
      </c>
      <c r="I88" s="55">
        <f>SUM(C88:H88)</f>
        <v>940050222.1500001</v>
      </c>
      <c r="J88" s="133"/>
      <c r="K88" s="29"/>
      <c r="L88" s="768"/>
      <c r="M88" s="5"/>
      <c r="N88" s="5"/>
      <c r="O88" s="5"/>
      <c r="P88" s="55"/>
    </row>
    <row r="89" spans="1:16">
      <c r="A89" s="64">
        <f t="shared" si="8"/>
        <v>75</v>
      </c>
      <c r="B89" s="299" t="s">
        <v>406</v>
      </c>
      <c r="C89" s="135">
        <v>1202971052.04</v>
      </c>
      <c r="D89" s="135">
        <v>-168429163.05999997</v>
      </c>
      <c r="E89" s="135">
        <v>4595463484.6000004</v>
      </c>
      <c r="F89" s="135">
        <v>5337211152.6600008</v>
      </c>
      <c r="G89" s="135">
        <v>449694005.59000003</v>
      </c>
      <c r="H89" s="135">
        <v>432382956.88</v>
      </c>
      <c r="I89" s="135">
        <f t="shared" ref="I89" si="10">SUM(I77:I88)</f>
        <v>11849293488.709999</v>
      </c>
      <c r="J89" s="133"/>
      <c r="K89" s="768"/>
      <c r="L89" s="768"/>
      <c r="M89" s="768"/>
      <c r="N89" s="768"/>
      <c r="O89" s="768"/>
      <c r="P89" s="5"/>
    </row>
    <row r="90" spans="1:16">
      <c r="A90" s="64">
        <f t="shared" si="8"/>
        <v>76</v>
      </c>
      <c r="B90" s="133"/>
      <c r="C90" s="133"/>
      <c r="D90" s="133"/>
      <c r="E90" s="133"/>
      <c r="F90" s="133"/>
      <c r="G90" s="133"/>
      <c r="H90" s="296"/>
      <c r="I90" s="133"/>
      <c r="J90" s="133"/>
      <c r="K90" s="133"/>
      <c r="L90" s="133"/>
      <c r="M90" s="768"/>
      <c r="N90" s="768"/>
      <c r="O90" s="768"/>
      <c r="P90" s="768"/>
    </row>
    <row r="91" spans="1:16">
      <c r="A91" s="64">
        <f t="shared" si="8"/>
        <v>77</v>
      </c>
      <c r="B91" s="133"/>
      <c r="C91" s="133"/>
      <c r="D91" s="133"/>
      <c r="E91" s="133"/>
      <c r="F91" s="133"/>
      <c r="G91" s="133"/>
      <c r="H91" s="296" t="s">
        <v>407</v>
      </c>
      <c r="I91" s="772">
        <v>11849293489</v>
      </c>
      <c r="J91" s="133"/>
      <c r="K91" s="133"/>
      <c r="L91" s="133"/>
      <c r="M91" s="768"/>
      <c r="N91" s="768"/>
      <c r="O91" s="768"/>
      <c r="P91" s="768"/>
    </row>
    <row r="92" spans="1:16">
      <c r="A92" s="133"/>
      <c r="B92" s="133"/>
      <c r="C92" s="133"/>
      <c r="D92" s="133"/>
      <c r="E92" s="133"/>
      <c r="F92" s="133"/>
      <c r="G92" s="133"/>
      <c r="H92" s="133"/>
      <c r="I92" s="133"/>
      <c r="J92" s="133"/>
      <c r="K92" s="133"/>
      <c r="L92" s="133"/>
      <c r="M92" s="768"/>
      <c r="N92" s="768"/>
      <c r="O92" s="768"/>
      <c r="P92" s="768"/>
    </row>
    <row r="93" spans="1:16">
      <c r="A93" s="379"/>
      <c r="B93" s="25" t="s">
        <v>408</v>
      </c>
      <c r="C93" s="141"/>
      <c r="D93" s="141"/>
      <c r="E93" s="141"/>
      <c r="F93" s="141"/>
      <c r="G93" s="141"/>
      <c r="H93" s="141"/>
      <c r="I93" s="137"/>
      <c r="J93" s="141"/>
      <c r="K93" s="141"/>
      <c r="L93" s="133"/>
      <c r="M93" s="768"/>
      <c r="N93" s="768"/>
      <c r="O93" s="768"/>
      <c r="P93" s="768"/>
    </row>
    <row r="94" spans="1:16">
      <c r="A94" s="379"/>
      <c r="B94" s="297" t="str">
        <f>"1) Enter applicable years on Column 1, Lines "&amp;A24&amp;"-"&amp;A36&amp;" (Prior Year and December of the year previous to the Prior Year)."</f>
        <v>1) Enter applicable years on Column 1, Lines 11-23 (Prior Year and December of the year previous to the Prior Year).</v>
      </c>
      <c r="C94" s="141"/>
      <c r="D94" s="141"/>
      <c r="E94" s="141"/>
      <c r="F94" s="141"/>
      <c r="G94" s="141"/>
      <c r="H94" s="141"/>
      <c r="I94" s="141"/>
      <c r="J94" s="141"/>
      <c r="K94" s="141"/>
      <c r="L94" s="133"/>
      <c r="M94" s="768"/>
      <c r="N94" s="768"/>
      <c r="O94" s="768"/>
      <c r="P94" s="768"/>
    </row>
    <row r="95" spans="1:16">
      <c r="A95" s="379"/>
      <c r="B95" s="297" t="str">
        <f>"2) Enter Previous Annual Update True Up Adjustment (if any) on Line "&amp;A41&amp;"."</f>
        <v>2) Enter Previous Annual Update True Up Adjustment (if any) on Line 27.</v>
      </c>
      <c r="C95" s="141"/>
      <c r="D95" s="141"/>
      <c r="E95" s="141"/>
      <c r="F95" s="141"/>
      <c r="G95" s="141"/>
      <c r="H95" s="141"/>
      <c r="I95" s="141"/>
      <c r="J95" s="141"/>
      <c r="K95" s="141"/>
      <c r="L95" s="133"/>
      <c r="M95" s="768"/>
      <c r="N95" s="768"/>
      <c r="O95" s="768"/>
      <c r="P95" s="768"/>
    </row>
    <row r="96" spans="1:16">
      <c r="A96" s="379"/>
      <c r="B96" s="843" t="s">
        <v>409</v>
      </c>
      <c r="C96" s="141"/>
      <c r="D96" s="141"/>
      <c r="E96" s="141"/>
      <c r="F96" s="141"/>
      <c r="G96" s="141"/>
      <c r="H96" s="141"/>
      <c r="I96" s="141"/>
      <c r="J96" s="141"/>
      <c r="K96" s="141"/>
      <c r="L96" s="133"/>
      <c r="M96" s="768"/>
      <c r="N96" s="768"/>
      <c r="O96" s="768"/>
      <c r="P96" s="768"/>
    </row>
    <row r="97" spans="1:12">
      <c r="A97" s="379"/>
      <c r="B97" s="297" t="s">
        <v>410</v>
      </c>
      <c r="C97" s="141"/>
      <c r="D97" s="141"/>
      <c r="E97" s="141"/>
      <c r="F97" s="141"/>
      <c r="G97" s="141"/>
      <c r="H97" s="141"/>
      <c r="I97" s="141"/>
      <c r="J97" s="141"/>
      <c r="K97" s="141"/>
      <c r="L97" s="133"/>
    </row>
    <row r="98" spans="1:12">
      <c r="A98" s="379"/>
      <c r="B98" s="672" t="str">
        <f>"18 C.F.R. §35.19a on lines "&amp;A25&amp;" to "&amp;A36&amp;", Column 6."</f>
        <v>18 C.F.R. §35.19a on lines 12 to 23, Column 6.</v>
      </c>
      <c r="C98" s="141"/>
      <c r="D98" s="141"/>
      <c r="E98" s="141"/>
      <c r="F98" s="141"/>
      <c r="G98" s="141"/>
      <c r="H98" s="141"/>
      <c r="I98" s="141"/>
      <c r="J98" s="141"/>
      <c r="K98" s="141"/>
      <c r="L98" s="133"/>
    </row>
    <row r="99" spans="1:12">
      <c r="A99" s="379"/>
      <c r="B99" s="297" t="s">
        <v>411</v>
      </c>
      <c r="C99" s="141"/>
      <c r="D99" s="141"/>
      <c r="E99" s="141"/>
      <c r="F99" s="141"/>
      <c r="G99" s="141"/>
      <c r="H99" s="141"/>
      <c r="I99" s="141"/>
      <c r="J99" s="141"/>
      <c r="K99" s="141"/>
      <c r="L99" s="133"/>
    </row>
    <row r="100" spans="1:12">
      <c r="A100" s="379"/>
      <c r="B100" s="282" t="s">
        <v>412</v>
      </c>
      <c r="C100" s="141"/>
      <c r="D100" s="141"/>
      <c r="E100" s="141"/>
      <c r="F100" s="141"/>
      <c r="G100" s="141"/>
      <c r="H100" s="141"/>
      <c r="I100" s="141"/>
      <c r="J100" s="141"/>
      <c r="K100" s="141"/>
      <c r="L100" s="133"/>
    </row>
    <row r="101" spans="1:12">
      <c r="A101" s="379"/>
      <c r="B101" s="674" t="s">
        <v>413</v>
      </c>
      <c r="C101" s="141"/>
      <c r="D101" s="141"/>
      <c r="E101" s="141"/>
      <c r="F101" s="141"/>
      <c r="G101" s="141"/>
      <c r="H101" s="141"/>
      <c r="I101" s="141"/>
      <c r="J101" s="141"/>
      <c r="K101" s="141"/>
      <c r="L101" s="768"/>
    </row>
    <row r="102" spans="1:12">
      <c r="A102" s="379"/>
      <c r="B102" s="844" t="s">
        <v>414</v>
      </c>
      <c r="C102" s="141"/>
      <c r="D102" s="141"/>
      <c r="E102" s="141"/>
      <c r="F102" s="141"/>
      <c r="G102" s="141"/>
      <c r="H102" s="141"/>
      <c r="I102" s="141"/>
      <c r="J102" s="141"/>
      <c r="K102" s="141"/>
      <c r="L102" s="133"/>
    </row>
    <row r="103" spans="1:12">
      <c r="A103" s="379"/>
      <c r="B103" s="844" t="str">
        <f>"Entering on Line "&amp;A25&amp;" (or other appropriate) ensures these One Time Adjustments are recovered from or returned to customers."</f>
        <v>Entering on Line 12 (or other appropriate) ensures these One Time Adjustments are recovered from or returned to customers.</v>
      </c>
      <c r="C103" s="10"/>
      <c r="D103" s="141"/>
      <c r="E103" s="141"/>
      <c r="F103" s="141"/>
      <c r="G103" s="141"/>
      <c r="H103" s="141"/>
      <c r="I103" s="141"/>
      <c r="J103" s="141"/>
      <c r="K103" s="141"/>
      <c r="L103" s="133"/>
    </row>
    <row r="104" spans="1:12">
      <c r="A104" s="379"/>
      <c r="B104" s="674" t="s">
        <v>415</v>
      </c>
      <c r="C104" s="141"/>
      <c r="D104" s="141"/>
      <c r="E104" s="141"/>
      <c r="F104" s="141"/>
      <c r="G104" s="141"/>
      <c r="H104" s="141"/>
      <c r="I104" s="141"/>
      <c r="J104" s="141"/>
      <c r="K104" s="141"/>
      <c r="L104" s="133"/>
    </row>
    <row r="105" spans="1:12">
      <c r="A105" s="379"/>
      <c r="B105" s="674" t="s">
        <v>416</v>
      </c>
      <c r="C105" s="141"/>
      <c r="D105" s="141"/>
      <c r="E105" s="141"/>
      <c r="F105" s="141"/>
      <c r="G105" s="141"/>
      <c r="H105" s="141"/>
      <c r="I105" s="141"/>
      <c r="J105" s="141"/>
      <c r="K105" s="141"/>
      <c r="L105" s="133"/>
    </row>
    <row r="106" spans="1:12">
      <c r="A106" s="379"/>
      <c r="B106" s="297" t="str">
        <f>"5) Fill in matrix of all retail revenues from Prior Year in table on lines "&amp;A77&amp;" to "&amp;A88&amp;"."</f>
        <v>5) Fill in matrix of all retail revenues from Prior Year in table on lines 63 to 74.</v>
      </c>
      <c r="C106" s="141"/>
      <c r="D106" s="141"/>
      <c r="E106" s="141"/>
      <c r="F106" s="141"/>
      <c r="G106" s="141"/>
      <c r="H106" s="141"/>
      <c r="I106" s="141"/>
      <c r="J106" s="141"/>
      <c r="K106" s="141"/>
      <c r="L106" s="133"/>
    </row>
    <row r="107" spans="1:12">
      <c r="A107" s="379"/>
      <c r="B107" s="297" t="str">
        <f>"6) Enter Total Sales to Ultimate Consumers on line "&amp;A91&amp;" and verify that it equals the total on line "&amp;A89&amp;"."</f>
        <v>6) Enter Total Sales to Ultimate Consumers on line 77 and verify that it equals the total on line 75.</v>
      </c>
      <c r="C107" s="141"/>
      <c r="D107" s="141"/>
      <c r="E107" s="141"/>
      <c r="F107" s="141"/>
      <c r="G107" s="141"/>
      <c r="H107" s="141"/>
      <c r="I107" s="141"/>
      <c r="J107" s="141"/>
      <c r="K107" s="141"/>
      <c r="L107" s="133"/>
    </row>
    <row r="108" spans="1:12">
      <c r="A108" s="379"/>
      <c r="B108" s="297" t="s">
        <v>417</v>
      </c>
      <c r="C108" s="141"/>
      <c r="D108" s="141"/>
      <c r="E108" s="141"/>
      <c r="F108" s="141"/>
      <c r="G108" s="141"/>
      <c r="H108" s="141"/>
      <c r="I108" s="141"/>
      <c r="J108" s="141"/>
      <c r="K108" s="141"/>
      <c r="L108" s="133"/>
    </row>
    <row r="109" spans="1:12" s="10" customFormat="1">
      <c r="A109" s="64"/>
      <c r="B109" s="672" t="s">
        <v>418</v>
      </c>
      <c r="C109" s="141"/>
      <c r="D109" s="141"/>
      <c r="E109" s="141"/>
      <c r="F109" s="141"/>
      <c r="G109" s="141"/>
      <c r="H109" s="141"/>
      <c r="I109" s="141"/>
      <c r="J109" s="141"/>
      <c r="K109" s="141"/>
      <c r="L109" s="141"/>
    </row>
    <row r="110" spans="1:12">
      <c r="A110" s="379"/>
      <c r="B110" s="663" t="s">
        <v>226</v>
      </c>
      <c r="C110" s="141"/>
      <c r="D110" s="141"/>
      <c r="E110" s="141"/>
      <c r="F110" s="141"/>
      <c r="G110" s="141"/>
      <c r="H110" s="141"/>
      <c r="I110" s="141"/>
      <c r="J110" s="141"/>
      <c r="K110" s="141"/>
      <c r="L110" s="133"/>
    </row>
    <row r="111" spans="1:12">
      <c r="A111" s="379"/>
      <c r="B111" s="302" t="s">
        <v>419</v>
      </c>
      <c r="C111" s="141"/>
      <c r="D111" s="141"/>
      <c r="E111" s="141"/>
      <c r="F111" s="141"/>
      <c r="G111" s="141"/>
      <c r="H111" s="141"/>
      <c r="I111" s="141"/>
      <c r="J111" s="141"/>
      <c r="K111" s="141"/>
      <c r="L111" s="133"/>
    </row>
    <row r="112" spans="1:12">
      <c r="A112" s="379"/>
      <c r="B112" s="845" t="s">
        <v>420</v>
      </c>
      <c r="C112" s="141"/>
      <c r="D112" s="141"/>
      <c r="E112" s="141"/>
      <c r="F112" s="141"/>
      <c r="G112" s="141"/>
      <c r="H112" s="141"/>
      <c r="I112" s="141"/>
      <c r="J112" s="141"/>
      <c r="K112" s="141"/>
      <c r="L112" s="133"/>
    </row>
    <row r="113" spans="1:12">
      <c r="A113" s="379"/>
      <c r="B113" s="843"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3" s="141"/>
      <c r="D113" s="141"/>
      <c r="E113" s="141"/>
      <c r="F113" s="141"/>
      <c r="G113" s="141"/>
      <c r="H113" s="141"/>
      <c r="I113" s="141"/>
      <c r="J113" s="141"/>
      <c r="K113" s="141"/>
      <c r="L113" s="133"/>
    </row>
    <row r="114" spans="1:12">
      <c r="A114" s="379"/>
      <c r="B114" s="843" t="str">
        <f>"Only enter in the Prior Year, Lines "&amp;A25&amp;" to "&amp;A36&amp;", or portion of year formula was in effect in case of Partial Year True Up."</f>
        <v>Only enter in the Prior Year, Lines 12 to 23, or portion of year formula was in effect in case of Partial Year True Up.</v>
      </c>
      <c r="C114" s="141"/>
      <c r="D114" s="141"/>
      <c r="E114" s="141"/>
      <c r="F114" s="141"/>
      <c r="G114" s="141"/>
      <c r="H114" s="141"/>
      <c r="I114" s="141"/>
      <c r="J114" s="141"/>
      <c r="K114" s="141"/>
      <c r="L114" s="133"/>
    </row>
    <row r="115" spans="1:12">
      <c r="A115" s="379"/>
      <c r="B115" s="843" t="s">
        <v>421</v>
      </c>
      <c r="C115" s="141"/>
      <c r="D115" s="141"/>
      <c r="E115" s="141"/>
      <c r="F115" s="141"/>
      <c r="G115" s="141"/>
      <c r="H115" s="141"/>
      <c r="I115" s="141"/>
      <c r="J115" s="141"/>
      <c r="K115" s="141"/>
      <c r="L115" s="133"/>
    </row>
    <row r="116" spans="1:12">
      <c r="A116" s="379"/>
      <c r="B116" s="845" t="s">
        <v>422</v>
      </c>
      <c r="C116" s="141"/>
      <c r="D116" s="141"/>
      <c r="E116" s="141"/>
      <c r="F116" s="141"/>
      <c r="G116" s="141"/>
      <c r="H116" s="141"/>
      <c r="I116" s="141"/>
      <c r="J116" s="141"/>
      <c r="K116" s="141"/>
      <c r="L116" s="133"/>
    </row>
    <row r="117" spans="1:12">
      <c r="A117" s="379"/>
      <c r="B117" s="843" t="str">
        <f>"as shown on Lines "&amp;A77&amp;" to "&amp;A88&amp;", Column 1."</f>
        <v>as shown on Lines 63 to 74, Column 1.</v>
      </c>
      <c r="C117" s="141"/>
      <c r="D117" s="141"/>
      <c r="E117" s="141"/>
      <c r="F117" s="141"/>
      <c r="G117" s="141"/>
      <c r="H117" s="141"/>
      <c r="I117" s="141"/>
      <c r="J117" s="141"/>
      <c r="K117" s="141"/>
      <c r="L117" s="133"/>
    </row>
    <row r="118" spans="1:12">
      <c r="A118" s="379"/>
      <c r="B118" s="845" t="s">
        <v>423</v>
      </c>
      <c r="C118" s="141"/>
      <c r="D118" s="141"/>
      <c r="E118" s="141"/>
      <c r="F118" s="141"/>
      <c r="G118" s="141"/>
      <c r="H118" s="141"/>
      <c r="I118" s="141"/>
      <c r="J118" s="141"/>
      <c r="K118" s="141"/>
      <c r="L118" s="133"/>
    </row>
    <row r="119" spans="1:12">
      <c r="A119" s="379"/>
      <c r="B119" s="845" t="s">
        <v>424</v>
      </c>
      <c r="C119" s="141"/>
      <c r="D119" s="141"/>
      <c r="E119" s="141"/>
      <c r="F119" s="141"/>
      <c r="G119" s="141"/>
      <c r="H119" s="141"/>
      <c r="I119" s="141"/>
      <c r="J119" s="141"/>
      <c r="K119" s="141"/>
      <c r="L119" s="133"/>
    </row>
    <row r="120" spans="1:12">
      <c r="A120" s="379"/>
      <c r="B120" s="297" t="s">
        <v>425</v>
      </c>
      <c r="C120" s="141"/>
      <c r="D120" s="141"/>
      <c r="E120" s="141"/>
      <c r="F120" s="141"/>
      <c r="G120" s="141"/>
      <c r="H120" s="141"/>
      <c r="I120" s="141"/>
      <c r="J120" s="141"/>
      <c r="K120" s="141"/>
      <c r="L120" s="133"/>
    </row>
    <row r="121" spans="1:12">
      <c r="A121" s="379"/>
      <c r="B121" s="672" t="s">
        <v>426</v>
      </c>
      <c r="C121" s="141"/>
      <c r="D121" s="141"/>
      <c r="E121" s="141"/>
      <c r="F121" s="141"/>
      <c r="G121" s="141"/>
      <c r="H121" s="141"/>
      <c r="I121" s="141"/>
      <c r="J121" s="141"/>
      <c r="K121" s="141"/>
      <c r="L121" s="133"/>
    </row>
    <row r="122" spans="1:12">
      <c r="A122" s="379"/>
      <c r="B122" s="297" t="s">
        <v>427</v>
      </c>
      <c r="C122" s="141"/>
      <c r="D122" s="141"/>
      <c r="E122" s="141"/>
      <c r="F122" s="141"/>
      <c r="G122" s="141"/>
      <c r="H122" s="141"/>
      <c r="I122" s="141"/>
      <c r="J122" s="141"/>
      <c r="K122" s="141"/>
      <c r="L122" s="141"/>
    </row>
    <row r="123" spans="1:12">
      <c r="A123" s="379"/>
      <c r="B123" s="673" t="s">
        <v>428</v>
      </c>
      <c r="C123" s="141"/>
      <c r="D123" s="141"/>
      <c r="E123" s="141"/>
      <c r="F123" s="141"/>
      <c r="G123" s="141"/>
      <c r="H123" s="141"/>
      <c r="I123" s="141"/>
      <c r="J123" s="141"/>
      <c r="K123" s="141"/>
      <c r="L123" s="141"/>
    </row>
    <row r="124" spans="1:12">
      <c r="A124" s="379"/>
      <c r="B124" s="297" t="s">
        <v>429</v>
      </c>
      <c r="C124" s="141"/>
      <c r="D124" s="141"/>
      <c r="E124" s="141"/>
      <c r="F124" s="141"/>
      <c r="G124" s="141"/>
      <c r="H124" s="141"/>
      <c r="I124" s="141"/>
      <c r="J124" s="141"/>
      <c r="K124" s="141"/>
      <c r="L124" s="133"/>
    </row>
    <row r="125" spans="1:12">
      <c r="A125" s="379"/>
      <c r="B125" s="297" t="s">
        <v>430</v>
      </c>
      <c r="C125" s="141"/>
      <c r="D125" s="141"/>
      <c r="E125" s="141"/>
      <c r="F125" s="141"/>
      <c r="G125" s="141"/>
      <c r="H125" s="141"/>
      <c r="I125" s="141"/>
      <c r="J125" s="141"/>
      <c r="K125" s="141"/>
      <c r="L125" s="133"/>
    </row>
    <row r="126" spans="1:12">
      <c r="A126" s="379"/>
      <c r="B126" s="672" t="s">
        <v>431</v>
      </c>
      <c r="C126" s="141"/>
      <c r="D126" s="141"/>
      <c r="E126" s="141"/>
      <c r="F126" s="141"/>
      <c r="G126" s="141"/>
      <c r="H126" s="141"/>
      <c r="I126" s="141"/>
      <c r="J126" s="141"/>
      <c r="K126" s="141"/>
      <c r="L126" s="133"/>
    </row>
    <row r="127" spans="1:12">
      <c r="A127" s="379"/>
      <c r="B127" s="672" t="s">
        <v>432</v>
      </c>
      <c r="C127" s="141"/>
      <c r="D127" s="141"/>
      <c r="E127" s="141"/>
      <c r="F127" s="141"/>
      <c r="G127" s="141"/>
      <c r="H127" s="141"/>
      <c r="I127" s="141"/>
      <c r="J127" s="141"/>
      <c r="K127" s="141"/>
      <c r="L127" s="133"/>
    </row>
    <row r="128" spans="1:12">
      <c r="A128" s="379"/>
      <c r="B128" s="672" t="s">
        <v>433</v>
      </c>
      <c r="C128" s="141"/>
      <c r="D128" s="141"/>
      <c r="E128" s="141"/>
      <c r="F128" s="141"/>
      <c r="G128" s="141"/>
      <c r="H128" s="141"/>
      <c r="I128" s="141"/>
      <c r="J128" s="141"/>
      <c r="K128" s="141"/>
      <c r="L128" s="133"/>
    </row>
    <row r="129" spans="1:12">
      <c r="A129" s="379"/>
      <c r="B129" s="297" t="s">
        <v>434</v>
      </c>
      <c r="C129" s="141"/>
      <c r="D129" s="141"/>
      <c r="E129" s="141"/>
      <c r="F129" s="141"/>
      <c r="G129" s="141"/>
      <c r="H129" s="141"/>
      <c r="I129" s="141"/>
      <c r="J129" s="141"/>
      <c r="K129" s="141"/>
      <c r="L129" s="133"/>
    </row>
    <row r="130" spans="1:12">
      <c r="A130" s="379"/>
      <c r="B130" s="672" t="s">
        <v>435</v>
      </c>
      <c r="C130" s="141"/>
      <c r="D130" s="141"/>
      <c r="E130" s="141"/>
      <c r="F130" s="141"/>
      <c r="G130" s="141"/>
      <c r="H130" s="141"/>
      <c r="I130" s="141"/>
      <c r="J130" s="141"/>
      <c r="K130" s="141"/>
      <c r="L130" s="133"/>
    </row>
    <row r="131" spans="1:12">
      <c r="A131" s="379"/>
      <c r="B131" s="672" t="s">
        <v>436</v>
      </c>
      <c r="C131" s="141"/>
      <c r="D131" s="141"/>
      <c r="E131" s="141"/>
      <c r="F131" s="141"/>
      <c r="G131" s="141"/>
      <c r="H131" s="141"/>
      <c r="I131" s="141"/>
      <c r="J131" s="141"/>
      <c r="K131" s="141"/>
      <c r="L131" s="133"/>
    </row>
    <row r="132" spans="1:12">
      <c r="A132" s="133"/>
      <c r="B132" s="672" t="s">
        <v>437</v>
      </c>
      <c r="C132" s="141"/>
      <c r="D132" s="141"/>
      <c r="E132" s="141"/>
      <c r="F132" s="141"/>
      <c r="G132" s="141"/>
      <c r="H132" s="141"/>
      <c r="I132" s="141"/>
      <c r="J132" s="141"/>
      <c r="K132" s="141"/>
      <c r="L132" s="133"/>
    </row>
    <row r="133" spans="1:12">
      <c r="A133" s="133"/>
      <c r="B133" s="672" t="s">
        <v>438</v>
      </c>
      <c r="C133" s="141"/>
      <c r="D133" s="141"/>
      <c r="E133" s="141"/>
      <c r="F133" s="141"/>
      <c r="G133" s="141"/>
      <c r="H133" s="141"/>
      <c r="I133" s="141"/>
      <c r="J133" s="141"/>
      <c r="K133" s="141"/>
      <c r="L133" s="133"/>
    </row>
    <row r="134" spans="1:12">
      <c r="A134" s="133"/>
      <c r="B134" s="297"/>
      <c r="C134" s="141"/>
      <c r="D134" s="141"/>
      <c r="E134" s="141"/>
      <c r="F134" s="141"/>
      <c r="G134" s="141"/>
      <c r="H134" s="141"/>
      <c r="I134" s="141"/>
      <c r="J134" s="141"/>
      <c r="K134" s="141"/>
      <c r="L134" s="133"/>
    </row>
    <row r="135" spans="1:12">
      <c r="A135" s="133"/>
      <c r="B135" s="672"/>
      <c r="C135" s="141"/>
      <c r="D135" s="141"/>
      <c r="E135" s="141"/>
      <c r="F135" s="141"/>
      <c r="G135" s="141"/>
      <c r="H135" s="141"/>
      <c r="I135" s="141"/>
      <c r="J135" s="141"/>
      <c r="K135" s="141"/>
      <c r="L135" s="133"/>
    </row>
    <row r="136" spans="1:12">
      <c r="A136" s="133"/>
      <c r="B136" s="672"/>
      <c r="C136" s="141"/>
      <c r="D136" s="141"/>
      <c r="E136" s="141"/>
      <c r="F136" s="141"/>
      <c r="G136" s="141"/>
      <c r="H136" s="141"/>
      <c r="I136" s="141"/>
      <c r="J136" s="141"/>
      <c r="K136" s="141"/>
      <c r="L136" s="133"/>
    </row>
    <row r="137" spans="1:12">
      <c r="A137" s="133"/>
      <c r="B137" s="672"/>
      <c r="C137" s="141"/>
      <c r="D137" s="141"/>
      <c r="E137" s="141"/>
      <c r="F137" s="141"/>
      <c r="G137" s="141"/>
      <c r="H137" s="141"/>
      <c r="I137" s="141"/>
      <c r="J137" s="141"/>
      <c r="K137" s="141"/>
      <c r="L137" s="133"/>
    </row>
    <row r="138" spans="1:12">
      <c r="A138" s="133"/>
      <c r="B138" s="297"/>
      <c r="C138" s="141"/>
      <c r="D138" s="141"/>
      <c r="E138" s="141"/>
      <c r="F138" s="141"/>
      <c r="G138" s="141"/>
      <c r="H138" s="141"/>
      <c r="I138" s="141"/>
      <c r="J138" s="141"/>
      <c r="K138" s="141"/>
      <c r="L138" s="133"/>
    </row>
    <row r="139" spans="1:12">
      <c r="A139" s="133"/>
      <c r="B139" s="672"/>
      <c r="C139" s="141"/>
      <c r="D139" s="141"/>
      <c r="E139" s="141"/>
      <c r="F139" s="141"/>
      <c r="G139" s="141"/>
      <c r="H139" s="141"/>
      <c r="I139" s="141"/>
      <c r="J139" s="141"/>
      <c r="K139" s="141"/>
      <c r="L139" s="133"/>
    </row>
    <row r="140" spans="1:12">
      <c r="A140" s="133"/>
      <c r="B140" s="672"/>
      <c r="C140" s="141"/>
      <c r="D140" s="141"/>
      <c r="E140" s="141"/>
      <c r="F140" s="141"/>
      <c r="G140" s="141"/>
      <c r="H140" s="141"/>
      <c r="I140" s="141"/>
      <c r="J140" s="141"/>
      <c r="K140" s="141"/>
      <c r="L140" s="133"/>
    </row>
    <row r="141" spans="1:12">
      <c r="A141" s="133"/>
      <c r="B141" s="672"/>
      <c r="C141" s="141"/>
      <c r="D141" s="141"/>
      <c r="E141" s="141"/>
      <c r="F141" s="141"/>
      <c r="G141" s="141"/>
      <c r="H141" s="141"/>
      <c r="I141" s="141"/>
      <c r="J141" s="141"/>
      <c r="K141" s="141"/>
      <c r="L141" s="133"/>
    </row>
    <row r="142" spans="1:12">
      <c r="A142" s="133"/>
      <c r="B142" s="672"/>
      <c r="C142" s="141"/>
      <c r="D142" s="141"/>
      <c r="E142" s="141"/>
      <c r="F142" s="141"/>
      <c r="G142" s="141"/>
      <c r="H142" s="141"/>
      <c r="I142" s="141"/>
      <c r="J142" s="141"/>
      <c r="K142" s="141"/>
      <c r="L142" s="133"/>
    </row>
    <row r="143" spans="1:12">
      <c r="A143" s="133"/>
      <c r="B143" s="768"/>
      <c r="C143" s="133"/>
      <c r="D143" s="133"/>
      <c r="E143" s="133"/>
      <c r="F143" s="133"/>
      <c r="G143" s="133"/>
      <c r="H143" s="133"/>
      <c r="I143" s="133"/>
      <c r="J143" s="133"/>
      <c r="K143" s="133"/>
      <c r="L143" s="133"/>
    </row>
    <row r="144" spans="1:12">
      <c r="A144" s="133"/>
      <c r="B144" s="133"/>
      <c r="C144" s="133"/>
      <c r="D144" s="133"/>
      <c r="E144" s="133"/>
      <c r="F144" s="133"/>
      <c r="G144" s="133"/>
      <c r="H144" s="133"/>
      <c r="I144" s="133"/>
      <c r="J144" s="133"/>
      <c r="K144" s="133"/>
      <c r="L144" s="133"/>
    </row>
    <row r="145" spans="1:12">
      <c r="A145" s="133"/>
      <c r="B145" s="133"/>
      <c r="C145" s="133"/>
      <c r="D145" s="133"/>
      <c r="E145" s="133"/>
      <c r="F145" s="133"/>
      <c r="G145" s="133"/>
      <c r="H145" s="133"/>
      <c r="I145" s="133"/>
      <c r="J145" s="133"/>
      <c r="K145" s="133"/>
      <c r="L145" s="133"/>
    </row>
    <row r="146" spans="1:12">
      <c r="A146" s="133"/>
      <c r="B146" s="133"/>
      <c r="C146" s="133"/>
      <c r="D146" s="133"/>
      <c r="E146" s="133"/>
      <c r="F146" s="133"/>
      <c r="G146" s="133"/>
      <c r="H146" s="133"/>
      <c r="I146" s="133"/>
      <c r="J146" s="133"/>
      <c r="K146" s="133"/>
      <c r="L146" s="133"/>
    </row>
    <row r="147" spans="1:12">
      <c r="A147" s="133"/>
      <c r="B147" s="133"/>
      <c r="C147" s="133"/>
      <c r="D147" s="133"/>
      <c r="E147" s="133"/>
      <c r="F147" s="133"/>
      <c r="G147" s="133"/>
      <c r="H147" s="133"/>
      <c r="I147" s="133"/>
      <c r="J147" s="133"/>
      <c r="K147" s="133"/>
      <c r="L147" s="133"/>
    </row>
    <row r="148" spans="1:12">
      <c r="A148" s="133"/>
      <c r="B148" s="133"/>
      <c r="C148" s="133"/>
      <c r="D148" s="133"/>
      <c r="E148" s="133"/>
      <c r="F148" s="133"/>
      <c r="G148" s="133"/>
      <c r="H148" s="133"/>
      <c r="I148" s="133"/>
      <c r="J148" s="133"/>
      <c r="K148" s="133"/>
      <c r="L148" s="133"/>
    </row>
    <row r="149" spans="1:12">
      <c r="A149" s="133"/>
      <c r="B149" s="133"/>
      <c r="C149" s="133"/>
      <c r="D149" s="133"/>
      <c r="E149" s="133"/>
      <c r="F149" s="133"/>
      <c r="G149" s="133"/>
      <c r="H149" s="133"/>
      <c r="I149" s="133"/>
      <c r="J149" s="133"/>
      <c r="K149" s="133"/>
      <c r="L149" s="133"/>
    </row>
    <row r="150" spans="1:12">
      <c r="A150" s="133"/>
      <c r="B150" s="133"/>
      <c r="C150" s="133"/>
      <c r="D150" s="133"/>
      <c r="E150" s="133"/>
      <c r="F150" s="133"/>
      <c r="G150" s="133"/>
      <c r="H150" s="133"/>
      <c r="I150" s="133"/>
      <c r="J150" s="133"/>
      <c r="K150" s="133"/>
      <c r="L150" s="133"/>
    </row>
    <row r="151" spans="1:12">
      <c r="A151" s="133"/>
      <c r="B151" s="133"/>
      <c r="C151" s="133"/>
      <c r="D151" s="133"/>
      <c r="E151" s="133"/>
      <c r="F151" s="133"/>
      <c r="G151" s="133"/>
      <c r="H151" s="133"/>
      <c r="I151" s="133"/>
      <c r="J151" s="133"/>
      <c r="K151" s="133"/>
      <c r="L151" s="133"/>
    </row>
    <row r="152" spans="1:12">
      <c r="A152" s="133"/>
      <c r="B152" s="133"/>
      <c r="C152" s="133"/>
      <c r="D152" s="133"/>
      <c r="E152" s="133"/>
      <c r="F152" s="133"/>
      <c r="G152" s="133"/>
      <c r="H152" s="133"/>
      <c r="I152" s="133"/>
      <c r="J152" s="133"/>
      <c r="K152" s="133"/>
      <c r="L152" s="133"/>
    </row>
    <row r="153" spans="1:12">
      <c r="A153" s="133"/>
      <c r="B153" s="133"/>
      <c r="C153" s="133"/>
      <c r="D153" s="133"/>
      <c r="E153" s="133"/>
      <c r="F153" s="133"/>
      <c r="G153" s="133"/>
      <c r="H153" s="133"/>
      <c r="I153" s="133"/>
      <c r="J153" s="133"/>
      <c r="K153" s="133"/>
      <c r="L153" s="133"/>
    </row>
    <row r="154" spans="1:12">
      <c r="A154" s="133"/>
      <c r="B154" s="133"/>
      <c r="C154" s="133"/>
      <c r="D154" s="133"/>
      <c r="E154" s="133"/>
      <c r="F154" s="133"/>
      <c r="G154" s="133"/>
      <c r="H154" s="133"/>
      <c r="I154" s="133"/>
      <c r="J154" s="133"/>
      <c r="K154" s="133"/>
      <c r="L154" s="133"/>
    </row>
    <row r="155" spans="1:12">
      <c r="A155" s="133"/>
      <c r="B155" s="133"/>
      <c r="C155" s="133"/>
      <c r="D155" s="133"/>
      <c r="E155" s="133"/>
      <c r="F155" s="133"/>
      <c r="G155" s="133"/>
      <c r="H155" s="133"/>
      <c r="I155" s="133"/>
      <c r="J155" s="133"/>
      <c r="K155" s="133"/>
      <c r="L155" s="133"/>
    </row>
    <row r="156" spans="1:12">
      <c r="A156" s="133"/>
      <c r="B156" s="133"/>
      <c r="C156" s="133"/>
      <c r="D156" s="133"/>
      <c r="E156" s="133"/>
      <c r="F156" s="133"/>
      <c r="G156" s="133"/>
      <c r="H156" s="133"/>
      <c r="I156" s="133"/>
      <c r="J156" s="133"/>
      <c r="K156" s="133"/>
      <c r="L156" s="133"/>
    </row>
    <row r="157" spans="1:12">
      <c r="A157" s="133"/>
      <c r="B157" s="133"/>
      <c r="C157" s="133"/>
      <c r="D157" s="133"/>
      <c r="E157" s="133"/>
      <c r="F157" s="133"/>
      <c r="G157" s="133"/>
      <c r="H157" s="133"/>
      <c r="I157" s="133"/>
      <c r="J157" s="133"/>
      <c r="K157" s="133"/>
      <c r="L157" s="133"/>
    </row>
    <row r="158" spans="1:12">
      <c r="A158" s="133"/>
      <c r="B158" s="133"/>
      <c r="C158" s="133"/>
      <c r="D158" s="133"/>
      <c r="E158" s="133"/>
      <c r="F158" s="133"/>
      <c r="G158" s="133"/>
      <c r="H158" s="133"/>
      <c r="I158" s="133"/>
      <c r="J158" s="133"/>
      <c r="K158" s="133"/>
      <c r="L158" s="133"/>
    </row>
    <row r="159" spans="1:12">
      <c r="A159" s="133"/>
      <c r="B159" s="133"/>
      <c r="C159" s="133"/>
      <c r="D159" s="133"/>
      <c r="E159" s="133"/>
      <c r="F159" s="133"/>
      <c r="G159" s="133"/>
      <c r="H159" s="133"/>
      <c r="I159" s="133"/>
      <c r="J159" s="133"/>
      <c r="K159" s="133"/>
      <c r="L159" s="133"/>
    </row>
    <row r="160" spans="1:12">
      <c r="A160" s="133"/>
      <c r="B160" s="133"/>
      <c r="C160" s="133"/>
      <c r="D160" s="133"/>
      <c r="E160" s="133"/>
      <c r="F160" s="133"/>
      <c r="G160" s="133"/>
      <c r="H160" s="133"/>
      <c r="I160" s="133"/>
      <c r="J160" s="133"/>
      <c r="K160" s="133"/>
      <c r="L160" s="133"/>
    </row>
    <row r="161" spans="1:12">
      <c r="A161" s="133"/>
      <c r="B161" s="133"/>
      <c r="C161" s="133"/>
      <c r="D161" s="133"/>
      <c r="E161" s="133"/>
      <c r="F161" s="133"/>
      <c r="G161" s="133"/>
      <c r="H161" s="133"/>
      <c r="I161" s="133"/>
      <c r="J161" s="133"/>
      <c r="K161" s="133"/>
      <c r="L161" s="133"/>
    </row>
    <row r="162" spans="1:12">
      <c r="A162" s="133"/>
      <c r="B162" s="133"/>
      <c r="C162" s="133"/>
      <c r="D162" s="133"/>
      <c r="E162" s="133"/>
      <c r="F162" s="133"/>
      <c r="G162" s="133"/>
      <c r="H162" s="133"/>
      <c r="I162" s="133"/>
      <c r="J162" s="133"/>
      <c r="K162" s="133"/>
      <c r="L162" s="133"/>
    </row>
    <row r="163" spans="1:12">
      <c r="A163" s="133"/>
      <c r="B163" s="133"/>
      <c r="C163" s="133"/>
      <c r="D163" s="133"/>
      <c r="E163" s="133"/>
      <c r="F163" s="133"/>
      <c r="G163" s="133"/>
      <c r="H163" s="133"/>
      <c r="I163" s="133"/>
      <c r="J163" s="133"/>
      <c r="K163" s="133"/>
      <c r="L163" s="133"/>
    </row>
    <row r="164" spans="1:12">
      <c r="A164" s="133"/>
      <c r="B164" s="133"/>
      <c r="C164" s="133"/>
      <c r="D164" s="133"/>
      <c r="E164" s="133"/>
      <c r="F164" s="133"/>
      <c r="G164" s="133"/>
      <c r="H164" s="133"/>
      <c r="I164" s="133"/>
      <c r="J164" s="133"/>
      <c r="K164" s="133"/>
      <c r="L164" s="133"/>
    </row>
    <row r="165" spans="1:12">
      <c r="A165" s="133"/>
      <c r="B165" s="133"/>
      <c r="C165" s="133"/>
      <c r="D165" s="133"/>
      <c r="E165" s="133"/>
      <c r="F165" s="133"/>
      <c r="G165" s="133"/>
      <c r="H165" s="133"/>
      <c r="I165" s="133"/>
      <c r="J165" s="133"/>
      <c r="K165" s="133"/>
      <c r="L165" s="133"/>
    </row>
    <row r="166" spans="1:12">
      <c r="A166" s="133"/>
      <c r="B166" s="133"/>
      <c r="C166" s="133"/>
      <c r="D166" s="133"/>
      <c r="E166" s="133"/>
      <c r="F166" s="133"/>
      <c r="G166" s="133"/>
      <c r="H166" s="133"/>
      <c r="I166" s="133"/>
      <c r="J166" s="133"/>
      <c r="K166" s="133"/>
      <c r="L166" s="133"/>
    </row>
    <row r="167" spans="1:12">
      <c r="A167" s="133"/>
      <c r="B167" s="133"/>
      <c r="C167" s="133"/>
      <c r="D167" s="133"/>
      <c r="E167" s="133"/>
      <c r="F167" s="133"/>
      <c r="G167" s="133"/>
      <c r="H167" s="133"/>
      <c r="I167" s="133"/>
      <c r="J167" s="133"/>
      <c r="K167" s="133"/>
      <c r="L167" s="133"/>
    </row>
  </sheetData>
  <pageMargins left="0.7" right="0.7" top="0.75" bottom="0.75" header="0.3" footer="0.3"/>
  <pageSetup scale="72" orientation="landscape" cellComments="asDisplayed" r:id="rId1"/>
  <headerFooter>
    <oddHeader>&amp;CSchedule 3
True Up Adjustment
&amp;RTO2020 Draft Annual Update 
Attachment1</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71"/>
  <sheetViews>
    <sheetView zoomScaleNormal="10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 min="11" max="11" width="2.85546875" customWidth="1"/>
    <col min="12" max="12" width="14.140625" customWidth="1"/>
    <col min="13" max="13" width="4.42578125" customWidth="1"/>
    <col min="14" max="14" width="15.28515625" customWidth="1"/>
  </cols>
  <sheetData>
    <row r="1" spans="1:14">
      <c r="A1" s="1" t="s">
        <v>439</v>
      </c>
      <c r="B1" s="768"/>
      <c r="C1" s="768"/>
      <c r="D1" s="768"/>
      <c r="E1" s="768"/>
      <c r="F1" s="768"/>
      <c r="G1" s="768"/>
      <c r="H1" s="768"/>
      <c r="I1" s="768"/>
      <c r="J1" s="768"/>
      <c r="K1" s="768"/>
      <c r="L1" s="768"/>
      <c r="M1" s="768"/>
      <c r="N1" s="768"/>
    </row>
    <row r="2" spans="1:14">
      <c r="A2" s="768"/>
      <c r="B2" s="768"/>
      <c r="C2" s="768"/>
      <c r="D2" s="768"/>
      <c r="E2" s="768"/>
      <c r="F2" s="768"/>
      <c r="G2" s="768"/>
      <c r="H2" s="10"/>
      <c r="I2" s="768"/>
      <c r="J2" s="768"/>
      <c r="K2" s="768"/>
      <c r="L2" s="768"/>
      <c r="M2" s="768"/>
      <c r="N2" s="768"/>
    </row>
    <row r="3" spans="1:14">
      <c r="A3" s="768"/>
      <c r="B3" s="51" t="s">
        <v>440</v>
      </c>
      <c r="C3" s="768"/>
      <c r="D3" s="768"/>
      <c r="E3" s="768"/>
      <c r="F3" s="768"/>
      <c r="G3" s="768"/>
      <c r="H3" s="768"/>
      <c r="I3" s="768"/>
      <c r="J3" s="768"/>
      <c r="K3" s="768"/>
      <c r="L3" s="379"/>
      <c r="M3" s="768"/>
      <c r="N3" s="768"/>
    </row>
    <row r="4" spans="1:14">
      <c r="A4" s="768"/>
      <c r="B4" s="41"/>
      <c r="C4" s="768"/>
      <c r="D4" s="768"/>
      <c r="E4" s="768"/>
      <c r="F4" s="379" t="s">
        <v>441</v>
      </c>
      <c r="G4" s="379"/>
      <c r="H4" s="379" t="s">
        <v>96</v>
      </c>
      <c r="I4" s="768"/>
      <c r="J4" s="768"/>
      <c r="K4" s="768"/>
      <c r="L4" s="379"/>
      <c r="M4" s="768"/>
      <c r="N4" s="379"/>
    </row>
    <row r="5" spans="1:14">
      <c r="A5" s="30" t="s">
        <v>97</v>
      </c>
      <c r="B5" s="11"/>
      <c r="C5" s="28" t="s">
        <v>442</v>
      </c>
      <c r="D5" s="768"/>
      <c r="E5" s="768"/>
      <c r="F5" s="2" t="s">
        <v>443</v>
      </c>
      <c r="G5" s="2" t="s">
        <v>98</v>
      </c>
      <c r="H5" s="2" t="s">
        <v>99</v>
      </c>
      <c r="I5" s="768"/>
      <c r="J5" s="2" t="s">
        <v>79</v>
      </c>
      <c r="K5" s="768"/>
      <c r="L5" s="2"/>
      <c r="M5" s="768"/>
      <c r="N5" s="2"/>
    </row>
    <row r="6" spans="1:14">
      <c r="A6" s="64">
        <v>1</v>
      </c>
      <c r="B6" s="10"/>
      <c r="C6" s="668" t="s">
        <v>102</v>
      </c>
      <c r="D6" s="10"/>
      <c r="E6" s="10"/>
      <c r="F6" s="10" t="s">
        <v>444</v>
      </c>
      <c r="G6" s="10"/>
      <c r="H6" s="668" t="str">
        <f>"6-PlantInService, Line "&amp;'6-PlantInService'!A42&amp;""</f>
        <v>6-PlantInService, Line 18</v>
      </c>
      <c r="I6" s="10"/>
      <c r="J6" s="37">
        <f>'6-PlantInService'!D42</f>
        <v>8666375346.7182045</v>
      </c>
      <c r="K6" s="768"/>
      <c r="L6" s="37"/>
      <c r="M6" s="768"/>
      <c r="N6" s="5"/>
    </row>
    <row r="7" spans="1:14">
      <c r="A7" s="64">
        <f>A6+1</f>
        <v>2</v>
      </c>
      <c r="B7" s="10"/>
      <c r="C7" s="668" t="s">
        <v>445</v>
      </c>
      <c r="D7" s="10"/>
      <c r="E7" s="10"/>
      <c r="F7" s="10" t="s">
        <v>446</v>
      </c>
      <c r="G7" s="10"/>
      <c r="H7" s="668" t="str">
        <f>"6-PlantInService, Line "&amp;'6-PlantInService'!A58&amp;""</f>
        <v>6-PlantInService, Line 24</v>
      </c>
      <c r="I7" s="10"/>
      <c r="J7" s="37">
        <f>'6-PlantInService'!F58</f>
        <v>257801395.14532045</v>
      </c>
      <c r="K7" s="768"/>
      <c r="L7" s="37"/>
      <c r="M7" s="768"/>
      <c r="N7" s="5"/>
    </row>
    <row r="8" spans="1:14">
      <c r="A8" s="64">
        <f>A7+1</f>
        <v>3</v>
      </c>
      <c r="B8" s="10"/>
      <c r="C8" s="668" t="s">
        <v>104</v>
      </c>
      <c r="D8" s="10"/>
      <c r="E8" s="10"/>
      <c r="F8" s="10" t="s">
        <v>446</v>
      </c>
      <c r="G8" s="10"/>
      <c r="H8" s="10" t="str">
        <f>"11-PHFU, Line "&amp;'11-PHFU'!A41&amp;""</f>
        <v>11-PHFU, Line 9</v>
      </c>
      <c r="I8" s="10"/>
      <c r="J8" s="37">
        <f>'11-PHFU'!D41</f>
        <v>9942155</v>
      </c>
      <c r="K8" s="768"/>
      <c r="L8" s="37"/>
      <c r="M8" s="768"/>
      <c r="N8" s="5"/>
    </row>
    <row r="9" spans="1:14">
      <c r="A9" s="64">
        <f>A8+1</f>
        <v>4</v>
      </c>
      <c r="B9" s="10"/>
      <c r="C9" s="668" t="s">
        <v>105</v>
      </c>
      <c r="D9" s="10"/>
      <c r="E9" s="10"/>
      <c r="F9" s="10" t="s">
        <v>446</v>
      </c>
      <c r="G9" s="10"/>
      <c r="H9" s="300" t="str">
        <f>"12-AbandonedPlant Line "&amp;'12-AbandonedPlant'!A21&amp;""</f>
        <v>12-AbandonedPlant Line 4</v>
      </c>
      <c r="I9" s="10"/>
      <c r="J9" s="37">
        <f>'12-AbandonedPlant'!G21</f>
        <v>0</v>
      </c>
      <c r="K9" s="768"/>
      <c r="L9" s="37"/>
      <c r="M9" s="768"/>
      <c r="N9" s="5"/>
    </row>
    <row r="10" spans="1:14">
      <c r="A10" s="64"/>
      <c r="B10" s="10"/>
      <c r="C10" s="668"/>
      <c r="D10" s="10"/>
      <c r="E10" s="10"/>
      <c r="F10" s="10"/>
      <c r="G10" s="10"/>
      <c r="H10" s="10"/>
      <c r="I10" s="10"/>
      <c r="J10" s="37"/>
      <c r="K10" s="768"/>
      <c r="L10" s="37"/>
      <c r="M10" s="768"/>
      <c r="N10" s="5"/>
    </row>
    <row r="11" spans="1:14">
      <c r="A11" s="64"/>
      <c r="B11" s="10"/>
      <c r="C11" s="26" t="s">
        <v>447</v>
      </c>
      <c r="D11" s="10"/>
      <c r="E11" s="10"/>
      <c r="F11" s="10"/>
      <c r="G11" s="10"/>
      <c r="H11" s="10"/>
      <c r="I11" s="10"/>
      <c r="J11" s="37"/>
      <c r="K11" s="768"/>
      <c r="L11" s="37"/>
      <c r="M11" s="768"/>
      <c r="N11" s="5"/>
    </row>
    <row r="12" spans="1:14">
      <c r="A12" s="64">
        <f>A9+1</f>
        <v>5</v>
      </c>
      <c r="B12" s="10"/>
      <c r="C12" s="297" t="s">
        <v>107</v>
      </c>
      <c r="D12" s="10"/>
      <c r="E12" s="10"/>
      <c r="F12" s="10" t="s">
        <v>444</v>
      </c>
      <c r="G12" s="10"/>
      <c r="H12" s="668" t="str">
        <f>"13-WorkCap, Line "&amp;'13-WorkCap'!A27&amp;""</f>
        <v>13-WorkCap, Line 17</v>
      </c>
      <c r="I12" s="10"/>
      <c r="J12" s="37">
        <f>'13-WorkCap'!F27</f>
        <v>14969118.080495883</v>
      </c>
      <c r="K12" s="768"/>
      <c r="L12" s="37"/>
      <c r="M12" s="768"/>
      <c r="N12" s="5"/>
    </row>
    <row r="13" spans="1:14">
      <c r="A13" s="64">
        <f>A12+1</f>
        <v>6</v>
      </c>
      <c r="B13" s="10"/>
      <c r="C13" s="67" t="s">
        <v>108</v>
      </c>
      <c r="D13" s="10"/>
      <c r="E13" s="10"/>
      <c r="F13" s="10" t="s">
        <v>444</v>
      </c>
      <c r="G13" s="10"/>
      <c r="H13" s="668" t="str">
        <f>"13-WorkCap, Line "&amp;'13-WorkCap'!A51&amp;""</f>
        <v>13-WorkCap, Line 33</v>
      </c>
      <c r="I13" s="10"/>
      <c r="J13" s="37">
        <f>'13-WorkCap'!F51</f>
        <v>11573444.106167279</v>
      </c>
      <c r="K13" s="768"/>
      <c r="L13" s="37"/>
      <c r="M13" s="768"/>
      <c r="N13" s="5"/>
    </row>
    <row r="14" spans="1:14">
      <c r="A14" s="64">
        <f>A13+1</f>
        <v>7</v>
      </c>
      <c r="B14" s="10"/>
      <c r="C14" s="297" t="s">
        <v>109</v>
      </c>
      <c r="D14" s="10"/>
      <c r="E14" s="10"/>
      <c r="F14" s="300" t="s">
        <v>448</v>
      </c>
      <c r="G14" s="10"/>
      <c r="H14" s="10" t="str">
        <f>"1-Base TRR Line "&amp;'1-BaseTRR'!A17&amp;""</f>
        <v>1-Base TRR Line 7</v>
      </c>
      <c r="I14" s="10"/>
      <c r="J14" s="65">
        <f>'1-BaseTRR'!K17</f>
        <v>35536585.352374114</v>
      </c>
      <c r="K14" s="768"/>
      <c r="L14" s="65"/>
      <c r="M14" s="768"/>
      <c r="N14" s="5"/>
    </row>
    <row r="15" spans="1:14">
      <c r="A15" s="64">
        <f>A14+1</f>
        <v>8</v>
      </c>
      <c r="B15" s="10"/>
      <c r="C15" s="297" t="s">
        <v>110</v>
      </c>
      <c r="D15" s="10"/>
      <c r="E15" s="10"/>
      <c r="F15" s="10"/>
      <c r="G15" s="10"/>
      <c r="H15" s="10" t="str">
        <f>"Line "&amp;A12&amp;" + Line "&amp;A13&amp;" + Line "&amp;A14&amp;""</f>
        <v>Line 5 + Line 6 + Line 7</v>
      </c>
      <c r="I15" s="10"/>
      <c r="J15" s="37">
        <f>SUM(J12:J14)</f>
        <v>62079147.539037272</v>
      </c>
      <c r="K15" s="768"/>
      <c r="L15" s="37"/>
      <c r="M15" s="768"/>
      <c r="N15" s="5"/>
    </row>
    <row r="16" spans="1:14">
      <c r="A16" s="64"/>
      <c r="B16" s="10"/>
      <c r="C16" s="297"/>
      <c r="D16" s="10"/>
      <c r="E16" s="10"/>
      <c r="F16" s="10"/>
      <c r="G16" s="10"/>
      <c r="H16" s="10"/>
      <c r="I16" s="10"/>
      <c r="J16" s="37"/>
      <c r="K16" s="768"/>
      <c r="L16" s="37"/>
      <c r="M16" s="768"/>
      <c r="N16" s="5"/>
    </row>
    <row r="17" spans="1:14">
      <c r="A17" s="64"/>
      <c r="B17" s="10"/>
      <c r="C17" s="677" t="s">
        <v>449</v>
      </c>
      <c r="D17" s="10"/>
      <c r="E17" s="10"/>
      <c r="F17" s="10"/>
      <c r="G17" s="10"/>
      <c r="H17" s="10"/>
      <c r="I17" s="10"/>
      <c r="J17" s="37"/>
      <c r="K17" s="768"/>
      <c r="L17" s="37"/>
      <c r="M17" s="768"/>
      <c r="N17" s="5"/>
    </row>
    <row r="18" spans="1:14">
      <c r="A18" s="64">
        <f>A15+1</f>
        <v>9</v>
      </c>
      <c r="B18" s="10"/>
      <c r="C18" s="297" t="s">
        <v>450</v>
      </c>
      <c r="D18" s="10"/>
      <c r="E18" s="10"/>
      <c r="F18" s="10" t="s">
        <v>444</v>
      </c>
      <c r="G18" s="10" t="s">
        <v>113</v>
      </c>
      <c r="H18" s="668" t="str">
        <f>"8-AccDep, Line "&amp;'8-AccDep'!A25&amp;", Col. 12"</f>
        <v>8-AccDep, Line 14, Col. 12</v>
      </c>
      <c r="I18" s="10"/>
      <c r="J18" s="37">
        <f>-'8-AccDep'!N25</f>
        <v>-1697245473.0211706</v>
      </c>
      <c r="K18" s="768"/>
      <c r="L18" s="37"/>
      <c r="M18" s="768"/>
      <c r="N18" s="5"/>
    </row>
    <row r="19" spans="1:14">
      <c r="A19" s="64">
        <f>A18+1</f>
        <v>10</v>
      </c>
      <c r="B19" s="10"/>
      <c r="C19" s="297" t="s">
        <v>451</v>
      </c>
      <c r="D19" s="10"/>
      <c r="E19" s="10"/>
      <c r="F19" s="10" t="s">
        <v>446</v>
      </c>
      <c r="G19" s="10" t="s">
        <v>113</v>
      </c>
      <c r="H19" s="668" t="str">
        <f>"8-AccDep, Line "&amp;'8-AccDep'!A35&amp;", Col. 5"</f>
        <v>8-AccDep, Line 17, Col. 5</v>
      </c>
      <c r="I19" s="10"/>
      <c r="J19" s="37">
        <f>-'8-AccDep'!G35</f>
        <v>0</v>
      </c>
      <c r="K19" s="768"/>
      <c r="L19" s="37"/>
      <c r="M19" s="768"/>
      <c r="N19" s="5"/>
    </row>
    <row r="20" spans="1:14">
      <c r="A20" s="64">
        <f>A19+1</f>
        <v>11</v>
      </c>
      <c r="B20" s="10"/>
      <c r="C20" s="297" t="s">
        <v>452</v>
      </c>
      <c r="D20" s="12"/>
      <c r="E20" s="10"/>
      <c r="F20" s="10" t="s">
        <v>446</v>
      </c>
      <c r="G20" s="10" t="s">
        <v>113</v>
      </c>
      <c r="H20" s="668" t="str">
        <f>"8-AccDep, Line "&amp;'8-AccDep'!A53&amp;""</f>
        <v>8-AccDep, Line 23</v>
      </c>
      <c r="I20" s="10"/>
      <c r="J20" s="65">
        <f>-'8-AccDep'!F53</f>
        <v>-98848152.853451148</v>
      </c>
      <c r="K20" s="768"/>
      <c r="L20" s="37"/>
      <c r="M20" s="768"/>
      <c r="N20" s="5"/>
    </row>
    <row r="21" spans="1:14">
      <c r="A21" s="64">
        <f>A20+1</f>
        <v>12</v>
      </c>
      <c r="B21" s="10"/>
      <c r="C21" s="1181" t="s">
        <v>116</v>
      </c>
      <c r="D21" s="12"/>
      <c r="E21" s="10"/>
      <c r="F21" s="10"/>
      <c r="G21" s="10"/>
      <c r="H21" s="10" t="str">
        <f>"Line "&amp;A18&amp;" + Line "&amp;A19&amp;" + Line "&amp;A20&amp;""</f>
        <v>Line 9 + Line 10 + Line 11</v>
      </c>
      <c r="I21" s="10"/>
      <c r="J21" s="37">
        <f>SUM(J18:J20)</f>
        <v>-1796093625.8746219</v>
      </c>
      <c r="K21" s="768"/>
      <c r="L21" s="37"/>
      <c r="M21" s="768"/>
      <c r="N21" s="5"/>
    </row>
    <row r="22" spans="1:14">
      <c r="A22" s="64"/>
      <c r="B22" s="10"/>
      <c r="C22" s="300"/>
      <c r="D22" s="10"/>
      <c r="E22" s="10"/>
      <c r="F22" s="10"/>
      <c r="G22" s="10"/>
      <c r="H22" s="10"/>
      <c r="I22" s="10"/>
      <c r="J22" s="37"/>
      <c r="K22" s="768"/>
      <c r="L22" s="37"/>
      <c r="M22" s="768"/>
      <c r="N22" s="5"/>
    </row>
    <row r="23" spans="1:14">
      <c r="A23" s="64">
        <f>A21+1</f>
        <v>13</v>
      </c>
      <c r="B23" s="10"/>
      <c r="C23" s="667" t="s">
        <v>117</v>
      </c>
      <c r="D23" s="10"/>
      <c r="E23" s="10"/>
      <c r="F23" s="300" t="s">
        <v>453</v>
      </c>
      <c r="G23" s="10"/>
      <c r="H23" s="668" t="str">
        <f>"9-ADIT, Line "&amp;'9-ADIT'!A24&amp;""</f>
        <v>9-ADIT, Line 15</v>
      </c>
      <c r="I23" s="10"/>
      <c r="J23" s="37">
        <f>'9-ADIT'!D24</f>
        <v>-1652565523.959929</v>
      </c>
      <c r="K23" s="768"/>
      <c r="L23" s="37"/>
      <c r="M23" s="768"/>
      <c r="N23" s="5"/>
    </row>
    <row r="24" spans="1:14">
      <c r="A24" s="64">
        <f>A23+1</f>
        <v>14</v>
      </c>
      <c r="B24" s="10"/>
      <c r="C24" s="668" t="s">
        <v>118</v>
      </c>
      <c r="D24" s="10"/>
      <c r="E24" s="10"/>
      <c r="F24" s="10" t="s">
        <v>444</v>
      </c>
      <c r="G24" s="10"/>
      <c r="H24" s="668" t="str">
        <f>"14-IncentivePlant, L "&amp;'14-IncentivePlant'!A37&amp;", C2"</f>
        <v>14-IncentivePlant, L 12, C2</v>
      </c>
      <c r="I24" s="10"/>
      <c r="J24" s="37">
        <f>'14-IncentivePlant'!F37</f>
        <v>297221934.48615384</v>
      </c>
      <c r="K24" s="768"/>
      <c r="L24" s="37"/>
      <c r="M24" s="768"/>
      <c r="N24" s="5"/>
    </row>
    <row r="25" spans="1:14">
      <c r="A25" s="64">
        <f>A24+1</f>
        <v>15</v>
      </c>
      <c r="B25" s="10"/>
      <c r="C25" s="667" t="s">
        <v>120</v>
      </c>
      <c r="D25" s="10"/>
      <c r="E25" s="10"/>
      <c r="F25" s="10" t="s">
        <v>446</v>
      </c>
      <c r="G25" s="10" t="s">
        <v>113</v>
      </c>
      <c r="H25" s="668" t="str">
        <f>"22-NUCs, Line "&amp;'22-NUCs'!A15&amp;""</f>
        <v>22-NUCs, Line 7</v>
      </c>
      <c r="I25" s="10"/>
      <c r="J25" s="37">
        <f>-'22-NUCs'!E15</f>
        <v>-78952573</v>
      </c>
      <c r="K25" s="768"/>
      <c r="L25" s="37"/>
      <c r="M25" s="768"/>
      <c r="N25" s="5"/>
    </row>
    <row r="26" spans="1:14">
      <c r="A26" s="64">
        <f t="shared" ref="A26:A27" si="0">A25+1</f>
        <v>16</v>
      </c>
      <c r="B26" s="10"/>
      <c r="C26" s="668" t="s">
        <v>74</v>
      </c>
      <c r="D26" s="10"/>
      <c r="E26" s="10"/>
      <c r="F26" s="10"/>
      <c r="G26" s="10"/>
      <c r="H26" s="300" t="str">
        <f>"34-UnfundedReserves, Line "&amp;'34-UnfundedReserves'!A10&amp;""</f>
        <v>34-UnfundedReserves, Line 7</v>
      </c>
      <c r="I26" s="10"/>
      <c r="J26" s="37">
        <f>'34-UnfundedReserves'!K10</f>
        <v>-89185606.76246196</v>
      </c>
      <c r="K26" s="768"/>
      <c r="L26" s="37"/>
      <c r="M26" s="768"/>
      <c r="N26" s="5"/>
    </row>
    <row r="27" spans="1:14">
      <c r="A27" s="64">
        <f t="shared" si="0"/>
        <v>17</v>
      </c>
      <c r="B27" s="10"/>
      <c r="C27" s="667" t="s">
        <v>119</v>
      </c>
      <c r="D27" s="10"/>
      <c r="E27" s="10"/>
      <c r="F27" s="10" t="s">
        <v>446</v>
      </c>
      <c r="G27" s="10"/>
      <c r="H27" s="668" t="str">
        <f>"23-RegAssets, Line "&amp;'23-RegAssets'!A18&amp;""</f>
        <v>23-RegAssets, Line 15</v>
      </c>
      <c r="I27" s="10"/>
      <c r="J27" s="37">
        <f>'23-RegAssets'!E18</f>
        <v>0</v>
      </c>
      <c r="K27" s="768"/>
      <c r="L27" s="37"/>
      <c r="M27" s="768"/>
      <c r="N27" s="5"/>
    </row>
    <row r="28" spans="1:14">
      <c r="A28" s="64"/>
      <c r="B28" s="10"/>
      <c r="C28" s="667"/>
      <c r="D28" s="10"/>
      <c r="E28" s="10"/>
      <c r="F28" s="10"/>
      <c r="G28" s="10"/>
      <c r="H28" s="10"/>
      <c r="I28" s="10"/>
      <c r="J28" s="10"/>
      <c r="K28" s="768"/>
      <c r="L28" s="37"/>
      <c r="M28" s="768"/>
      <c r="N28" s="5"/>
    </row>
    <row r="29" spans="1:14">
      <c r="A29" s="64">
        <f>A27+1</f>
        <v>18</v>
      </c>
      <c r="B29" s="10"/>
      <c r="C29" s="10" t="s">
        <v>121</v>
      </c>
      <c r="D29" s="10"/>
      <c r="E29" s="10"/>
      <c r="F29" s="10"/>
      <c r="G29" s="10"/>
      <c r="H29" s="10" t="str">
        <f>"L"&amp;A6&amp;"+L"&amp;A7&amp;"+L"&amp;A8&amp;"+L"&amp;A9&amp;"+L"&amp;A15&amp;"+L"&amp;A21&amp;"+"</f>
        <v>L1+L2+L3+L4+L8+L12+</v>
      </c>
      <c r="I29" s="10"/>
      <c r="J29" s="37">
        <f>J6+ J7+J8+J9+J15+J21+J23+J24+J25+J26+J27</f>
        <v>5676622649.2917042</v>
      </c>
      <c r="K29" s="768"/>
      <c r="L29" s="37"/>
      <c r="M29" s="768"/>
      <c r="N29" s="5"/>
    </row>
    <row r="30" spans="1:14">
      <c r="A30" s="64"/>
      <c r="B30" s="10"/>
      <c r="C30" s="10"/>
      <c r="D30" s="10"/>
      <c r="E30" s="10"/>
      <c r="F30" s="10"/>
      <c r="G30" s="10"/>
      <c r="H30" s="10" t="str">
        <f>"L"&amp;A23&amp;"+L"&amp;A24&amp;"+L"&amp;A25&amp;"+L"&amp;A26&amp;"+L"&amp;A27&amp;""</f>
        <v>L13+L14+L15+L16+L17</v>
      </c>
      <c r="I30" s="10"/>
      <c r="J30" s="37"/>
      <c r="K30" s="768"/>
      <c r="L30" s="37"/>
      <c r="M30" s="768"/>
      <c r="N30" s="5"/>
    </row>
    <row r="31" spans="1:14">
      <c r="A31" s="64"/>
      <c r="B31" s="25" t="s">
        <v>454</v>
      </c>
      <c r="C31" s="768"/>
      <c r="D31" s="10"/>
      <c r="E31" s="10"/>
      <c r="F31" s="10"/>
      <c r="G31" s="10"/>
      <c r="H31" s="10"/>
      <c r="I31" s="10"/>
      <c r="J31" s="37"/>
      <c r="K31" s="768"/>
      <c r="L31" s="37"/>
      <c r="M31" s="768"/>
      <c r="N31" s="5"/>
    </row>
    <row r="32" spans="1:14">
      <c r="A32" s="369" t="s">
        <v>97</v>
      </c>
      <c r="B32" s="10"/>
      <c r="C32" s="25"/>
      <c r="D32" s="10"/>
      <c r="E32" s="10"/>
      <c r="F32" s="10"/>
      <c r="G32" s="10"/>
      <c r="H32" s="10"/>
      <c r="I32" s="10"/>
      <c r="J32" s="37"/>
      <c r="K32" s="768"/>
      <c r="L32" s="37"/>
      <c r="M32" s="768"/>
      <c r="N32" s="5"/>
    </row>
    <row r="33" spans="1:14">
      <c r="A33" s="64">
        <f>A29+1</f>
        <v>19</v>
      </c>
      <c r="B33" s="300"/>
      <c r="C33" s="300" t="s">
        <v>176</v>
      </c>
      <c r="D33" s="300"/>
      <c r="E33" s="300"/>
      <c r="F33" s="300"/>
      <c r="G33" s="300" t="s">
        <v>455</v>
      </c>
      <c r="H33" s="300" t="str">
        <f>"Instruction 1, Line "&amp;B97&amp;""</f>
        <v>Instruction 1, Line j</v>
      </c>
      <c r="I33" s="300"/>
      <c r="J33" s="232">
        <f>E97</f>
        <v>7.6681645329564604E-2</v>
      </c>
      <c r="K33" s="768"/>
      <c r="L33" s="39"/>
      <c r="M33" s="6"/>
      <c r="N33" s="6"/>
    </row>
    <row r="34" spans="1:14">
      <c r="A34" s="379">
        <f>A33+1</f>
        <v>20</v>
      </c>
      <c r="B34" s="768"/>
      <c r="C34" s="300" t="s">
        <v>179</v>
      </c>
      <c r="D34" s="300"/>
      <c r="E34" s="300"/>
      <c r="F34" s="300"/>
      <c r="G34" s="300"/>
      <c r="H34" s="768" t="str">
        <f>"Line "&amp;A29&amp;" * Line "&amp;A33&amp;""</f>
        <v>Line 18 * Line 19</v>
      </c>
      <c r="I34" s="768"/>
      <c r="J34" s="311">
        <f>J29*J33</f>
        <v>435292764.66275984</v>
      </c>
      <c r="K34" s="768"/>
      <c r="L34" s="37"/>
      <c r="M34" s="768"/>
      <c r="N34" s="5"/>
    </row>
    <row r="35" spans="1:14">
      <c r="A35" s="379"/>
      <c r="B35" s="11"/>
      <c r="C35" s="768"/>
      <c r="D35" s="768"/>
      <c r="E35" s="768"/>
      <c r="F35" s="768"/>
      <c r="G35" s="768"/>
      <c r="H35" s="768"/>
      <c r="I35" s="768"/>
      <c r="J35" s="768"/>
      <c r="K35" s="768"/>
      <c r="L35" s="37"/>
      <c r="M35" s="768"/>
      <c r="N35" s="5"/>
    </row>
    <row r="36" spans="1:14">
      <c r="A36" s="379"/>
      <c r="B36" s="1" t="s">
        <v>456</v>
      </c>
      <c r="C36" s="768"/>
      <c r="D36" s="768"/>
      <c r="E36" s="768"/>
      <c r="F36" s="768"/>
      <c r="G36" s="768"/>
      <c r="H36" s="768"/>
      <c r="I36" s="768"/>
      <c r="J36" s="768"/>
      <c r="K36" s="768"/>
      <c r="L36" s="37"/>
      <c r="M36" s="768"/>
      <c r="N36" s="5"/>
    </row>
    <row r="37" spans="1:14">
      <c r="A37" s="64"/>
      <c r="B37" s="67"/>
      <c r="C37" s="10"/>
      <c r="D37" s="10"/>
      <c r="E37" s="10"/>
      <c r="F37" s="10"/>
      <c r="G37" s="10"/>
      <c r="H37" s="10"/>
      <c r="I37" s="10"/>
      <c r="J37" s="10"/>
      <c r="K37" s="768"/>
      <c r="L37" s="37"/>
      <c r="M37" s="768"/>
      <c r="N37" s="5"/>
    </row>
    <row r="38" spans="1:14">
      <c r="A38" s="64">
        <f>A34+1</f>
        <v>21</v>
      </c>
      <c r="B38" s="10"/>
      <c r="C38" s="300" t="s">
        <v>192</v>
      </c>
      <c r="D38" s="10"/>
      <c r="E38" s="10"/>
      <c r="F38" s="10"/>
      <c r="G38" s="10"/>
      <c r="H38" s="10"/>
      <c r="I38" s="10"/>
      <c r="J38" s="37">
        <f>(((J29*J42) + J45) *(J43/(1-J43)))+(J44/(1-J43))</f>
        <v>108410571.17147496</v>
      </c>
      <c r="K38" s="768"/>
      <c r="L38" s="37"/>
      <c r="M38" s="768"/>
      <c r="N38" s="5"/>
    </row>
    <row r="39" spans="1:14">
      <c r="A39" s="64"/>
      <c r="B39" s="10"/>
      <c r="C39" s="10"/>
      <c r="D39" s="10"/>
      <c r="E39" s="10"/>
      <c r="F39" s="10"/>
      <c r="G39" s="10"/>
      <c r="H39" s="10"/>
      <c r="I39" s="10"/>
      <c r="J39" s="300"/>
      <c r="K39" s="768"/>
      <c r="L39" s="37"/>
      <c r="M39" s="768"/>
      <c r="N39" s="5"/>
    </row>
    <row r="40" spans="1:14">
      <c r="A40" s="64"/>
      <c r="B40" s="10"/>
      <c r="C40" s="10"/>
      <c r="D40" s="10" t="s">
        <v>193</v>
      </c>
      <c r="E40" s="10"/>
      <c r="F40" s="10"/>
      <c r="G40" s="10"/>
      <c r="H40" s="10"/>
      <c r="I40" s="10"/>
      <c r="J40" s="10"/>
      <c r="K40" s="768"/>
      <c r="L40" s="37"/>
      <c r="M40" s="768"/>
      <c r="N40" s="5"/>
    </row>
    <row r="41" spans="1:14">
      <c r="A41" s="64">
        <f>A38+1</f>
        <v>22</v>
      </c>
      <c r="B41" s="10"/>
      <c r="C41" s="10"/>
      <c r="D41" s="67" t="s">
        <v>194</v>
      </c>
      <c r="E41" s="10"/>
      <c r="F41" s="10"/>
      <c r="G41" s="10"/>
      <c r="H41" s="10" t="str">
        <f>"Line "&amp;A29&amp;""</f>
        <v>Line 18</v>
      </c>
      <c r="I41" s="10"/>
      <c r="J41" s="37">
        <f>J29</f>
        <v>5676622649.2917042</v>
      </c>
      <c r="K41" s="768"/>
      <c r="L41" s="37"/>
      <c r="M41" s="768"/>
      <c r="N41" s="5"/>
    </row>
    <row r="42" spans="1:14">
      <c r="A42" s="64">
        <f>A41+1</f>
        <v>23</v>
      </c>
      <c r="B42" s="10"/>
      <c r="C42" s="10"/>
      <c r="D42" s="297" t="s">
        <v>457</v>
      </c>
      <c r="E42" s="10"/>
      <c r="F42" s="10"/>
      <c r="G42" s="300" t="s">
        <v>458</v>
      </c>
      <c r="H42" s="300" t="str">
        <f>"Instruction 1, Line "&amp;B102&amp;""</f>
        <v>Instruction 1, Line k</v>
      </c>
      <c r="I42" s="10"/>
      <c r="J42" s="232">
        <f>E102</f>
        <v>5.5883946650569769E-2</v>
      </c>
      <c r="K42" s="768"/>
      <c r="L42" s="39"/>
      <c r="M42" s="6"/>
      <c r="N42" s="6"/>
    </row>
    <row r="43" spans="1:14">
      <c r="A43" s="64">
        <f>A42+1</f>
        <v>24</v>
      </c>
      <c r="B43" s="10"/>
      <c r="C43" s="10"/>
      <c r="D43" s="67" t="s">
        <v>196</v>
      </c>
      <c r="E43" s="10"/>
      <c r="F43" s="10"/>
      <c r="G43" s="10"/>
      <c r="H43" s="10" t="str">
        <f>"1-Base TRR L "&amp;'1-BaseTRR'!A102&amp;""</f>
        <v>1-Base TRR L 59</v>
      </c>
      <c r="I43" s="10"/>
      <c r="J43" s="39">
        <f>'1-BaseTRR'!K102</f>
        <v>0.27983599999999997</v>
      </c>
      <c r="K43" s="768"/>
      <c r="L43" s="39"/>
      <c r="M43" s="6"/>
      <c r="N43" s="6"/>
    </row>
    <row r="44" spans="1:14">
      <c r="A44" s="64">
        <f>A43+1</f>
        <v>25</v>
      </c>
      <c r="B44" s="10"/>
      <c r="C44" s="10"/>
      <c r="D44" s="67" t="s">
        <v>197</v>
      </c>
      <c r="E44" s="10"/>
      <c r="F44" s="10"/>
      <c r="G44" s="10"/>
      <c r="H44" s="10" t="str">
        <f>"1-Base TRR L "&amp;'1-BaseTRR'!A108&amp;""</f>
        <v>1-Base TRR L 63</v>
      </c>
      <c r="I44" s="10"/>
      <c r="J44" s="37">
        <f>'1-BaseTRR'!K108</f>
        <v>-11709778.000000002</v>
      </c>
      <c r="K44" s="768"/>
      <c r="L44" s="37"/>
      <c r="M44" s="768"/>
      <c r="N44" s="5"/>
    </row>
    <row r="45" spans="1:14">
      <c r="A45" s="64">
        <f>A44+1</f>
        <v>26</v>
      </c>
      <c r="B45" s="10"/>
      <c r="C45" s="10"/>
      <c r="D45" s="67" t="s">
        <v>198</v>
      </c>
      <c r="E45" s="10"/>
      <c r="F45" s="10"/>
      <c r="G45" s="10"/>
      <c r="H45" s="10" t="str">
        <f>"1-Base TRR L "&amp;'1-BaseTRR'!A112&amp;""</f>
        <v>1-Base TRR L 65</v>
      </c>
      <c r="I45" s="10"/>
      <c r="J45" s="311">
        <f>'1-BaseTRR'!K119</f>
        <v>3610018</v>
      </c>
      <c r="K45" s="768"/>
      <c r="L45" s="37"/>
      <c r="M45" s="768"/>
      <c r="N45" s="5"/>
    </row>
    <row r="46" spans="1:14">
      <c r="A46" s="64"/>
      <c r="B46" s="67"/>
      <c r="C46" s="10"/>
      <c r="D46" s="10"/>
      <c r="E46" s="10"/>
      <c r="F46" s="10"/>
      <c r="G46" s="10"/>
      <c r="H46" s="10"/>
      <c r="I46" s="10"/>
      <c r="J46" s="10"/>
      <c r="K46" s="768"/>
      <c r="L46" s="37"/>
      <c r="M46" s="768"/>
      <c r="N46" s="5"/>
    </row>
    <row r="47" spans="1:14">
      <c r="A47" s="64"/>
      <c r="B47" s="25" t="s">
        <v>459</v>
      </c>
      <c r="C47" s="768"/>
      <c r="D47" s="10"/>
      <c r="E47" s="10"/>
      <c r="F47" s="10"/>
      <c r="G47" s="10"/>
      <c r="H47" s="10"/>
      <c r="I47" s="10"/>
      <c r="J47" s="10"/>
      <c r="K47" s="768"/>
      <c r="L47" s="37"/>
      <c r="M47" s="768"/>
      <c r="N47" s="5"/>
    </row>
    <row r="48" spans="1:14">
      <c r="A48" s="64">
        <f>A45+1</f>
        <v>27</v>
      </c>
      <c r="B48" s="67"/>
      <c r="C48" s="10" t="s">
        <v>202</v>
      </c>
      <c r="D48" s="10"/>
      <c r="E48" s="10"/>
      <c r="F48" s="10"/>
      <c r="G48" s="10"/>
      <c r="H48" s="10" t="str">
        <f>"1-Base TRR L "&amp;'1-BaseTRR'!A124&amp;""</f>
        <v>1-Base TRR L 66</v>
      </c>
      <c r="I48" s="10"/>
      <c r="J48" s="37">
        <f>'1-BaseTRR'!K124</f>
        <v>69646422.623998374</v>
      </c>
      <c r="K48" s="768"/>
      <c r="L48" s="37"/>
      <c r="M48" s="768"/>
      <c r="N48" s="5"/>
    </row>
    <row r="49" spans="1:14">
      <c r="A49" s="64">
        <f t="shared" ref="A49:A59" si="1">A48+1</f>
        <v>28</v>
      </c>
      <c r="B49" s="67"/>
      <c r="C49" s="300" t="s">
        <v>203</v>
      </c>
      <c r="D49" s="10"/>
      <c r="E49" s="10"/>
      <c r="F49" s="10"/>
      <c r="G49" s="10"/>
      <c r="H49" s="10" t="str">
        <f>"1-Base TRR L "&amp;'1-BaseTRR'!A125&amp;""</f>
        <v>1-Base TRR L 67</v>
      </c>
      <c r="I49" s="10"/>
      <c r="J49" s="37">
        <f>'1-BaseTRR'!K125</f>
        <v>214646260.19499454</v>
      </c>
      <c r="K49" s="768"/>
      <c r="L49" s="37"/>
      <c r="M49" s="768"/>
      <c r="N49" s="5"/>
    </row>
    <row r="50" spans="1:14">
      <c r="A50" s="64">
        <f>A49+1</f>
        <v>29</v>
      </c>
      <c r="B50" s="67"/>
      <c r="C50" s="10" t="s">
        <v>204</v>
      </c>
      <c r="D50" s="10"/>
      <c r="E50" s="10"/>
      <c r="F50" s="10"/>
      <c r="G50" s="10"/>
      <c r="H50" s="10" t="str">
        <f>"1-Base TRR L "&amp;'1-BaseTRR'!A126&amp;""</f>
        <v>1-Base TRR L 68</v>
      </c>
      <c r="I50" s="10"/>
      <c r="J50" s="37">
        <f>'1-BaseTRR'!K126</f>
        <v>5429238</v>
      </c>
      <c r="K50" s="768"/>
      <c r="L50" s="37"/>
      <c r="M50" s="768"/>
      <c r="N50" s="5"/>
    </row>
    <row r="51" spans="1:14">
      <c r="A51" s="64">
        <f t="shared" si="1"/>
        <v>30</v>
      </c>
      <c r="B51" s="67"/>
      <c r="C51" s="300" t="s">
        <v>205</v>
      </c>
      <c r="D51" s="10"/>
      <c r="E51" s="10"/>
      <c r="F51" s="10"/>
      <c r="G51" s="10"/>
      <c r="H51" s="10" t="str">
        <f>"1-Base TRR L "&amp;'1-BaseTRR'!A127&amp;""</f>
        <v>1-Base TRR L 69</v>
      </c>
      <c r="I51" s="10"/>
      <c r="J51" s="37">
        <f>'1-BaseTRR'!K127</f>
        <v>263420094.95571494</v>
      </c>
      <c r="K51" s="768"/>
      <c r="L51" s="37"/>
      <c r="M51" s="768"/>
      <c r="N51" s="5"/>
    </row>
    <row r="52" spans="1:14">
      <c r="A52" s="64">
        <f t="shared" si="1"/>
        <v>31</v>
      </c>
      <c r="B52" s="67"/>
      <c r="C52" s="300" t="s">
        <v>206</v>
      </c>
      <c r="D52" s="10"/>
      <c r="E52" s="10"/>
      <c r="F52" s="10"/>
      <c r="G52" s="10"/>
      <c r="H52" s="10" t="str">
        <f>"1-Base TRR L "&amp;'1-BaseTRR'!A128&amp;""</f>
        <v>1-Base TRR L 70</v>
      </c>
      <c r="I52" s="10"/>
      <c r="J52" s="37">
        <f>'1-BaseTRR'!K128</f>
        <v>0</v>
      </c>
      <c r="K52" s="768"/>
      <c r="L52" s="37"/>
      <c r="M52" s="768"/>
      <c r="N52" s="5"/>
    </row>
    <row r="53" spans="1:14">
      <c r="A53" s="64">
        <f t="shared" si="1"/>
        <v>32</v>
      </c>
      <c r="B53" s="67"/>
      <c r="C53" s="300" t="s">
        <v>149</v>
      </c>
      <c r="D53" s="10"/>
      <c r="E53" s="10"/>
      <c r="F53" s="10"/>
      <c r="G53" s="10"/>
      <c r="H53" s="10" t="str">
        <f>"1-Base TRR L "&amp;'1-BaseTRR'!A129&amp;""</f>
        <v>1-Base TRR L 71</v>
      </c>
      <c r="I53" s="10"/>
      <c r="J53" s="37">
        <f>'1-BaseTRR'!K129</f>
        <v>63834518.800213069</v>
      </c>
      <c r="K53" s="768"/>
      <c r="L53" s="37"/>
      <c r="M53" s="768"/>
      <c r="N53" s="5"/>
    </row>
    <row r="54" spans="1:14">
      <c r="A54" s="64">
        <f t="shared" si="1"/>
        <v>33</v>
      </c>
      <c r="B54" s="67"/>
      <c r="C54" s="10" t="s">
        <v>207</v>
      </c>
      <c r="D54" s="10"/>
      <c r="E54" s="10"/>
      <c r="F54" s="10"/>
      <c r="G54" s="300"/>
      <c r="H54" s="10" t="str">
        <f>"1-Base TRR L "&amp;'1-BaseTRR'!A130&amp;""</f>
        <v>1-Base TRR L 72</v>
      </c>
      <c r="I54" s="10"/>
      <c r="J54" s="37">
        <f>'1-BaseTRR'!K130</f>
        <v>-58173790.580408886</v>
      </c>
      <c r="K54" s="768"/>
      <c r="L54" s="37"/>
      <c r="M54" s="768"/>
      <c r="N54" s="5"/>
    </row>
    <row r="55" spans="1:14">
      <c r="A55" s="64">
        <f t="shared" si="1"/>
        <v>34</v>
      </c>
      <c r="B55" s="67"/>
      <c r="C55" s="10" t="s">
        <v>208</v>
      </c>
      <c r="D55" s="10"/>
      <c r="E55" s="10"/>
      <c r="F55" s="10"/>
      <c r="G55" s="10"/>
      <c r="H55" s="10" t="str">
        <f>"Line "&amp;A34&amp;""</f>
        <v>Line 20</v>
      </c>
      <c r="I55" s="10"/>
      <c r="J55" s="37">
        <f>J34</f>
        <v>435292764.66275984</v>
      </c>
      <c r="K55" s="768"/>
      <c r="L55" s="37"/>
      <c r="M55" s="768"/>
      <c r="N55" s="5"/>
    </row>
    <row r="56" spans="1:14">
      <c r="A56" s="64">
        <f t="shared" si="1"/>
        <v>35</v>
      </c>
      <c r="B56" s="67"/>
      <c r="C56" s="10" t="s">
        <v>209</v>
      </c>
      <c r="D56" s="10"/>
      <c r="E56" s="10"/>
      <c r="F56" s="10"/>
      <c r="G56" s="10"/>
      <c r="H56" s="10" t="str">
        <f>"Line "&amp;A38&amp;""</f>
        <v>Line 21</v>
      </c>
      <c r="I56" s="10"/>
      <c r="J56" s="311">
        <f>J38</f>
        <v>108410571.17147496</v>
      </c>
      <c r="K56" s="768"/>
      <c r="L56" s="37"/>
      <c r="M56" s="768"/>
      <c r="N56" s="5"/>
    </row>
    <row r="57" spans="1:14">
      <c r="A57" s="64">
        <f t="shared" si="1"/>
        <v>36</v>
      </c>
      <c r="B57" s="67"/>
      <c r="C57" s="300" t="s">
        <v>460</v>
      </c>
      <c r="D57" s="10"/>
      <c r="E57" s="10"/>
      <c r="F57" s="10"/>
      <c r="G57" s="10"/>
      <c r="H57" s="10" t="str">
        <f>"1-Base TRR L "&amp;'1-BaseTRR'!A133&amp;""</f>
        <v>1-Base TRR L 75</v>
      </c>
      <c r="I57" s="10"/>
      <c r="J57" s="311">
        <f>'1-BaseTRR'!K133</f>
        <v>0</v>
      </c>
      <c r="K57" s="768"/>
      <c r="L57" s="37"/>
      <c r="M57" s="768"/>
      <c r="N57" s="5"/>
    </row>
    <row r="58" spans="1:14">
      <c r="A58" s="64">
        <f t="shared" si="1"/>
        <v>37</v>
      </c>
      <c r="B58" s="67"/>
      <c r="C58" s="395" t="s">
        <v>212</v>
      </c>
      <c r="D58" s="498"/>
      <c r="E58" s="10"/>
      <c r="F58" s="10"/>
      <c r="G58" s="10"/>
      <c r="H58" s="10" t="str">
        <f>"1-Base TRR L "&amp;'1-BaseTRR'!A134&amp;""</f>
        <v>1-Base TRR L 76</v>
      </c>
      <c r="I58" s="10"/>
      <c r="J58" s="65">
        <f>'1-BaseTRR'!K134</f>
        <v>0</v>
      </c>
      <c r="K58" s="768"/>
      <c r="L58" s="37"/>
      <c r="M58" s="768"/>
      <c r="N58" s="5"/>
    </row>
    <row r="59" spans="1:14">
      <c r="A59" s="64">
        <f t="shared" si="1"/>
        <v>38</v>
      </c>
      <c r="B59" s="67"/>
      <c r="C59" s="300" t="s">
        <v>461</v>
      </c>
      <c r="D59" s="10"/>
      <c r="E59" s="10"/>
      <c r="F59" s="10"/>
      <c r="G59" s="10"/>
      <c r="H59" s="10" t="str">
        <f>"Sum Line "&amp;A48&amp;" to Line "&amp;A58&amp;""</f>
        <v>Sum Line 27 to Line 37</v>
      </c>
      <c r="I59" s="10"/>
      <c r="J59" s="527">
        <f>SUM(J48:J58)</f>
        <v>1102506079.8287468</v>
      </c>
      <c r="K59" s="768"/>
      <c r="L59" s="37"/>
      <c r="M59" s="768"/>
      <c r="N59" s="5"/>
    </row>
    <row r="60" spans="1:14">
      <c r="A60" s="64"/>
      <c r="B60" s="67"/>
      <c r="C60" s="10"/>
      <c r="D60" s="10"/>
      <c r="E60" s="10"/>
      <c r="F60" s="10"/>
      <c r="G60" s="10"/>
      <c r="H60" s="10"/>
      <c r="I60" s="10"/>
      <c r="J60" s="37"/>
      <c r="K60" s="768"/>
      <c r="L60" s="37"/>
      <c r="M60" s="768"/>
      <c r="N60" s="5"/>
    </row>
    <row r="61" spans="1:14" ht="12.75" customHeight="1">
      <c r="A61" s="64">
        <f>A59+1</f>
        <v>39</v>
      </c>
      <c r="B61" s="67"/>
      <c r="C61" s="300" t="s">
        <v>462</v>
      </c>
      <c r="D61" s="10"/>
      <c r="E61" s="10"/>
      <c r="F61" s="10"/>
      <c r="G61" s="10"/>
      <c r="H61" s="10" t="str">
        <f>"15-IncentiveAdder L "&amp;'15-IncentiveAdder'!A59&amp;""</f>
        <v>15-IncentiveAdder L 20</v>
      </c>
      <c r="I61" s="10"/>
      <c r="J61" s="37">
        <f>'15-IncentiveAdder'!G59</f>
        <v>27390967.011458911</v>
      </c>
      <c r="K61" s="768"/>
      <c r="L61" s="37"/>
      <c r="M61" s="768"/>
      <c r="N61" s="5"/>
    </row>
    <row r="62" spans="1:14">
      <c r="A62" s="64"/>
      <c r="B62" s="67"/>
      <c r="C62" s="300"/>
      <c r="D62" s="10"/>
      <c r="E62" s="10"/>
      <c r="F62" s="10"/>
      <c r="G62" s="10"/>
      <c r="H62" s="10"/>
      <c r="I62" s="10"/>
      <c r="J62" s="37"/>
      <c r="K62" s="768"/>
      <c r="L62" s="37"/>
      <c r="M62" s="768"/>
      <c r="N62" s="5"/>
    </row>
    <row r="63" spans="1:14">
      <c r="A63" s="64">
        <f>A61+1</f>
        <v>40</v>
      </c>
      <c r="B63" s="67"/>
      <c r="C63" s="300" t="s">
        <v>463</v>
      </c>
      <c r="D63" s="10"/>
      <c r="E63" s="10"/>
      <c r="F63" s="10"/>
      <c r="G63" s="10"/>
      <c r="H63" s="10" t="str">
        <f>"Line "&amp;A59&amp;" + Line "&amp;A61&amp;""</f>
        <v>Line 38 + Line 39</v>
      </c>
      <c r="I63" s="10"/>
      <c r="J63" s="37">
        <f>J59+J61</f>
        <v>1129897046.8402057</v>
      </c>
      <c r="K63" s="768"/>
      <c r="L63" s="37"/>
      <c r="M63" s="768"/>
      <c r="N63" s="5"/>
    </row>
    <row r="64" spans="1:14">
      <c r="A64" s="64"/>
      <c r="B64" s="67"/>
      <c r="C64" s="300"/>
      <c r="D64" s="10"/>
      <c r="E64" s="10"/>
      <c r="F64" s="10"/>
      <c r="G64" s="10"/>
      <c r="H64" s="10"/>
      <c r="I64" s="10"/>
      <c r="J64" s="37"/>
      <c r="K64" s="768"/>
      <c r="L64" s="768"/>
      <c r="M64" s="768"/>
      <c r="N64" s="768"/>
    </row>
    <row r="65" spans="1:14">
      <c r="A65" s="64"/>
      <c r="B65" s="220" t="s">
        <v>464</v>
      </c>
      <c r="C65" s="300"/>
      <c r="D65" s="10"/>
      <c r="E65" s="10"/>
      <c r="F65" s="10"/>
      <c r="G65" s="10"/>
      <c r="H65" s="10"/>
      <c r="I65" s="10"/>
      <c r="J65" s="37"/>
      <c r="K65" s="768"/>
      <c r="L65" s="768"/>
      <c r="M65" s="768"/>
      <c r="N65" s="379"/>
    </row>
    <row r="66" spans="1:14">
      <c r="A66" s="30" t="s">
        <v>97</v>
      </c>
      <c r="B66" s="38"/>
      <c r="C66" s="768"/>
      <c r="D66" s="768"/>
      <c r="E66" s="768"/>
      <c r="F66" s="768"/>
      <c r="G66" s="28" t="s">
        <v>465</v>
      </c>
      <c r="H66" s="768"/>
      <c r="I66" s="768"/>
      <c r="J66" s="768"/>
      <c r="K66" s="768"/>
      <c r="L66" s="768"/>
      <c r="M66" s="768"/>
      <c r="N66" s="2"/>
    </row>
    <row r="67" spans="1:14">
      <c r="A67" s="64">
        <f>A63+1</f>
        <v>41</v>
      </c>
      <c r="B67" s="667"/>
      <c r="C67" s="10"/>
      <c r="D67" s="669" t="s">
        <v>466</v>
      </c>
      <c r="E67" s="37">
        <f>J63</f>
        <v>1129897046.8402057</v>
      </c>
      <c r="F67" s="10"/>
      <c r="G67" s="10" t="str">
        <f>"Line "&amp;A63&amp;""</f>
        <v>Line 40</v>
      </c>
      <c r="H67" s="10"/>
      <c r="I67" s="10"/>
      <c r="J67" s="10"/>
      <c r="K67" s="768"/>
      <c r="L67" s="5"/>
      <c r="M67" s="768"/>
      <c r="N67" s="5"/>
    </row>
    <row r="68" spans="1:14">
      <c r="A68" s="64">
        <f>A67+1</f>
        <v>42</v>
      </c>
      <c r="B68" s="667"/>
      <c r="C68" s="10"/>
      <c r="D68" s="669" t="s">
        <v>467</v>
      </c>
      <c r="E68" s="671">
        <f>'28-FFU'!D22</f>
        <v>9.2440000000000005E-3</v>
      </c>
      <c r="F68" s="10"/>
      <c r="G68" s="10" t="str">
        <f>"28-FFU, L "&amp;'28-FFU'!A22&amp;""</f>
        <v>28-FFU, L 5</v>
      </c>
      <c r="H68" s="10"/>
      <c r="I68" s="10"/>
      <c r="J68" s="10"/>
      <c r="K68" s="768"/>
      <c r="L68" s="6"/>
      <c r="M68" s="768"/>
      <c r="N68" s="6"/>
    </row>
    <row r="69" spans="1:14">
      <c r="A69" s="64">
        <f>A68+1</f>
        <v>43</v>
      </c>
      <c r="B69" s="667"/>
      <c r="C69" s="10"/>
      <c r="D69" s="48" t="s">
        <v>468</v>
      </c>
      <c r="E69" s="37">
        <f>E67*E68</f>
        <v>10444768.300990861</v>
      </c>
      <c r="F69" s="10"/>
      <c r="G69" s="10" t="str">
        <f>"Line "&amp;A67&amp;" * Line "&amp;A68&amp;""</f>
        <v>Line 41 * Line 42</v>
      </c>
      <c r="H69" s="10"/>
      <c r="I69" s="10"/>
      <c r="J69" s="10"/>
      <c r="K69" s="768"/>
      <c r="L69" s="5"/>
      <c r="M69" s="768"/>
      <c r="N69" s="5"/>
    </row>
    <row r="70" spans="1:14">
      <c r="A70" s="64">
        <f>A69+1</f>
        <v>44</v>
      </c>
      <c r="B70" s="667"/>
      <c r="C70" s="10"/>
      <c r="D70" s="669" t="s">
        <v>469</v>
      </c>
      <c r="E70" s="671">
        <f>'28-FFU'!E22</f>
        <v>2.134E-3</v>
      </c>
      <c r="F70" s="10"/>
      <c r="G70" s="10" t="str">
        <f>"28-FFU, L "&amp;'28-FFU'!A22&amp;""</f>
        <v>28-FFU, L 5</v>
      </c>
      <c r="H70" s="10"/>
      <c r="I70" s="10"/>
      <c r="J70" s="10"/>
      <c r="K70" s="768"/>
      <c r="L70" s="6"/>
      <c r="M70" s="768"/>
      <c r="N70" s="6"/>
    </row>
    <row r="71" spans="1:14">
      <c r="A71" s="64">
        <f>A70+1</f>
        <v>45</v>
      </c>
      <c r="B71" s="667"/>
      <c r="C71" s="10"/>
      <c r="D71" s="669" t="s">
        <v>296</v>
      </c>
      <c r="E71" s="37">
        <f>E67*E70</f>
        <v>2411200.2979569989</v>
      </c>
      <c r="F71" s="10"/>
      <c r="G71" s="10" t="str">
        <f>"Line "&amp;A67&amp;" * Line "&amp;A70&amp;""</f>
        <v>Line 41 * Line 44</v>
      </c>
      <c r="H71" s="10"/>
      <c r="I71" s="10"/>
      <c r="J71" s="10"/>
      <c r="K71" s="768"/>
      <c r="L71" s="5"/>
      <c r="M71" s="768"/>
      <c r="N71" s="5"/>
    </row>
    <row r="72" spans="1:14">
      <c r="A72" s="64">
        <f>A71+1</f>
        <v>46</v>
      </c>
      <c r="B72" s="667"/>
      <c r="C72" s="10"/>
      <c r="D72" s="669" t="s">
        <v>305</v>
      </c>
      <c r="E72" s="37">
        <f>E67+E69+E71</f>
        <v>1142753015.4391534</v>
      </c>
      <c r="F72" s="10"/>
      <c r="G72" s="10" t="str">
        <f>"L "&amp;A67&amp;" + L "&amp;A69&amp;" + L "&amp;A71&amp;""</f>
        <v>L 41 + L 43 + L 45</v>
      </c>
      <c r="H72" s="10"/>
      <c r="I72" s="10"/>
      <c r="J72" s="10"/>
      <c r="K72" s="768"/>
      <c r="L72" s="5"/>
      <c r="M72" s="768"/>
      <c r="N72" s="5"/>
    </row>
    <row r="73" spans="1:14">
      <c r="A73" s="10"/>
      <c r="B73" s="678" t="s">
        <v>408</v>
      </c>
      <c r="C73" s="10"/>
      <c r="D73" s="48"/>
      <c r="E73" s="37"/>
      <c r="F73" s="10"/>
      <c r="G73" s="10"/>
      <c r="H73" s="405"/>
      <c r="I73" s="10"/>
      <c r="J73" s="10"/>
      <c r="K73" s="768"/>
      <c r="L73" s="768"/>
      <c r="M73" s="768"/>
      <c r="N73" s="768"/>
    </row>
    <row r="74" spans="1:14">
      <c r="A74" s="64"/>
      <c r="B74" s="300" t="s">
        <v>470</v>
      </c>
      <c r="C74" s="220"/>
      <c r="D74" s="48"/>
      <c r="E74" s="37"/>
      <c r="F74" s="10"/>
      <c r="G74" s="10"/>
      <c r="H74" s="10"/>
      <c r="I74" s="10"/>
      <c r="J74" s="10"/>
      <c r="K74" s="768"/>
      <c r="L74" s="768"/>
      <c r="M74" s="768"/>
      <c r="N74" s="768"/>
    </row>
    <row r="75" spans="1:14">
      <c r="A75" s="64"/>
      <c r="B75" s="300" t="s">
        <v>471</v>
      </c>
      <c r="C75" s="220"/>
      <c r="D75" s="48"/>
      <c r="E75" s="37"/>
      <c r="F75" s="10"/>
      <c r="G75" s="10"/>
      <c r="H75" s="10"/>
      <c r="I75" s="10"/>
      <c r="J75" s="10"/>
      <c r="K75" s="768"/>
      <c r="L75" s="768"/>
      <c r="M75" s="768"/>
      <c r="N75" s="768"/>
    </row>
    <row r="76" spans="1:14">
      <c r="A76" s="64"/>
      <c r="B76" s="668" t="s">
        <v>472</v>
      </c>
      <c r="C76" s="300"/>
      <c r="D76" s="48"/>
      <c r="E76" s="37"/>
      <c r="F76" s="10"/>
      <c r="G76" s="10"/>
      <c r="H76" s="10"/>
      <c r="I76" s="10"/>
      <c r="J76" s="10"/>
      <c r="K76" s="768"/>
      <c r="L76" s="768"/>
      <c r="M76" s="768"/>
      <c r="N76" s="768"/>
    </row>
    <row r="77" spans="1:14">
      <c r="A77" s="64"/>
      <c r="B77" s="668" t="s">
        <v>473</v>
      </c>
      <c r="C77" s="10"/>
      <c r="D77" s="48"/>
      <c r="E77" s="37"/>
      <c r="F77" s="10"/>
      <c r="G77" s="10"/>
      <c r="H77" s="10"/>
      <c r="I77" s="10"/>
      <c r="J77" s="10"/>
      <c r="K77" s="768"/>
      <c r="L77" s="768"/>
      <c r="M77" s="768"/>
      <c r="N77" s="768"/>
    </row>
    <row r="78" spans="1:14">
      <c r="A78" s="64"/>
      <c r="B78" s="10"/>
      <c r="C78" s="10"/>
      <c r="D78" s="10"/>
      <c r="E78" s="10"/>
      <c r="F78" s="10"/>
      <c r="G78" s="10"/>
      <c r="H78" s="10"/>
      <c r="I78" s="10"/>
      <c r="J78" s="10"/>
      <c r="K78" s="768"/>
      <c r="L78" s="768"/>
      <c r="M78" s="768"/>
      <c r="N78" s="768"/>
    </row>
    <row r="79" spans="1:14">
      <c r="A79" s="64"/>
      <c r="B79" s="300" t="s">
        <v>474</v>
      </c>
      <c r="C79" s="10"/>
      <c r="D79" s="10"/>
      <c r="E79" s="10"/>
      <c r="F79" s="10"/>
      <c r="G79" s="10"/>
      <c r="H79" s="10"/>
      <c r="I79" s="10"/>
      <c r="J79" s="10"/>
      <c r="K79" s="768"/>
      <c r="L79" s="768"/>
      <c r="M79" s="768"/>
      <c r="N79" s="768"/>
    </row>
    <row r="80" spans="1:14">
      <c r="A80" s="64"/>
      <c r="B80" s="300"/>
      <c r="C80" s="300" t="s">
        <v>475</v>
      </c>
      <c r="D80" s="10"/>
      <c r="E80" s="10"/>
      <c r="F80" s="10"/>
      <c r="G80" s="10"/>
      <c r="H80" s="10"/>
      <c r="I80" s="10"/>
      <c r="J80" s="10"/>
      <c r="K80" s="768"/>
      <c r="L80" s="768"/>
      <c r="M80" s="768"/>
      <c r="N80" s="768"/>
    </row>
    <row r="81" spans="1:12">
      <c r="A81" s="64"/>
      <c r="B81" s="300"/>
      <c r="C81" s="10"/>
      <c r="D81" s="10"/>
      <c r="E81" s="10"/>
      <c r="F81" s="10"/>
      <c r="G81" s="10"/>
      <c r="H81" s="10"/>
      <c r="I81" s="10"/>
      <c r="J81" s="64" t="s">
        <v>476</v>
      </c>
      <c r="K81" s="768"/>
      <c r="L81" s="768"/>
    </row>
    <row r="82" spans="1:12">
      <c r="A82" s="64"/>
      <c r="B82" s="10"/>
      <c r="C82" s="10"/>
      <c r="D82" s="10"/>
      <c r="E82" s="74" t="s">
        <v>477</v>
      </c>
      <c r="F82" s="663" t="s">
        <v>465</v>
      </c>
      <c r="G82" s="74" t="s">
        <v>478</v>
      </c>
      <c r="H82" s="74" t="s">
        <v>479</v>
      </c>
      <c r="I82" s="10"/>
      <c r="J82" s="74" t="s">
        <v>480</v>
      </c>
      <c r="K82" s="768"/>
      <c r="L82" s="768"/>
    </row>
    <row r="83" spans="1:12">
      <c r="A83" s="768"/>
      <c r="B83" s="680" t="s">
        <v>481</v>
      </c>
      <c r="C83" s="300" t="s">
        <v>482</v>
      </c>
      <c r="D83" s="10"/>
      <c r="E83" s="904">
        <v>0.108</v>
      </c>
      <c r="F83" s="679" t="s">
        <v>483</v>
      </c>
      <c r="G83" s="993">
        <v>43101</v>
      </c>
      <c r="H83" s="993">
        <v>43465</v>
      </c>
      <c r="I83" s="300"/>
      <c r="J83" s="770">
        <v>365</v>
      </c>
      <c r="K83" s="300"/>
      <c r="L83" s="300"/>
    </row>
    <row r="84" spans="1:12">
      <c r="A84" s="768"/>
      <c r="B84" s="680" t="s">
        <v>484</v>
      </c>
      <c r="C84" s="300" t="s">
        <v>485</v>
      </c>
      <c r="D84" s="10"/>
      <c r="E84" s="904">
        <v>0.108</v>
      </c>
      <c r="F84" s="679" t="s">
        <v>486</v>
      </c>
      <c r="G84" s="402"/>
      <c r="H84" s="353"/>
      <c r="I84" s="300"/>
      <c r="J84" s="770"/>
      <c r="K84" s="300"/>
      <c r="L84" s="300"/>
    </row>
    <row r="85" spans="1:12">
      <c r="A85" s="768"/>
      <c r="B85" s="680" t="s">
        <v>487</v>
      </c>
      <c r="C85" s="300"/>
      <c r="D85" s="10"/>
      <c r="E85" s="681"/>
      <c r="F85" s="679"/>
      <c r="G85" s="354"/>
      <c r="H85" s="354"/>
      <c r="I85" s="669" t="s">
        <v>488</v>
      </c>
      <c r="J85" s="300">
        <f>SUM(J83:J84)</f>
        <v>365</v>
      </c>
      <c r="K85" s="300"/>
      <c r="L85" s="300"/>
    </row>
    <row r="86" spans="1:12">
      <c r="A86" s="10"/>
      <c r="B86" s="680" t="s">
        <v>489</v>
      </c>
      <c r="C86" s="300" t="s">
        <v>490</v>
      </c>
      <c r="D86" s="10"/>
      <c r="E86" s="47">
        <f>((E83*J83) + (E84* J84)) / J85</f>
        <v>0.108</v>
      </c>
      <c r="F86" s="300" t="s">
        <v>491</v>
      </c>
      <c r="G86" s="10"/>
      <c r="H86" s="300"/>
      <c r="I86" s="300"/>
      <c r="J86" s="300"/>
      <c r="K86" s="300"/>
      <c r="L86" s="300"/>
    </row>
    <row r="87" spans="1:12">
      <c r="A87" s="64"/>
      <c r="B87" s="300"/>
      <c r="C87" s="10"/>
      <c r="D87" s="10"/>
      <c r="E87" s="10"/>
      <c r="F87" s="10"/>
      <c r="G87" s="10"/>
      <c r="H87" s="300"/>
      <c r="I87" s="300"/>
      <c r="J87" s="300"/>
      <c r="K87" s="300"/>
      <c r="L87" s="300"/>
    </row>
    <row r="88" spans="1:12">
      <c r="A88" s="64"/>
      <c r="B88" s="300" t="s">
        <v>492</v>
      </c>
      <c r="C88" s="10"/>
      <c r="D88" s="10"/>
      <c r="E88" s="10"/>
      <c r="F88" s="10"/>
      <c r="G88" s="10"/>
      <c r="H88" s="300"/>
      <c r="I88" s="300"/>
      <c r="J88" s="300"/>
      <c r="K88" s="300"/>
      <c r="L88" s="300"/>
    </row>
    <row r="89" spans="1:12">
      <c r="A89" s="64"/>
      <c r="B89" s="300"/>
      <c r="C89" s="10"/>
      <c r="D89" s="10"/>
      <c r="E89" s="663" t="s">
        <v>465</v>
      </c>
      <c r="F89" s="10"/>
      <c r="G89" s="10"/>
      <c r="H89" s="300"/>
      <c r="I89" s="300"/>
      <c r="J89" s="300"/>
      <c r="K89" s="300"/>
      <c r="L89" s="300"/>
    </row>
    <row r="90" spans="1:12">
      <c r="A90" s="10"/>
      <c r="B90" s="680" t="s">
        <v>493</v>
      </c>
      <c r="C90" s="300" t="s">
        <v>494</v>
      </c>
      <c r="D90" s="10"/>
      <c r="E90" s="770" t="s">
        <v>495</v>
      </c>
      <c r="F90" s="58"/>
      <c r="G90" s="58"/>
      <c r="H90" s="770"/>
      <c r="I90" s="770"/>
      <c r="J90" s="770"/>
      <c r="K90" s="300"/>
      <c r="L90" s="300"/>
    </row>
    <row r="91" spans="1:12">
      <c r="A91" s="768"/>
      <c r="B91" s="680" t="s">
        <v>496</v>
      </c>
      <c r="C91" s="300" t="s">
        <v>497</v>
      </c>
      <c r="D91" s="10"/>
      <c r="E91" s="770" t="s">
        <v>495</v>
      </c>
      <c r="F91" s="58"/>
      <c r="G91" s="58"/>
      <c r="H91" s="770"/>
      <c r="I91" s="770"/>
      <c r="J91" s="770"/>
      <c r="K91" s="300"/>
      <c r="L91" s="300"/>
    </row>
    <row r="92" spans="1:12">
      <c r="A92" s="768"/>
      <c r="B92" s="10"/>
      <c r="C92" s="300"/>
      <c r="D92" s="10"/>
      <c r="E92" s="354"/>
      <c r="F92" s="10"/>
      <c r="G92" s="10"/>
      <c r="H92" s="10"/>
      <c r="I92" s="300"/>
      <c r="J92" s="300"/>
      <c r="K92" s="300"/>
      <c r="L92" s="300"/>
    </row>
    <row r="93" spans="1:12">
      <c r="A93" s="768"/>
      <c r="B93" s="10"/>
      <c r="C93" s="10"/>
      <c r="D93" s="10"/>
      <c r="E93" s="74" t="s">
        <v>477</v>
      </c>
      <c r="F93" s="663" t="s">
        <v>465</v>
      </c>
      <c r="G93" s="10"/>
      <c r="H93" s="300"/>
      <c r="I93" s="300"/>
      <c r="J93" s="10"/>
      <c r="K93" s="768"/>
      <c r="L93" s="768"/>
    </row>
    <row r="94" spans="1:12">
      <c r="A94" s="768"/>
      <c r="B94" s="680" t="s">
        <v>498</v>
      </c>
      <c r="C94" s="300" t="s">
        <v>499</v>
      </c>
      <c r="D94" s="300"/>
      <c r="E94" s="39">
        <f>'1-BaseTRR'!K88</f>
        <v>2.0797698678994836E-2</v>
      </c>
      <c r="F94" s="10" t="str">
        <f>"1-Base TRR L "&amp;'1-BaseTRR'!A88&amp;""</f>
        <v>1-Base TRR L 51</v>
      </c>
      <c r="G94" s="10"/>
      <c r="H94" s="300"/>
      <c r="I94" s="300"/>
      <c r="J94" s="10"/>
      <c r="K94" s="768"/>
      <c r="L94" s="768"/>
    </row>
    <row r="95" spans="1:12">
      <c r="A95" s="768"/>
      <c r="B95" s="680" t="s">
        <v>500</v>
      </c>
      <c r="C95" s="300" t="s">
        <v>501</v>
      </c>
      <c r="D95" s="10"/>
      <c r="E95" s="39">
        <f>'1-BaseTRR'!K89</f>
        <v>4.6188483290892438E-3</v>
      </c>
      <c r="F95" s="10" t="str">
        <f>"1-Base TRR L "&amp;'1-BaseTRR'!A89&amp;""</f>
        <v>1-Base TRR L 52</v>
      </c>
      <c r="G95" s="10"/>
      <c r="H95" s="300"/>
      <c r="I95" s="300"/>
      <c r="J95" s="10"/>
      <c r="K95" s="768"/>
      <c r="L95" s="768"/>
    </row>
    <row r="96" spans="1:12">
      <c r="A96" s="768"/>
      <c r="B96" s="680" t="s">
        <v>502</v>
      </c>
      <c r="C96" s="300" t="s">
        <v>503</v>
      </c>
      <c r="D96" s="10"/>
      <c r="E96" s="27">
        <f>('1-BaseTRR'!K80) * E86</f>
        <v>5.1265098321480525E-2</v>
      </c>
      <c r="F96" s="10" t="str">
        <f>"1-Base TRR L "&amp;'1-BaseTRR'!A80&amp;" * Line d"</f>
        <v>1-Base TRR L 47 * Line d</v>
      </c>
      <c r="G96" s="300"/>
      <c r="H96" s="300"/>
      <c r="I96" s="10"/>
      <c r="J96" s="10"/>
      <c r="K96" s="768"/>
      <c r="L96" s="768"/>
    </row>
    <row r="97" spans="1:10">
      <c r="A97" s="10"/>
      <c r="B97" s="64" t="s">
        <v>504</v>
      </c>
      <c r="C97" s="297" t="s">
        <v>176</v>
      </c>
      <c r="D97" s="10"/>
      <c r="E97" s="232">
        <f>SUM(E94:E96)</f>
        <v>7.6681645329564604E-2</v>
      </c>
      <c r="F97" s="37" t="str">
        <f>"Sum of Lines "&amp;B94&amp;" to "&amp;B96&amp;""</f>
        <v>Sum of Lines g to i</v>
      </c>
      <c r="G97" s="1020"/>
      <c r="H97" s="10"/>
      <c r="I97" s="10"/>
      <c r="J97" s="682"/>
    </row>
    <row r="98" spans="1:10">
      <c r="A98" s="64"/>
      <c r="B98" s="10"/>
      <c r="C98" s="324"/>
      <c r="D98" s="330"/>
      <c r="E98" s="37"/>
      <c r="F98" s="37"/>
      <c r="G98" s="1020"/>
      <c r="H98" s="37"/>
      <c r="I98" s="10"/>
      <c r="J98" s="682"/>
    </row>
    <row r="99" spans="1:10">
      <c r="A99" s="64"/>
      <c r="B99" s="300" t="s">
        <v>505</v>
      </c>
      <c r="C99" s="10"/>
      <c r="D99" s="10"/>
      <c r="E99" s="10"/>
      <c r="F99" s="10"/>
      <c r="G99" s="10"/>
      <c r="H99" s="10"/>
      <c r="I99" s="10"/>
      <c r="J99" s="10"/>
    </row>
    <row r="100" spans="1:10">
      <c r="A100" s="64"/>
      <c r="B100" s="10"/>
      <c r="C100" s="10"/>
      <c r="D100" s="10"/>
      <c r="E100" s="10"/>
      <c r="F100" s="10"/>
      <c r="G100" s="10"/>
      <c r="H100" s="10"/>
      <c r="I100" s="10"/>
      <c r="J100" s="10"/>
    </row>
    <row r="101" spans="1:10">
      <c r="A101" s="64"/>
      <c r="B101" s="10"/>
      <c r="C101" s="10"/>
      <c r="D101" s="10"/>
      <c r="E101" s="74" t="s">
        <v>477</v>
      </c>
      <c r="F101" s="663" t="s">
        <v>465</v>
      </c>
      <c r="G101" s="10"/>
      <c r="H101" s="10"/>
      <c r="I101" s="10"/>
      <c r="J101" s="10"/>
    </row>
    <row r="102" spans="1:10">
      <c r="A102" s="10"/>
      <c r="B102" s="680" t="s">
        <v>506</v>
      </c>
      <c r="C102" s="10"/>
      <c r="D102" s="10"/>
      <c r="E102" s="39">
        <f>E95+E96</f>
        <v>5.5883946650569769E-2</v>
      </c>
      <c r="F102" s="37" t="str">
        <f>"Sum of Lines "&amp;B95&amp;" to "&amp;B96&amp;""</f>
        <v>Sum of Lines h to i</v>
      </c>
      <c r="G102" s="10"/>
      <c r="H102" s="10"/>
      <c r="I102" s="10"/>
      <c r="J102" s="10"/>
    </row>
    <row r="103" spans="1:10">
      <c r="A103" s="64"/>
      <c r="B103" s="10"/>
      <c r="C103" s="10"/>
      <c r="D103" s="10"/>
      <c r="E103" s="39"/>
      <c r="F103" s="37"/>
      <c r="G103" s="10"/>
      <c r="H103" s="10"/>
      <c r="I103" s="10"/>
      <c r="J103" s="10"/>
    </row>
    <row r="104" spans="1:10">
      <c r="A104" s="64"/>
      <c r="B104" s="668"/>
      <c r="C104" s="10"/>
      <c r="D104" s="10"/>
      <c r="E104" s="1020"/>
      <c r="F104" s="1020"/>
      <c r="G104" s="1020"/>
      <c r="H104" s="37"/>
      <c r="I104" s="10"/>
      <c r="J104" s="10"/>
    </row>
    <row r="105" spans="1:10">
      <c r="A105" s="64"/>
      <c r="B105" s="679"/>
      <c r="C105" s="10"/>
      <c r="D105" s="10"/>
      <c r="E105" s="10"/>
      <c r="F105" s="10"/>
      <c r="G105" s="10"/>
      <c r="H105" s="10"/>
      <c r="I105" s="10"/>
      <c r="J105" s="10"/>
    </row>
    <row r="106" spans="1:10">
      <c r="A106" s="379"/>
      <c r="B106" s="679"/>
      <c r="C106" s="10"/>
      <c r="D106" s="64"/>
      <c r="E106" s="64"/>
      <c r="F106" s="64"/>
      <c r="G106" s="64"/>
      <c r="H106" s="64"/>
      <c r="I106" s="10"/>
      <c r="J106" s="10"/>
    </row>
    <row r="107" spans="1:10">
      <c r="A107" s="379"/>
      <c r="B107" s="668"/>
      <c r="C107" s="10"/>
      <c r="D107" s="64"/>
      <c r="E107" s="64"/>
      <c r="F107" s="64"/>
      <c r="G107" s="64"/>
      <c r="H107" s="64"/>
      <c r="I107" s="10"/>
      <c r="J107" s="10"/>
    </row>
    <row r="108" spans="1:10">
      <c r="A108" s="379"/>
      <c r="B108" s="10"/>
      <c r="C108" s="15"/>
      <c r="D108" s="15"/>
      <c r="E108" s="74"/>
      <c r="F108" s="74"/>
      <c r="G108" s="74"/>
      <c r="H108" s="74"/>
      <c r="I108" s="10"/>
      <c r="J108" s="10"/>
    </row>
    <row r="109" spans="1:10">
      <c r="A109" s="379"/>
      <c r="B109" s="768"/>
      <c r="C109" s="768"/>
      <c r="D109" s="768"/>
      <c r="E109" s="768"/>
      <c r="F109" s="768"/>
      <c r="G109" s="768"/>
      <c r="H109" s="768"/>
      <c r="I109" s="768"/>
      <c r="J109" s="768"/>
    </row>
    <row r="110" spans="1:10">
      <c r="A110" s="379"/>
      <c r="B110" s="768"/>
      <c r="C110" s="768"/>
      <c r="D110" s="768"/>
      <c r="E110" s="768"/>
      <c r="F110" s="768"/>
      <c r="G110" s="768"/>
      <c r="H110" s="768"/>
      <c r="I110" s="768"/>
      <c r="J110" s="768"/>
    </row>
    <row r="111" spans="1:10">
      <c r="A111" s="379"/>
      <c r="B111" s="768"/>
      <c r="C111" s="768"/>
      <c r="D111" s="768"/>
      <c r="E111" s="768"/>
      <c r="F111" s="768"/>
      <c r="G111" s="768"/>
      <c r="H111" s="768"/>
      <c r="I111" s="768"/>
      <c r="J111" s="768"/>
    </row>
    <row r="112" spans="1:10">
      <c r="A112" s="379"/>
      <c r="B112" s="768"/>
      <c r="C112" s="324"/>
      <c r="D112" s="768"/>
      <c r="E112" s="37"/>
      <c r="F112" s="37"/>
      <c r="G112" s="768"/>
      <c r="H112" s="5"/>
      <c r="I112" s="768"/>
      <c r="J112" s="50"/>
    </row>
    <row r="113" spans="1:10">
      <c r="A113" s="379"/>
      <c r="B113" s="768"/>
      <c r="C113" s="324"/>
      <c r="D113" s="768"/>
      <c r="E113" s="37"/>
      <c r="F113" s="37"/>
      <c r="G113" s="768"/>
      <c r="H113" s="5"/>
      <c r="I113" s="768"/>
      <c r="J113" s="50"/>
    </row>
    <row r="114" spans="1:10">
      <c r="A114" s="30"/>
      <c r="B114" s="768"/>
      <c r="C114" s="324"/>
      <c r="D114" s="768"/>
      <c r="E114" s="37"/>
      <c r="F114" s="37"/>
      <c r="G114" s="768"/>
      <c r="H114" s="5"/>
      <c r="I114" s="768"/>
      <c r="J114" s="50"/>
    </row>
    <row r="115" spans="1:10">
      <c r="A115" s="379"/>
      <c r="B115" s="768"/>
      <c r="C115" s="768"/>
      <c r="D115" s="327"/>
      <c r="E115" s="37"/>
      <c r="F115" s="37"/>
      <c r="G115" s="298"/>
      <c r="H115" s="5"/>
      <c r="I115" s="768"/>
      <c r="J115" s="50"/>
    </row>
    <row r="116" spans="1:10">
      <c r="A116" s="379"/>
      <c r="B116" s="768"/>
      <c r="C116" s="324"/>
      <c r="D116" s="296"/>
      <c r="E116" s="55"/>
      <c r="F116" s="5"/>
      <c r="G116" s="298"/>
      <c r="H116" s="5"/>
      <c r="I116" s="768"/>
      <c r="J116" s="50"/>
    </row>
    <row r="117" spans="1:10">
      <c r="A117" s="379"/>
      <c r="B117" s="768"/>
      <c r="C117" s="324"/>
      <c r="D117" s="296"/>
      <c r="E117" s="5"/>
      <c r="F117" s="5"/>
      <c r="G117" s="298"/>
      <c r="H117" s="5"/>
      <c r="I117" s="768"/>
      <c r="J117" s="50"/>
    </row>
    <row r="118" spans="1:10">
      <c r="A118" s="379"/>
      <c r="B118" s="768"/>
      <c r="C118" s="768"/>
      <c r="D118" s="768"/>
      <c r="E118" s="768"/>
      <c r="F118" s="768"/>
      <c r="G118" s="768"/>
      <c r="H118" s="768"/>
      <c r="I118" s="768"/>
      <c r="J118" s="768"/>
    </row>
    <row r="119" spans="1:10">
      <c r="A119" s="379"/>
      <c r="B119" s="1"/>
      <c r="C119" s="768"/>
      <c r="D119" s="768"/>
      <c r="E119" s="768"/>
      <c r="F119" s="768"/>
      <c r="G119" s="768"/>
      <c r="H119" s="768"/>
      <c r="I119" s="768"/>
      <c r="J119" s="768"/>
    </row>
    <row r="120" spans="1:10">
      <c r="A120" s="379"/>
      <c r="B120" s="768"/>
      <c r="C120" s="768"/>
      <c r="D120" s="768"/>
      <c r="E120" s="768"/>
      <c r="F120" s="768"/>
      <c r="G120" s="768"/>
      <c r="H120" s="768"/>
      <c r="I120" s="768"/>
      <c r="J120" s="768"/>
    </row>
    <row r="121" spans="1:10">
      <c r="A121" s="379"/>
      <c r="B121" s="768"/>
      <c r="C121" s="768"/>
      <c r="D121" s="768"/>
      <c r="E121" s="768"/>
      <c r="F121" s="768"/>
      <c r="G121" s="768"/>
      <c r="H121" s="768"/>
      <c r="I121" s="768"/>
      <c r="J121" s="768"/>
    </row>
    <row r="122" spans="1:10">
      <c r="A122" s="379"/>
      <c r="B122" s="768"/>
      <c r="C122" s="768"/>
      <c r="D122" s="768"/>
      <c r="E122" s="768"/>
      <c r="F122" s="379"/>
      <c r="G122" s="768"/>
      <c r="H122" s="768"/>
      <c r="I122" s="768"/>
      <c r="J122" s="768"/>
    </row>
    <row r="123" spans="1:10">
      <c r="A123" s="379"/>
      <c r="B123" s="768"/>
      <c r="C123" s="768"/>
      <c r="D123" s="768"/>
      <c r="E123" s="768"/>
      <c r="F123" s="379"/>
      <c r="G123" s="768"/>
      <c r="H123" s="768"/>
      <c r="I123" s="768"/>
      <c r="J123" s="768"/>
    </row>
    <row r="124" spans="1:10">
      <c r="A124" s="379"/>
      <c r="B124" s="768"/>
      <c r="C124" s="768"/>
      <c r="D124" s="379"/>
      <c r="E124" s="379"/>
      <c r="F124" s="379"/>
      <c r="G124" s="768"/>
      <c r="H124" s="379"/>
      <c r="I124" s="768"/>
      <c r="J124" s="768"/>
    </row>
    <row r="125" spans="1:10">
      <c r="A125" s="379"/>
      <c r="B125" s="768"/>
      <c r="C125" s="768"/>
      <c r="D125" s="379"/>
      <c r="E125" s="379"/>
      <c r="F125" s="379"/>
      <c r="G125" s="379"/>
      <c r="H125" s="3"/>
      <c r="I125" s="768"/>
      <c r="J125" s="768"/>
    </row>
    <row r="126" spans="1:10">
      <c r="A126" s="30"/>
      <c r="B126" s="768"/>
      <c r="C126" s="13"/>
      <c r="D126" s="13"/>
      <c r="E126" s="2"/>
      <c r="F126" s="52"/>
      <c r="G126" s="2"/>
      <c r="H126" s="3"/>
      <c r="I126" s="768"/>
      <c r="J126" s="768"/>
    </row>
    <row r="127" spans="1:10">
      <c r="A127" s="379"/>
      <c r="B127" s="768"/>
      <c r="C127" s="326"/>
      <c r="D127" s="330"/>
      <c r="E127" s="37"/>
      <c r="F127" s="37"/>
      <c r="G127" s="47"/>
      <c r="H127" s="5"/>
      <c r="I127" s="768"/>
      <c r="J127" s="768"/>
    </row>
    <row r="128" spans="1:10">
      <c r="A128" s="379"/>
      <c r="B128" s="768"/>
      <c r="C128" s="324"/>
      <c r="D128" s="330"/>
      <c r="E128" s="37"/>
      <c r="F128" s="37"/>
      <c r="G128" s="47"/>
      <c r="H128" s="5"/>
      <c r="I128" s="768"/>
      <c r="J128" s="768"/>
    </row>
    <row r="129" spans="1:8">
      <c r="A129" s="379"/>
      <c r="B129" s="768"/>
      <c r="C129" s="324"/>
      <c r="D129" s="330"/>
      <c r="E129" s="37"/>
      <c r="F129" s="37"/>
      <c r="G129" s="47"/>
      <c r="H129" s="5"/>
    </row>
    <row r="130" spans="1:8">
      <c r="A130" s="379"/>
      <c r="B130" s="768"/>
      <c r="C130" s="326"/>
      <c r="D130" s="330"/>
      <c r="E130" s="37"/>
      <c r="F130" s="37"/>
      <c r="G130" s="47"/>
      <c r="H130" s="5"/>
    </row>
    <row r="131" spans="1:8">
      <c r="A131" s="379"/>
      <c r="B131" s="768"/>
      <c r="C131" s="324"/>
      <c r="D131" s="330"/>
      <c r="E131" s="37"/>
      <c r="F131" s="37"/>
      <c r="G131" s="47"/>
      <c r="H131" s="5"/>
    </row>
    <row r="132" spans="1:8">
      <c r="A132" s="379"/>
      <c r="B132" s="768"/>
      <c r="C132" s="324"/>
      <c r="D132" s="330"/>
      <c r="E132" s="37"/>
      <c r="F132" s="37"/>
      <c r="G132" s="47"/>
      <c r="H132" s="5"/>
    </row>
    <row r="133" spans="1:8">
      <c r="A133" s="379"/>
      <c r="B133" s="768"/>
      <c r="C133" s="326"/>
      <c r="D133" s="330"/>
      <c r="E133" s="37"/>
      <c r="F133" s="37"/>
      <c r="G133" s="47"/>
      <c r="H133" s="5"/>
    </row>
    <row r="134" spans="1:8">
      <c r="A134" s="379"/>
      <c r="B134" s="768"/>
      <c r="C134" s="324"/>
      <c r="D134" s="330"/>
      <c r="E134" s="37"/>
      <c r="F134" s="37"/>
      <c r="G134" s="47"/>
      <c r="H134" s="5"/>
    </row>
    <row r="135" spans="1:8">
      <c r="A135" s="379"/>
      <c r="B135" s="768"/>
      <c r="C135" s="324"/>
      <c r="D135" s="330"/>
      <c r="E135" s="37"/>
      <c r="F135" s="37"/>
      <c r="G135" s="47"/>
      <c r="H135" s="5"/>
    </row>
    <row r="136" spans="1:8">
      <c r="A136" s="379"/>
      <c r="B136" s="768"/>
      <c r="C136" s="326"/>
      <c r="D136" s="330"/>
      <c r="E136" s="37"/>
      <c r="F136" s="37"/>
      <c r="G136" s="47"/>
      <c r="H136" s="5"/>
    </row>
    <row r="137" spans="1:8">
      <c r="A137" s="379"/>
      <c r="B137" s="768"/>
      <c r="C137" s="326"/>
      <c r="D137" s="330"/>
      <c r="E137" s="37"/>
      <c r="F137" s="37"/>
      <c r="G137" s="47"/>
      <c r="H137" s="5"/>
    </row>
    <row r="138" spans="1:8">
      <c r="A138" s="379"/>
      <c r="B138" s="768"/>
      <c r="C138" s="324"/>
      <c r="D138" s="330"/>
      <c r="E138" s="37"/>
      <c r="F138" s="37"/>
      <c r="G138" s="47"/>
      <c r="H138" s="55"/>
    </row>
    <row r="139" spans="1:8">
      <c r="A139" s="379"/>
      <c r="B139" s="768"/>
      <c r="C139" s="768"/>
      <c r="D139" s="768"/>
      <c r="E139" s="10"/>
      <c r="F139" s="10"/>
      <c r="G139" s="10"/>
      <c r="H139" s="5"/>
    </row>
    <row r="140" spans="1:8">
      <c r="A140" s="379"/>
      <c r="B140" s="768"/>
      <c r="C140" s="324"/>
      <c r="D140" s="330"/>
      <c r="E140" s="10"/>
      <c r="F140" s="93"/>
      <c r="G140" s="47"/>
      <c r="H140" s="42"/>
    </row>
    <row r="141" spans="1:8">
      <c r="A141" s="379"/>
      <c r="B141" s="1"/>
      <c r="C141" s="324"/>
      <c r="D141" s="330"/>
      <c r="E141" s="10"/>
      <c r="F141" s="93"/>
      <c r="G141" s="47"/>
      <c r="H141" s="42"/>
    </row>
    <row r="142" spans="1:8">
      <c r="A142" s="30"/>
      <c r="B142" s="1"/>
      <c r="C142" s="324"/>
      <c r="D142" s="330"/>
      <c r="E142" s="10"/>
      <c r="F142" s="93"/>
      <c r="G142" s="47"/>
      <c r="H142" s="42"/>
    </row>
    <row r="143" spans="1:8">
      <c r="A143" s="379"/>
      <c r="B143" s="768"/>
      <c r="C143" s="324"/>
      <c r="D143" s="1179"/>
      <c r="E143" s="37"/>
      <c r="F143" s="841"/>
      <c r="G143" s="47"/>
      <c r="H143" s="42"/>
    </row>
    <row r="144" spans="1:8">
      <c r="A144" s="379"/>
      <c r="B144" s="768"/>
      <c r="C144" s="324"/>
      <c r="D144" s="18"/>
      <c r="E144" s="37"/>
      <c r="F144" s="841"/>
      <c r="G144" s="47"/>
      <c r="H144" s="42"/>
    </row>
    <row r="145" spans="1:10">
      <c r="A145" s="379"/>
      <c r="B145" s="768"/>
      <c r="C145" s="324"/>
      <c r="D145" s="18"/>
      <c r="E145" s="55"/>
      <c r="F145" s="322"/>
      <c r="G145" s="47"/>
      <c r="H145" s="42"/>
      <c r="I145" s="768"/>
      <c r="J145" s="768"/>
    </row>
    <row r="146" spans="1:10">
      <c r="A146" s="379"/>
      <c r="B146" s="768"/>
      <c r="C146" s="324"/>
      <c r="D146" s="1179"/>
      <c r="E146" s="5"/>
      <c r="F146" s="42"/>
      <c r="G146" s="47"/>
      <c r="H146" s="42"/>
      <c r="I146" s="768"/>
      <c r="J146" s="768"/>
    </row>
    <row r="147" spans="1:10">
      <c r="A147" s="379"/>
      <c r="B147" s="768"/>
      <c r="C147" s="324"/>
      <c r="D147" s="330"/>
      <c r="E147" s="768"/>
      <c r="F147" s="42"/>
      <c r="G147" s="47"/>
      <c r="H147" s="42"/>
      <c r="I147" s="768"/>
      <c r="J147" s="768"/>
    </row>
    <row r="148" spans="1:10">
      <c r="A148" s="379"/>
      <c r="B148" s="768"/>
      <c r="C148" s="768"/>
      <c r="D148" s="768"/>
      <c r="E148" s="768"/>
      <c r="F148" s="768"/>
      <c r="G148" s="768"/>
      <c r="H148" s="768"/>
      <c r="I148" s="768"/>
      <c r="J148" s="768"/>
    </row>
    <row r="149" spans="1:10">
      <c r="A149" s="379"/>
      <c r="B149" s="768"/>
      <c r="C149" s="768"/>
      <c r="D149" s="768"/>
      <c r="E149" s="768"/>
      <c r="F149" s="768"/>
      <c r="G149" s="768"/>
      <c r="H149" s="768"/>
      <c r="I149" s="768"/>
      <c r="J149" s="768"/>
    </row>
    <row r="150" spans="1:10">
      <c r="A150" s="379"/>
      <c r="B150" s="768"/>
      <c r="C150" s="768"/>
      <c r="D150" s="768"/>
      <c r="E150" s="768"/>
      <c r="F150" s="768"/>
      <c r="G150" s="768"/>
      <c r="H150" s="768"/>
      <c r="I150" s="768"/>
      <c r="J150" s="768"/>
    </row>
    <row r="151" spans="1:10">
      <c r="A151" s="379"/>
      <c r="B151" s="1"/>
      <c r="C151" s="768"/>
      <c r="D151" s="768"/>
      <c r="E151" s="768"/>
      <c r="F151" s="768"/>
      <c r="G151" s="768"/>
      <c r="H151" s="768"/>
      <c r="I151" s="768"/>
      <c r="J151" s="768"/>
    </row>
    <row r="152" spans="1:10">
      <c r="A152" s="379"/>
      <c r="B152" s="298"/>
      <c r="C152" s="768"/>
      <c r="D152" s="768"/>
      <c r="E152" s="768"/>
      <c r="F152" s="768"/>
      <c r="G152" s="768"/>
      <c r="H152" s="768"/>
      <c r="I152" s="768"/>
      <c r="J152" s="768"/>
    </row>
    <row r="153" spans="1:10">
      <c r="A153" s="379"/>
      <c r="B153" s="298"/>
      <c r="C153" s="768"/>
      <c r="D153" s="768"/>
      <c r="E153" s="768"/>
      <c r="F153" s="768"/>
      <c r="G153" s="768"/>
      <c r="H153" s="768"/>
      <c r="I153" s="768"/>
      <c r="J153" s="768"/>
    </row>
    <row r="154" spans="1:10">
      <c r="A154" s="379"/>
      <c r="B154" s="298"/>
      <c r="C154" s="768"/>
      <c r="D154" s="768"/>
      <c r="E154" s="768"/>
      <c r="F154" s="768"/>
      <c r="G154" s="768"/>
      <c r="H154" s="768"/>
      <c r="I154" s="768"/>
      <c r="J154" s="768"/>
    </row>
    <row r="155" spans="1:10">
      <c r="A155" s="379"/>
      <c r="B155" s="768"/>
      <c r="C155" s="768"/>
      <c r="D155" s="768"/>
      <c r="E155" s="768"/>
      <c r="F155" s="768"/>
      <c r="G155" s="768"/>
      <c r="H155" s="768"/>
      <c r="I155" s="768"/>
      <c r="J155" s="768"/>
    </row>
    <row r="156" spans="1:10">
      <c r="A156" s="379"/>
      <c r="B156" s="1"/>
      <c r="C156" s="768"/>
      <c r="D156" s="768"/>
      <c r="E156" s="768"/>
      <c r="F156" s="768"/>
      <c r="G156" s="768"/>
      <c r="H156" s="768"/>
      <c r="I156" s="768"/>
      <c r="J156" s="768"/>
    </row>
    <row r="157" spans="1:10">
      <c r="A157" s="379"/>
      <c r="B157" s="768"/>
      <c r="C157" s="768"/>
      <c r="D157" s="768"/>
      <c r="E157" s="768"/>
      <c r="F157" s="768"/>
      <c r="G157" s="768"/>
      <c r="H157" s="768"/>
      <c r="I157" s="768"/>
      <c r="J157" s="768"/>
    </row>
    <row r="158" spans="1:10">
      <c r="A158" s="30"/>
      <c r="B158" s="768"/>
      <c r="C158" s="13"/>
      <c r="D158" s="2"/>
      <c r="E158" s="768"/>
      <c r="F158" s="768"/>
      <c r="G158" s="10"/>
      <c r="H158" s="10"/>
      <c r="I158" s="10"/>
      <c r="J158" s="10"/>
    </row>
    <row r="159" spans="1:10">
      <c r="A159" s="379"/>
      <c r="B159" s="768"/>
      <c r="C159" s="326"/>
      <c r="D159" s="91"/>
      <c r="E159" s="768"/>
      <c r="F159" s="6"/>
      <c r="G159" s="10"/>
      <c r="H159" s="10"/>
      <c r="I159" s="10"/>
      <c r="J159" s="10"/>
    </row>
    <row r="160" spans="1:10">
      <c r="A160" s="379"/>
      <c r="B160" s="768"/>
      <c r="C160" s="324"/>
      <c r="D160" s="91"/>
      <c r="E160" s="768"/>
      <c r="F160" s="6"/>
      <c r="G160" s="10"/>
      <c r="H160" s="10"/>
      <c r="I160" s="10"/>
      <c r="J160" s="10"/>
    </row>
    <row r="161" spans="1:10">
      <c r="A161" s="379"/>
      <c r="B161" s="768"/>
      <c r="C161" s="324"/>
      <c r="D161" s="91"/>
      <c r="E161" s="768"/>
      <c r="F161" s="6"/>
      <c r="G161" s="10"/>
      <c r="H161" s="10"/>
      <c r="I161" s="10"/>
      <c r="J161" s="10"/>
    </row>
    <row r="162" spans="1:10">
      <c r="A162" s="379"/>
      <c r="B162" s="768"/>
      <c r="C162" s="326"/>
      <c r="D162" s="91"/>
      <c r="E162" s="768"/>
      <c r="F162" s="6"/>
      <c r="G162" s="10"/>
      <c r="H162" s="10"/>
      <c r="I162" s="10"/>
      <c r="J162" s="10"/>
    </row>
    <row r="163" spans="1:10">
      <c r="A163" s="379"/>
      <c r="B163" s="768"/>
      <c r="C163" s="324"/>
      <c r="D163" s="91"/>
      <c r="E163" s="768"/>
      <c r="F163" s="6"/>
      <c r="G163" s="10"/>
      <c r="H163" s="10"/>
      <c r="I163" s="10"/>
      <c r="J163" s="10"/>
    </row>
    <row r="164" spans="1:10">
      <c r="A164" s="379"/>
      <c r="B164" s="768"/>
      <c r="C164" s="324"/>
      <c r="D164" s="91"/>
      <c r="E164" s="768"/>
      <c r="F164" s="6"/>
      <c r="G164" s="10"/>
      <c r="H164" s="10"/>
      <c r="I164" s="10"/>
      <c r="J164" s="10"/>
    </row>
    <row r="165" spans="1:10">
      <c r="A165" s="379"/>
      <c r="B165" s="768"/>
      <c r="C165" s="326"/>
      <c r="D165" s="91"/>
      <c r="E165" s="768"/>
      <c r="F165" s="6"/>
      <c r="G165" s="10"/>
      <c r="H165" s="10"/>
      <c r="I165" s="10"/>
      <c r="J165" s="10"/>
    </row>
    <row r="166" spans="1:10">
      <c r="A166" s="379"/>
      <c r="B166" s="768"/>
      <c r="C166" s="324"/>
      <c r="D166" s="91"/>
      <c r="E166" s="768"/>
      <c r="F166" s="6"/>
      <c r="G166" s="10"/>
      <c r="H166" s="10"/>
      <c r="I166" s="10"/>
      <c r="J166" s="10"/>
    </row>
    <row r="167" spans="1:10">
      <c r="A167" s="379"/>
      <c r="B167" s="768"/>
      <c r="C167" s="324"/>
      <c r="D167" s="91"/>
      <c r="E167" s="768"/>
      <c r="F167" s="6"/>
      <c r="G167" s="10"/>
      <c r="H167" s="10"/>
      <c r="I167" s="10"/>
      <c r="J167" s="10"/>
    </row>
    <row r="168" spans="1:10">
      <c r="A168" s="379"/>
      <c r="B168" s="768"/>
      <c r="C168" s="326"/>
      <c r="D168" s="91"/>
      <c r="E168" s="768"/>
      <c r="F168" s="6"/>
      <c r="G168" s="10"/>
      <c r="H168" s="10"/>
      <c r="I168" s="10"/>
      <c r="J168" s="10"/>
    </row>
    <row r="169" spans="1:10">
      <c r="A169" s="379"/>
      <c r="B169" s="768"/>
      <c r="C169" s="326"/>
      <c r="D169" s="91"/>
      <c r="E169" s="768"/>
      <c r="F169" s="6"/>
      <c r="G169" s="768"/>
      <c r="H169" s="768"/>
      <c r="I169" s="768"/>
      <c r="J169" s="768"/>
    </row>
    <row r="170" spans="1:10">
      <c r="A170" s="379"/>
      <c r="B170" s="768"/>
      <c r="C170" s="324"/>
      <c r="D170" s="92"/>
      <c r="E170" s="768"/>
      <c r="F170" s="97"/>
      <c r="G170" s="768"/>
      <c r="H170" s="768"/>
      <c r="I170" s="768"/>
      <c r="J170" s="768"/>
    </row>
    <row r="171" spans="1:10">
      <c r="A171" s="379"/>
      <c r="B171" s="768"/>
      <c r="C171" s="327"/>
      <c r="D171" s="91"/>
      <c r="E171" s="768"/>
      <c r="F171" s="768"/>
      <c r="G171" s="768"/>
      <c r="H171" s="768"/>
      <c r="I171" s="768"/>
      <c r="J171" s="768"/>
    </row>
  </sheetData>
  <phoneticPr fontId="22" type="noConversion"/>
  <pageMargins left="0.75" right="0.75" top="1" bottom="1" header="0.5" footer="0.5"/>
  <pageSetup scale="80" orientation="landscape" cellComments="asDisplayed" r:id="rId1"/>
  <headerFooter alignWithMargins="0">
    <oddHeader>&amp;CSchedule 4
True Up TRR
&amp;RTO2020 Draft Annual Update 
Attachment1</oddHeader>
    <oddFooter>&amp;R&amp;A</oddFooter>
  </headerFooter>
  <rowBreaks count="4" manualBreakCount="4">
    <brk id="46" max="9" man="1"/>
    <brk id="72" max="16383" man="1"/>
    <brk id="118" max="9" man="1"/>
    <brk id="1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44"/>
  <sheetViews>
    <sheetView zoomScaleNormal="100" zoomScalePageLayoutView="90" workbookViewId="0"/>
  </sheetViews>
  <sheetFormatPr defaultColWidth="8.85546875" defaultRowHeight="12.75"/>
  <cols>
    <col min="1" max="1" width="4.7109375" style="768" customWidth="1"/>
    <col min="2" max="2" width="3.7109375" style="768" customWidth="1"/>
    <col min="3" max="3" width="8.85546875" style="768"/>
    <col min="4" max="4" width="13.7109375" style="768" customWidth="1"/>
    <col min="5" max="5" width="8.85546875" style="768"/>
    <col min="6" max="7" width="10.7109375" style="768" customWidth="1"/>
    <col min="8" max="8" width="8.85546875" style="768"/>
    <col min="9" max="9" width="27.7109375" style="768" customWidth="1"/>
    <col min="10" max="10" width="30.7109375" style="768" customWidth="1"/>
    <col min="11" max="11" width="2.7109375" style="768" customWidth="1"/>
    <col min="12" max="12" width="16.7109375" style="768" customWidth="1"/>
    <col min="13" max="13" width="1.7109375" style="768" customWidth="1"/>
    <col min="14" max="14" width="4.7109375" style="10" customWidth="1"/>
    <col min="15" max="28" width="14.7109375" style="10" customWidth="1"/>
    <col min="29" max="16384" width="8.85546875" style="768"/>
  </cols>
  <sheetData>
    <row r="1" spans="1:28">
      <c r="A1" s="1" t="s">
        <v>507</v>
      </c>
      <c r="J1" s="58" t="s">
        <v>94</v>
      </c>
      <c r="K1" s="10"/>
      <c r="L1" s="10"/>
    </row>
    <row r="2" spans="1:28">
      <c r="B2" s="1"/>
      <c r="I2" s="379"/>
      <c r="J2" s="379" t="s">
        <v>96</v>
      </c>
      <c r="L2" s="150">
        <v>2018</v>
      </c>
    </row>
    <row r="3" spans="1:28">
      <c r="I3" s="2" t="s">
        <v>98</v>
      </c>
      <c r="J3" s="2" t="s">
        <v>99</v>
      </c>
      <c r="L3" s="2" t="s">
        <v>100</v>
      </c>
    </row>
    <row r="5" spans="1:28">
      <c r="A5" s="8" t="s">
        <v>151</v>
      </c>
      <c r="B5" s="70"/>
      <c r="C5" s="9"/>
      <c r="D5" s="9"/>
      <c r="E5" s="9"/>
      <c r="F5" s="9"/>
      <c r="G5" s="9"/>
      <c r="H5" s="9"/>
      <c r="I5" s="7"/>
      <c r="J5" s="7"/>
      <c r="K5" s="7"/>
      <c r="L5" s="7"/>
      <c r="N5" s="367"/>
      <c r="O5" s="368"/>
      <c r="P5" s="368"/>
      <c r="Q5" s="368"/>
      <c r="R5" s="368"/>
      <c r="S5" s="368"/>
      <c r="T5" s="368"/>
    </row>
    <row r="6" spans="1:28">
      <c r="B6" s="25"/>
      <c r="C6" s="300"/>
      <c r="D6" s="300"/>
      <c r="E6" s="300"/>
      <c r="F6" s="300"/>
      <c r="G6" s="300"/>
      <c r="H6" s="300"/>
      <c r="I6" s="300"/>
      <c r="J6" s="300"/>
      <c r="K6" s="300"/>
      <c r="L6" s="300"/>
      <c r="O6" s="200"/>
      <c r="P6" s="200"/>
      <c r="Q6" s="200"/>
      <c r="R6" s="200"/>
      <c r="S6" s="200"/>
      <c r="T6" s="200"/>
      <c r="U6" s="200"/>
      <c r="V6" s="200"/>
      <c r="W6" s="200"/>
      <c r="X6" s="200"/>
      <c r="Y6" s="200"/>
      <c r="Z6" s="200"/>
      <c r="AA6" s="200"/>
      <c r="AB6" s="200"/>
    </row>
    <row r="7" spans="1:28">
      <c r="A7" s="30" t="s">
        <v>97</v>
      </c>
      <c r="B7" s="25"/>
      <c r="C7" s="26" t="s">
        <v>508</v>
      </c>
      <c r="D7" s="300"/>
      <c r="E7" s="300"/>
      <c r="F7" s="300"/>
      <c r="G7" s="300"/>
      <c r="H7" s="300"/>
      <c r="I7" s="300"/>
      <c r="J7" s="298"/>
      <c r="K7" s="300"/>
      <c r="L7" s="300"/>
      <c r="N7" s="369"/>
      <c r="O7" s="48"/>
      <c r="P7" s="370"/>
      <c r="Q7" s="354"/>
      <c r="R7" s="354"/>
      <c r="S7" s="354"/>
      <c r="T7" s="354"/>
      <c r="U7" s="354"/>
      <c r="V7" s="354"/>
      <c r="W7" s="354"/>
      <c r="X7" s="354"/>
      <c r="Y7" s="354"/>
      <c r="Z7" s="354"/>
      <c r="AA7" s="354"/>
      <c r="AB7" s="354"/>
    </row>
    <row r="8" spans="1:28">
      <c r="A8" s="64">
        <v>1</v>
      </c>
      <c r="B8" s="25"/>
      <c r="C8" s="300" t="s">
        <v>509</v>
      </c>
      <c r="D8" s="300"/>
      <c r="E8" s="300"/>
      <c r="F8" s="300"/>
      <c r="G8" s="300"/>
      <c r="H8" s="300"/>
      <c r="I8" s="300" t="s">
        <v>510</v>
      </c>
      <c r="J8" s="297" t="str">
        <f>"5-ROR-2, Line "&amp;'5-ROR-2'!A8&amp;""</f>
        <v>5-ROR-2, Line 1</v>
      </c>
      <c r="K8" s="300"/>
      <c r="L8" s="311">
        <f>'5-ROR-2'!C8</f>
        <v>12042889010.962309</v>
      </c>
      <c r="N8" s="64"/>
      <c r="O8" s="311"/>
      <c r="P8" s="311"/>
      <c r="Q8" s="311"/>
      <c r="R8" s="311"/>
      <c r="S8" s="311"/>
      <c r="T8" s="311"/>
      <c r="U8" s="311"/>
      <c r="V8" s="311"/>
      <c r="W8" s="311"/>
      <c r="X8" s="311"/>
      <c r="Y8" s="311"/>
      <c r="Z8" s="311"/>
      <c r="AA8" s="311"/>
      <c r="AB8" s="311"/>
    </row>
    <row r="9" spans="1:28">
      <c r="A9" s="64">
        <f>A8+1</f>
        <v>2</v>
      </c>
      <c r="B9" s="25"/>
      <c r="C9" s="300" t="s">
        <v>511</v>
      </c>
      <c r="D9" s="300"/>
      <c r="E9" s="300"/>
      <c r="F9" s="300"/>
      <c r="G9" s="300"/>
      <c r="H9" s="300"/>
      <c r="I9" s="300" t="s">
        <v>510</v>
      </c>
      <c r="J9" s="297" t="str">
        <f>"5-ROR-2, Line "&amp;'5-ROR-2'!A10&amp;""</f>
        <v>5-ROR-2, Line 2</v>
      </c>
      <c r="K9" s="300"/>
      <c r="L9" s="311">
        <f>'5-ROR-2'!C10</f>
        <v>-9230769.2307692301</v>
      </c>
      <c r="N9" s="64"/>
      <c r="O9" s="311"/>
      <c r="P9" s="311"/>
      <c r="Q9" s="311"/>
      <c r="R9" s="311"/>
      <c r="S9" s="311"/>
      <c r="T9" s="311"/>
      <c r="U9" s="311"/>
      <c r="V9" s="311"/>
      <c r="W9" s="311"/>
      <c r="X9" s="311"/>
      <c r="Y9" s="311"/>
      <c r="Z9" s="311"/>
      <c r="AA9" s="311"/>
      <c r="AB9" s="311"/>
    </row>
    <row r="10" spans="1:28">
      <c r="A10" s="64">
        <f t="shared" ref="A10:A11" si="0">A9+1</f>
        <v>3</v>
      </c>
      <c r="B10" s="25"/>
      <c r="C10" s="300" t="s">
        <v>512</v>
      </c>
      <c r="D10" s="683"/>
      <c r="E10" s="683"/>
      <c r="F10" s="683"/>
      <c r="G10" s="683"/>
      <c r="H10" s="683"/>
      <c r="I10" s="300" t="s">
        <v>510</v>
      </c>
      <c r="J10" s="297" t="str">
        <f>"5-ROR-2, Line "&amp;'5-ROR-2'!A12&amp;""</f>
        <v>5-ROR-2, Line 3</v>
      </c>
      <c r="K10" s="300"/>
      <c r="L10" s="311">
        <f>'5-ROR-2'!C12</f>
        <v>0</v>
      </c>
      <c r="N10" s="64"/>
      <c r="O10" s="311"/>
      <c r="P10" s="311"/>
      <c r="Q10" s="311"/>
      <c r="R10" s="311"/>
      <c r="S10" s="311"/>
      <c r="T10" s="311"/>
      <c r="U10" s="311"/>
      <c r="V10" s="311"/>
      <c r="W10" s="311"/>
      <c r="X10" s="311"/>
      <c r="Y10" s="311"/>
      <c r="Z10" s="311"/>
      <c r="AA10" s="311"/>
      <c r="AB10" s="311"/>
    </row>
    <row r="11" spans="1:28">
      <c r="A11" s="64">
        <f t="shared" si="0"/>
        <v>4</v>
      </c>
      <c r="B11" s="25"/>
      <c r="C11" s="300" t="s">
        <v>513</v>
      </c>
      <c r="D11" s="300"/>
      <c r="E11" s="300"/>
      <c r="F11" s="300"/>
      <c r="G11" s="300"/>
      <c r="H11" s="300"/>
      <c r="I11" s="300" t="s">
        <v>510</v>
      </c>
      <c r="J11" s="297" t="str">
        <f>"5-ROR-2, Line "&amp;'5-ROR-2'!A14&amp;""</f>
        <v>5-ROR-2, Line 4</v>
      </c>
      <c r="K11" s="300"/>
      <c r="L11" s="311">
        <f>'5-ROR-2'!C14</f>
        <v>288062763.56461537</v>
      </c>
      <c r="N11" s="64"/>
      <c r="O11" s="311"/>
      <c r="P11" s="311"/>
      <c r="Q11" s="311"/>
      <c r="R11" s="311"/>
      <c r="S11" s="311"/>
      <c r="T11" s="311"/>
      <c r="U11" s="311"/>
      <c r="V11" s="311"/>
      <c r="W11" s="311"/>
      <c r="X11" s="311"/>
      <c r="Y11" s="311"/>
      <c r="Z11" s="311"/>
      <c r="AA11" s="311"/>
      <c r="AB11" s="311"/>
    </row>
    <row r="12" spans="1:28">
      <c r="A12" s="64">
        <f>A11+1</f>
        <v>5</v>
      </c>
      <c r="B12" s="25"/>
      <c r="C12" s="300" t="s">
        <v>514</v>
      </c>
      <c r="D12" s="300"/>
      <c r="E12" s="300"/>
      <c r="F12" s="300"/>
      <c r="G12" s="300"/>
      <c r="H12" s="300"/>
      <c r="I12" s="300" t="s">
        <v>510</v>
      </c>
      <c r="J12" s="297" t="str">
        <f>"5-ROR-2, Line "&amp;'5-ROR-2'!A16&amp;""</f>
        <v>5-ROR-2, Line 5</v>
      </c>
      <c r="K12" s="300"/>
      <c r="L12" s="311">
        <f>'5-ROR-2'!C16</f>
        <v>21248212.66</v>
      </c>
      <c r="N12" s="64"/>
      <c r="O12" s="311"/>
      <c r="P12" s="311"/>
      <c r="Q12" s="311"/>
      <c r="R12" s="311"/>
      <c r="S12" s="311"/>
      <c r="T12" s="311"/>
      <c r="U12" s="311"/>
      <c r="V12" s="311"/>
      <c r="W12" s="311"/>
      <c r="X12" s="311"/>
      <c r="Y12" s="311"/>
      <c r="Z12" s="311"/>
      <c r="AA12" s="311"/>
      <c r="AB12" s="311"/>
    </row>
    <row r="13" spans="1:28">
      <c r="A13" s="64">
        <f t="shared" ref="A13:A20" si="1">A12+1</f>
        <v>6</v>
      </c>
      <c r="B13" s="25"/>
      <c r="C13" s="300" t="s">
        <v>515</v>
      </c>
      <c r="D13" s="300"/>
      <c r="E13" s="300"/>
      <c r="F13" s="300"/>
      <c r="G13" s="300"/>
      <c r="H13" s="300"/>
      <c r="I13" s="300" t="s">
        <v>516</v>
      </c>
      <c r="J13" s="297" t="str">
        <f>"5-ROR-2, Line "&amp;'5-ROR-2'!A18&amp;""</f>
        <v>5-ROR-2, Line 6</v>
      </c>
      <c r="K13" s="300"/>
      <c r="L13" s="311">
        <f>'5-ROR-2'!C18</f>
        <v>-47289364.171538465</v>
      </c>
      <c r="N13" s="64"/>
      <c r="O13" s="311"/>
      <c r="P13" s="311"/>
      <c r="Q13" s="311"/>
      <c r="R13" s="311"/>
      <c r="S13" s="311"/>
      <c r="T13" s="311"/>
      <c r="U13" s="311"/>
      <c r="V13" s="311"/>
      <c r="W13" s="311"/>
      <c r="X13" s="311"/>
      <c r="Y13" s="311"/>
      <c r="Z13" s="311"/>
      <c r="AA13" s="311"/>
      <c r="AB13" s="311"/>
    </row>
    <row r="14" spans="1:28">
      <c r="A14" s="64">
        <f t="shared" si="1"/>
        <v>7</v>
      </c>
      <c r="B14" s="25"/>
      <c r="C14" s="300" t="s">
        <v>517</v>
      </c>
      <c r="D14" s="300"/>
      <c r="E14" s="300"/>
      <c r="F14" s="300"/>
      <c r="G14" s="300"/>
      <c r="H14" s="300"/>
      <c r="I14" s="300" t="s">
        <v>516</v>
      </c>
      <c r="J14" s="297" t="str">
        <f>"5-ROR-2, Line "&amp;'5-ROR-2'!A20&amp;""</f>
        <v>5-ROR-2, Line 7</v>
      </c>
      <c r="K14" s="300"/>
      <c r="L14" s="311">
        <f>'5-ROR-2'!C20</f>
        <v>-94988501.576923072</v>
      </c>
      <c r="N14" s="64"/>
      <c r="O14" s="311"/>
      <c r="P14" s="311"/>
      <c r="Q14" s="311"/>
      <c r="R14" s="311"/>
      <c r="S14" s="311"/>
      <c r="T14" s="311"/>
      <c r="U14" s="311"/>
      <c r="V14" s="311"/>
      <c r="W14" s="311"/>
      <c r="X14" s="311"/>
      <c r="Y14" s="311"/>
      <c r="Z14" s="311"/>
      <c r="AA14" s="311"/>
      <c r="AB14" s="311"/>
    </row>
    <row r="15" spans="1:28">
      <c r="A15" s="64">
        <f t="shared" si="1"/>
        <v>8</v>
      </c>
      <c r="B15" s="25"/>
      <c r="C15" s="300" t="s">
        <v>518</v>
      </c>
      <c r="D15" s="300"/>
      <c r="E15" s="300"/>
      <c r="F15" s="300"/>
      <c r="G15" s="300"/>
      <c r="H15" s="300"/>
      <c r="I15" s="300" t="s">
        <v>516</v>
      </c>
      <c r="J15" s="297" t="str">
        <f>"5-ROR-2, Line "&amp;'5-ROR-2'!A22&amp;""</f>
        <v>5-ROR-2, Line 8</v>
      </c>
      <c r="K15" s="300"/>
      <c r="L15" s="311">
        <f>'5-ROR-2'!C22</f>
        <v>-160292990.58307692</v>
      </c>
      <c r="N15" s="64"/>
      <c r="O15" s="311"/>
      <c r="P15" s="311"/>
      <c r="Q15" s="311"/>
      <c r="R15" s="311"/>
      <c r="S15" s="311"/>
      <c r="T15" s="311"/>
      <c r="U15" s="311"/>
      <c r="V15" s="311"/>
      <c r="W15" s="311"/>
      <c r="X15" s="311"/>
      <c r="Y15" s="311"/>
      <c r="Z15" s="311"/>
      <c r="AA15" s="311"/>
      <c r="AB15" s="311"/>
    </row>
    <row r="16" spans="1:28">
      <c r="A16" s="64">
        <f t="shared" si="1"/>
        <v>9</v>
      </c>
      <c r="B16" s="25"/>
      <c r="C16" s="300" t="s">
        <v>183</v>
      </c>
      <c r="D16" s="300"/>
      <c r="E16" s="300"/>
      <c r="F16" s="300"/>
      <c r="G16" s="300"/>
      <c r="H16" s="300"/>
      <c r="I16" s="300"/>
      <c r="J16" s="297" t="str">
        <f>"1-BaseTRR, Line "&amp;'1-BaseTRR'!A102&amp;""</f>
        <v>1-BaseTRR, Line 59</v>
      </c>
      <c r="K16" s="300"/>
      <c r="L16" s="950">
        <f>'1-BaseTRR'!K102</f>
        <v>0.27983599999999997</v>
      </c>
      <c r="N16" s="64"/>
      <c r="O16" s="311"/>
      <c r="P16" s="311"/>
      <c r="Q16" s="311"/>
      <c r="R16" s="311"/>
      <c r="S16" s="311"/>
      <c r="T16" s="311"/>
      <c r="U16" s="311"/>
      <c r="V16" s="311"/>
      <c r="W16" s="311"/>
      <c r="X16" s="311"/>
      <c r="Y16" s="311"/>
      <c r="Z16" s="311"/>
      <c r="AA16" s="311"/>
      <c r="AB16" s="311"/>
    </row>
    <row r="17" spans="1:28">
      <c r="A17" s="64">
        <f t="shared" si="1"/>
        <v>10</v>
      </c>
      <c r="B17" s="25"/>
      <c r="C17" s="300" t="s">
        <v>519</v>
      </c>
      <c r="D17" s="300"/>
      <c r="E17" s="300"/>
      <c r="F17" s="300"/>
      <c r="G17" s="300"/>
      <c r="H17" s="300"/>
      <c r="I17" s="300"/>
      <c r="J17" s="297" t="str">
        <f>"Line "&amp;A15&amp;" * (1- Line "&amp;A16&amp;")"</f>
        <v>Line 8 * (1- Line 9)</v>
      </c>
      <c r="K17" s="300"/>
      <c r="L17" s="311">
        <f>+L15*(1-L16)</f>
        <v>-115437241.27027102</v>
      </c>
      <c r="N17" s="64"/>
      <c r="O17" s="311"/>
      <c r="P17" s="311"/>
      <c r="Q17" s="311"/>
      <c r="R17" s="311"/>
      <c r="S17" s="311"/>
      <c r="T17" s="311"/>
      <c r="U17" s="311"/>
      <c r="V17" s="311"/>
      <c r="W17" s="311"/>
      <c r="X17" s="311"/>
      <c r="Y17" s="311"/>
      <c r="Z17" s="311"/>
      <c r="AA17" s="311"/>
      <c r="AB17" s="311"/>
    </row>
    <row r="18" spans="1:28">
      <c r="A18" s="64">
        <f t="shared" si="1"/>
        <v>11</v>
      </c>
      <c r="B18" s="25"/>
      <c r="C18" s="300" t="s">
        <v>520</v>
      </c>
      <c r="D18" s="300"/>
      <c r="E18" s="300"/>
      <c r="F18" s="300"/>
      <c r="G18" s="300"/>
      <c r="H18" s="300"/>
      <c r="I18" s="300" t="s">
        <v>516</v>
      </c>
      <c r="J18" s="297" t="str">
        <f>"5-ROR-2, Line "&amp;'5-ROR-2'!A24&amp;""</f>
        <v>5-ROR-2, Line 9</v>
      </c>
      <c r="K18" s="300"/>
      <c r="L18" s="311">
        <f>'5-ROR-2'!C24</f>
        <v>-76923076.923076928</v>
      </c>
      <c r="N18" s="64"/>
      <c r="O18" s="311"/>
      <c r="P18" s="311"/>
      <c r="Q18" s="311"/>
      <c r="R18" s="311"/>
      <c r="S18" s="311"/>
      <c r="T18" s="311"/>
      <c r="U18" s="311"/>
      <c r="V18" s="311"/>
      <c r="W18" s="311"/>
      <c r="X18" s="311"/>
      <c r="Y18" s="311"/>
      <c r="Z18" s="311"/>
      <c r="AA18" s="311"/>
      <c r="AB18" s="311"/>
    </row>
    <row r="19" spans="1:28">
      <c r="A19" s="64">
        <f t="shared" si="1"/>
        <v>12</v>
      </c>
      <c r="B19" s="25"/>
      <c r="C19" s="300" t="s">
        <v>521</v>
      </c>
      <c r="D19" s="300"/>
      <c r="E19" s="300"/>
      <c r="F19" s="300"/>
      <c r="G19" s="300"/>
      <c r="H19" s="300"/>
      <c r="I19" s="300"/>
      <c r="J19" s="297" t="str">
        <f>"5-ROR-2, Line "&amp;'5-ROR-2'!A26&amp;""</f>
        <v>5-ROR-2, Line 10</v>
      </c>
      <c r="K19" s="300"/>
      <c r="L19" s="311">
        <f>'5-ROR-2'!C26</f>
        <v>0</v>
      </c>
      <c r="N19" s="64"/>
      <c r="O19" s="311"/>
      <c r="P19" s="311"/>
      <c r="Q19" s="311"/>
      <c r="R19" s="311"/>
      <c r="S19" s="311"/>
      <c r="T19" s="311"/>
      <c r="U19" s="311"/>
      <c r="V19" s="311"/>
      <c r="W19" s="311"/>
      <c r="X19" s="311"/>
      <c r="Y19" s="311"/>
      <c r="Z19" s="311"/>
      <c r="AA19" s="311"/>
      <c r="AB19" s="311"/>
    </row>
    <row r="20" spans="1:28">
      <c r="A20" s="64">
        <f t="shared" si="1"/>
        <v>13</v>
      </c>
      <c r="B20" s="25"/>
      <c r="C20" s="297" t="s">
        <v>153</v>
      </c>
      <c r="D20" s="300"/>
      <c r="E20" s="300"/>
      <c r="F20" s="300"/>
      <c r="G20" s="300"/>
      <c r="H20" s="300"/>
      <c r="I20" s="300"/>
      <c r="J20" s="297" t="str">
        <f>"Sum of Lines "&amp;A8&amp;" to "&amp;A14&amp;" and "&amp;A17&amp;" to "&amp;A19&amp;""</f>
        <v>Sum of Lines 1 to 7 and 10 to 12</v>
      </c>
      <c r="K20" s="300"/>
      <c r="L20" s="312">
        <f>+SUM(L8:L14,L17:L19)</f>
        <v>12008331034.014343</v>
      </c>
    </row>
    <row r="21" spans="1:28">
      <c r="A21" s="10"/>
      <c r="B21" s="25"/>
      <c r="C21" s="300"/>
      <c r="D21" s="300"/>
      <c r="E21" s="300"/>
      <c r="F21" s="300"/>
      <c r="G21" s="300" t="s">
        <v>128</v>
      </c>
      <c r="H21" s="300"/>
      <c r="I21" s="300"/>
      <c r="J21" s="297"/>
      <c r="K21" s="300"/>
      <c r="L21" s="300"/>
    </row>
    <row r="22" spans="1:28">
      <c r="A22" s="10"/>
      <c r="B22" s="25"/>
      <c r="C22" s="26" t="s">
        <v>522</v>
      </c>
      <c r="D22" s="300"/>
      <c r="E22" s="300"/>
      <c r="F22" s="300"/>
      <c r="G22" s="300"/>
      <c r="H22" s="300"/>
      <c r="I22" s="300"/>
      <c r="J22" s="297"/>
      <c r="K22" s="300"/>
      <c r="L22" s="300"/>
    </row>
    <row r="23" spans="1:28">
      <c r="A23" s="64">
        <f>+A20+1</f>
        <v>14</v>
      </c>
      <c r="B23" s="25"/>
      <c r="C23" s="300" t="s">
        <v>523</v>
      </c>
      <c r="D23" s="300"/>
      <c r="E23" s="300"/>
      <c r="F23" s="300"/>
      <c r="G23" s="300"/>
      <c r="H23" s="300"/>
      <c r="I23" s="300" t="s">
        <v>510</v>
      </c>
      <c r="J23" s="297" t="str">
        <f>"5-ROR-2, Line "&amp;'5-ROR-2'!A28&amp;""</f>
        <v>5-ROR-2, Line 11</v>
      </c>
      <c r="K23" s="300"/>
      <c r="L23" s="311">
        <f>'5-ROR-2'!C28</f>
        <v>2245054950</v>
      </c>
      <c r="N23" s="64"/>
      <c r="O23" s="311"/>
      <c r="Q23" s="311"/>
      <c r="R23" s="311"/>
      <c r="S23" s="311"/>
      <c r="T23" s="311"/>
      <c r="U23" s="311"/>
      <c r="V23" s="311"/>
      <c r="W23" s="311"/>
      <c r="X23" s="311"/>
      <c r="Y23" s="311"/>
      <c r="Z23" s="311"/>
      <c r="AA23" s="311"/>
      <c r="AB23" s="311"/>
    </row>
    <row r="24" spans="1:28">
      <c r="A24" s="64">
        <f t="shared" ref="A24:A25" si="2">A23+1</f>
        <v>15</v>
      </c>
      <c r="B24" s="25"/>
      <c r="C24" s="300" t="s">
        <v>524</v>
      </c>
      <c r="D24" s="300"/>
      <c r="E24" s="300"/>
      <c r="F24" s="300"/>
      <c r="G24" s="300"/>
      <c r="H24" s="300"/>
      <c r="I24" s="300" t="s">
        <v>510</v>
      </c>
      <c r="J24" s="297" t="str">
        <f>"5-ROR-2, Line "&amp;'5-ROR-2'!A30&amp;""</f>
        <v>5-ROR-2, Line 12</v>
      </c>
      <c r="K24" s="300"/>
      <c r="L24" s="311">
        <f>'5-ROR-2'!C30</f>
        <v>-38577831.988888875</v>
      </c>
      <c r="N24" s="64"/>
      <c r="O24" s="311"/>
      <c r="Q24" s="311"/>
      <c r="R24" s="311"/>
      <c r="S24" s="311"/>
      <c r="T24" s="311"/>
      <c r="U24" s="311"/>
      <c r="V24" s="311"/>
      <c r="W24" s="311"/>
      <c r="X24" s="311"/>
      <c r="Y24" s="311"/>
      <c r="Z24" s="311"/>
      <c r="AA24" s="311"/>
      <c r="AB24" s="311"/>
    </row>
    <row r="25" spans="1:28">
      <c r="A25" s="64">
        <f t="shared" si="2"/>
        <v>16</v>
      </c>
      <c r="B25" s="25"/>
      <c r="C25" s="300" t="s">
        <v>525</v>
      </c>
      <c r="D25" s="300"/>
      <c r="E25" s="300"/>
      <c r="F25" s="300"/>
      <c r="G25" s="300"/>
      <c r="H25" s="300"/>
      <c r="I25" s="300" t="s">
        <v>510</v>
      </c>
      <c r="J25" s="297" t="str">
        <f>"5-ROR-2, Line "&amp;'5-ROR-2'!A32&amp;""</f>
        <v>5-ROR-2, Line 13</v>
      </c>
      <c r="K25" s="300"/>
      <c r="L25" s="313">
        <f>'5-ROR-2'!C32</f>
        <v>-18851803.635043636</v>
      </c>
      <c r="N25" s="64"/>
      <c r="O25" s="311"/>
      <c r="Q25" s="311"/>
      <c r="R25" s="311"/>
      <c r="S25" s="311"/>
      <c r="T25" s="311"/>
      <c r="U25" s="311"/>
      <c r="V25" s="311"/>
      <c r="W25" s="311"/>
      <c r="X25" s="311"/>
      <c r="Y25" s="311"/>
      <c r="Z25" s="311"/>
      <c r="AA25" s="311"/>
      <c r="AB25" s="311"/>
    </row>
    <row r="26" spans="1:28">
      <c r="A26" s="64">
        <f>A25+1</f>
        <v>17</v>
      </c>
      <c r="B26" s="25"/>
      <c r="C26" s="297" t="s">
        <v>157</v>
      </c>
      <c r="D26" s="300"/>
      <c r="E26" s="300"/>
      <c r="F26" s="300"/>
      <c r="G26" s="300"/>
      <c r="H26" s="300"/>
      <c r="I26" s="300"/>
      <c r="J26" s="297" t="str">
        <f>"Sum of Lines "&amp;A23&amp;" to "&amp;A25&amp;""</f>
        <v>Sum of Lines 14 to 16</v>
      </c>
      <c r="K26" s="300"/>
      <c r="L26" s="311">
        <f>SUM(L23:L25)</f>
        <v>2187625314.3760676</v>
      </c>
    </row>
    <row r="27" spans="1:28">
      <c r="A27" s="64"/>
      <c r="B27" s="25"/>
      <c r="C27" s="300"/>
      <c r="D27" s="300"/>
      <c r="E27" s="300"/>
      <c r="F27" s="300"/>
      <c r="G27" s="300"/>
      <c r="H27" s="300"/>
      <c r="I27" s="300"/>
      <c r="J27" s="297"/>
      <c r="K27" s="300"/>
      <c r="L27" s="311"/>
    </row>
    <row r="28" spans="1:28">
      <c r="A28" s="10"/>
      <c r="B28" s="25"/>
      <c r="C28" s="26" t="s">
        <v>526</v>
      </c>
      <c r="D28" s="300"/>
      <c r="E28" s="300"/>
      <c r="F28" s="300"/>
      <c r="G28" s="300"/>
      <c r="H28" s="300"/>
      <c r="I28" s="314"/>
      <c r="J28" s="297"/>
      <c r="K28" s="300"/>
      <c r="L28" s="300"/>
    </row>
    <row r="29" spans="1:28">
      <c r="A29" s="64">
        <f>+A26+1</f>
        <v>18</v>
      </c>
      <c r="B29" s="25"/>
      <c r="C29" s="300" t="s">
        <v>527</v>
      </c>
      <c r="D29" s="300"/>
      <c r="E29" s="300"/>
      <c r="F29" s="300"/>
      <c r="G29" s="300"/>
      <c r="H29" s="300"/>
      <c r="I29" s="300" t="s">
        <v>510</v>
      </c>
      <c r="J29" s="297" t="str">
        <f>"5-ROR-2, Lines "&amp;'5-ROR-2'!A34&amp;" + "&amp;'5-ROR-2'!A34&amp;"a"</f>
        <v>5-ROR-2, Lines 14 + 14a</v>
      </c>
      <c r="K29" s="300"/>
      <c r="L29" s="311">
        <f>'5-ROR-2'!C34+'5-ROR-2'!C36</f>
        <v>15030033839.841539</v>
      </c>
      <c r="N29" s="64"/>
      <c r="O29" s="311"/>
      <c r="P29" s="311"/>
      <c r="Q29" s="311"/>
      <c r="R29" s="311"/>
      <c r="S29" s="311"/>
      <c r="T29" s="311"/>
      <c r="U29" s="311"/>
      <c r="V29" s="311"/>
      <c r="W29" s="311"/>
      <c r="X29" s="311"/>
      <c r="Y29" s="311"/>
      <c r="Z29" s="311"/>
      <c r="AA29" s="311"/>
      <c r="AB29" s="311"/>
    </row>
    <row r="30" spans="1:28">
      <c r="A30" s="64">
        <f>A29+1</f>
        <v>19</v>
      </c>
      <c r="B30" s="25"/>
      <c r="C30" s="300" t="s">
        <v>528</v>
      </c>
      <c r="D30" s="300"/>
      <c r="E30" s="300"/>
      <c r="F30" s="300"/>
      <c r="G30" s="300"/>
      <c r="H30" s="300"/>
      <c r="I30" s="300" t="str">
        <f>"Same as L "&amp;A23&amp;", but negative"</f>
        <v>Same as L 14, but negative</v>
      </c>
      <c r="J30" s="297" t="str">
        <f>"5-ROR-2, Line "&amp;'5-ROR-2'!A28&amp;""</f>
        <v>5-ROR-2, Line 11</v>
      </c>
      <c r="K30" s="300"/>
      <c r="L30" s="311">
        <f>-'5-ROR-2'!C28</f>
        <v>-2245054950</v>
      </c>
      <c r="N30" s="64"/>
      <c r="O30" s="311"/>
      <c r="P30" s="311"/>
      <c r="Q30" s="311"/>
      <c r="R30" s="311"/>
      <c r="S30" s="311"/>
      <c r="T30" s="311"/>
      <c r="U30" s="311"/>
      <c r="V30" s="311"/>
      <c r="W30" s="311"/>
      <c r="X30" s="311"/>
      <c r="Y30" s="311"/>
      <c r="Z30" s="311"/>
      <c r="AA30" s="311"/>
      <c r="AB30" s="311"/>
    </row>
    <row r="31" spans="1:28">
      <c r="A31" s="64">
        <f t="shared" ref="A31:A33" si="3">A30+1</f>
        <v>20</v>
      </c>
      <c r="B31" s="25"/>
      <c r="C31" s="300" t="s">
        <v>529</v>
      </c>
      <c r="D31" s="300"/>
      <c r="E31" s="300"/>
      <c r="F31" s="300"/>
      <c r="G31" s="300"/>
      <c r="H31" s="300"/>
      <c r="I31" s="300" t="str">
        <f>"Same as L "&amp;A25&amp;", but reverse sign"</f>
        <v>Same as L 16, but reverse sign</v>
      </c>
      <c r="J31" s="297" t="str">
        <f>"5-ROR-2, Line "&amp;'5-ROR-2'!A32&amp;""</f>
        <v>5-ROR-2, Line 13</v>
      </c>
      <c r="K31" s="300"/>
      <c r="L31" s="311">
        <f>-'5-ROR-2'!C32</f>
        <v>18851803.635043636</v>
      </c>
      <c r="N31" s="64"/>
      <c r="O31" s="311"/>
      <c r="P31" s="311"/>
      <c r="Q31" s="311"/>
      <c r="R31" s="311"/>
      <c r="S31" s="311"/>
      <c r="T31" s="311"/>
      <c r="U31" s="311"/>
      <c r="V31" s="311"/>
      <c r="W31" s="311"/>
      <c r="X31" s="311"/>
      <c r="Y31" s="311"/>
      <c r="Z31" s="311"/>
      <c r="AA31" s="311"/>
      <c r="AB31" s="311"/>
    </row>
    <row r="32" spans="1:28">
      <c r="A32" s="64">
        <f t="shared" si="3"/>
        <v>21</v>
      </c>
      <c r="B32" s="25"/>
      <c r="C32" s="300" t="s">
        <v>530</v>
      </c>
      <c r="D32" s="300"/>
      <c r="E32" s="300"/>
      <c r="F32" s="300"/>
      <c r="G32" s="300"/>
      <c r="H32" s="300"/>
      <c r="I32" s="300" t="s">
        <v>510</v>
      </c>
      <c r="J32" s="297" t="str">
        <f>"5-ROR-2, Line "&amp;'5-ROR-2'!A38&amp;""</f>
        <v>5-ROR-2, Line 15</v>
      </c>
      <c r="K32" s="300"/>
      <c r="L32" s="311">
        <f>'5-ROR-2'!C38</f>
        <v>2603862.8438461544</v>
      </c>
      <c r="N32" s="64"/>
      <c r="O32" s="311"/>
      <c r="P32" s="311"/>
      <c r="Q32" s="311"/>
      <c r="R32" s="311"/>
      <c r="S32" s="311"/>
      <c r="T32" s="311"/>
      <c r="U32" s="311"/>
      <c r="V32" s="311"/>
      <c r="W32" s="311"/>
      <c r="X32" s="311"/>
      <c r="Y32" s="311"/>
      <c r="Z32" s="311"/>
      <c r="AA32" s="311"/>
      <c r="AB32" s="311"/>
    </row>
    <row r="33" spans="1:28">
      <c r="A33" s="64">
        <f t="shared" si="3"/>
        <v>22</v>
      </c>
      <c r="B33" s="25"/>
      <c r="C33" s="300" t="s">
        <v>531</v>
      </c>
      <c r="D33" s="300"/>
      <c r="E33" s="300"/>
      <c r="F33" s="300"/>
      <c r="G33" s="300"/>
      <c r="H33" s="300"/>
      <c r="I33" s="300" t="s">
        <v>510</v>
      </c>
      <c r="J33" s="297" t="str">
        <f>"5-ROR-2, Line "&amp;'5-ROR-2'!A40&amp;""</f>
        <v>5-ROR-2, Line 16</v>
      </c>
      <c r="K33" s="300"/>
      <c r="L33" s="311">
        <f>'5-ROR-2'!C40</f>
        <v>20891770.803846154</v>
      </c>
      <c r="N33" s="64"/>
      <c r="O33" s="311"/>
      <c r="P33" s="311"/>
      <c r="Q33" s="311"/>
      <c r="R33" s="311"/>
      <c r="S33" s="311"/>
      <c r="T33" s="311"/>
      <c r="U33" s="311"/>
      <c r="V33" s="311"/>
      <c r="W33" s="311"/>
      <c r="X33" s="311"/>
      <c r="Y33" s="311"/>
      <c r="Z33" s="311"/>
      <c r="AA33" s="311"/>
      <c r="AB33" s="311"/>
    </row>
    <row r="34" spans="1:28">
      <c r="A34" s="64">
        <f>A33+1</f>
        <v>23</v>
      </c>
      <c r="B34" s="25"/>
      <c r="C34" s="300" t="s">
        <v>162</v>
      </c>
      <c r="D34" s="300"/>
      <c r="E34" s="300"/>
      <c r="F34" s="300"/>
      <c r="G34" s="300"/>
      <c r="H34" s="300"/>
      <c r="I34" s="300"/>
      <c r="J34" s="297" t="str">
        <f>"Sum of Lines "&amp;A29&amp;" to "&amp;A33&amp;""</f>
        <v>Sum of Lines 18 to 22</v>
      </c>
      <c r="K34" s="300"/>
      <c r="L34" s="312">
        <f>SUM(L29:L33)</f>
        <v>12827326327.124275</v>
      </c>
    </row>
    <row r="35" spans="1:28">
      <c r="B35" s="28"/>
      <c r="C35" s="300"/>
      <c r="D35" s="300"/>
      <c r="E35" s="300"/>
      <c r="F35" s="300"/>
      <c r="G35" s="300"/>
      <c r="H35" s="300"/>
      <c r="I35" s="300"/>
      <c r="J35" s="300"/>
      <c r="K35" s="298"/>
      <c r="L35" s="298"/>
    </row>
    <row r="36" spans="1:28">
      <c r="B36" s="300"/>
      <c r="C36" s="10"/>
      <c r="D36" s="10"/>
      <c r="E36" s="10"/>
      <c r="F36" s="10"/>
      <c r="G36" s="10"/>
      <c r="H36" s="10"/>
      <c r="I36" s="10"/>
      <c r="J36" s="300"/>
    </row>
    <row r="37" spans="1:28">
      <c r="B37" s="300"/>
      <c r="C37" s="10"/>
      <c r="D37" s="10"/>
      <c r="E37" s="10"/>
      <c r="F37" s="10"/>
      <c r="G37" s="10"/>
      <c r="H37" s="10"/>
      <c r="I37" s="10"/>
      <c r="J37" s="300"/>
    </row>
    <row r="38" spans="1:28">
      <c r="B38" s="300"/>
      <c r="C38" s="10"/>
      <c r="D38" s="10"/>
      <c r="E38" s="10"/>
      <c r="F38" s="10"/>
      <c r="G38" s="10"/>
      <c r="H38" s="10"/>
      <c r="I38" s="10"/>
      <c r="J38" s="300"/>
    </row>
    <row r="39" spans="1:28">
      <c r="B39" s="300"/>
      <c r="C39" s="10"/>
      <c r="D39" s="10"/>
      <c r="E39" s="10"/>
      <c r="F39" s="10"/>
      <c r="G39" s="10"/>
      <c r="H39" s="10"/>
      <c r="I39" s="10"/>
      <c r="J39" s="10"/>
    </row>
    <row r="40" spans="1:28">
      <c r="B40" s="315"/>
      <c r="C40" s="10"/>
      <c r="D40" s="10"/>
      <c r="E40" s="10"/>
      <c r="F40" s="10"/>
      <c r="G40" s="10"/>
      <c r="H40" s="10"/>
      <c r="I40" s="10"/>
      <c r="J40" s="10"/>
    </row>
    <row r="41" spans="1:28">
      <c r="B41" s="298"/>
    </row>
    <row r="42" spans="1:28">
      <c r="B42" s="302"/>
    </row>
    <row r="43" spans="1:28">
      <c r="B43" s="298"/>
    </row>
    <row r="44" spans="1:28">
      <c r="B44" s="302"/>
    </row>
  </sheetData>
  <phoneticPr fontId="22" type="noConversion"/>
  <pageMargins left="0.75" right="0.75" top="1" bottom="1" header="0.5" footer="0.5"/>
  <pageSetup scale="55" orientation="landscape" cellComments="asDisplayed" r:id="rId1"/>
  <headerFooter alignWithMargins="0">
    <oddHeader>&amp;CSchedule 5 ROR-1
Return and Capitalization
&amp;RTO2020 Draft Annual Update 
Attachment1</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63"/>
  <sheetViews>
    <sheetView zoomScale="80" zoomScaleNormal="80" workbookViewId="0"/>
  </sheetViews>
  <sheetFormatPr defaultColWidth="8.85546875" defaultRowHeight="12.75"/>
  <cols>
    <col min="1" max="1" width="4.7109375" style="768" customWidth="1"/>
    <col min="2" max="2" width="6.42578125" style="768" customWidth="1"/>
    <col min="3" max="3" width="17.42578125" style="768" customWidth="1"/>
    <col min="4" max="4" width="15.42578125" style="768" bestFit="1" customWidth="1"/>
    <col min="5" max="5" width="16.140625" style="768" customWidth="1"/>
    <col min="6" max="15" width="15.5703125" style="768" customWidth="1"/>
    <col min="16" max="16" width="15.42578125" style="768" bestFit="1" customWidth="1"/>
    <col min="17" max="17" width="14" style="768" customWidth="1"/>
    <col min="18" max="16384" width="8.85546875" style="768"/>
  </cols>
  <sheetData>
    <row r="1" spans="1:19">
      <c r="A1" s="1" t="s">
        <v>532</v>
      </c>
      <c r="B1" s="1"/>
    </row>
    <row r="2" spans="1:19">
      <c r="A2" s="64" t="s">
        <v>533</v>
      </c>
      <c r="B2" s="801">
        <v>2018</v>
      </c>
    </row>
    <row r="3" spans="1:19">
      <c r="C3" s="52" t="s">
        <v>307</v>
      </c>
      <c r="D3" s="52" t="s">
        <v>308</v>
      </c>
      <c r="E3" s="52" t="s">
        <v>309</v>
      </c>
      <c r="F3" s="52" t="s">
        <v>310</v>
      </c>
      <c r="G3" s="52" t="s">
        <v>311</v>
      </c>
      <c r="H3" s="52" t="s">
        <v>312</v>
      </c>
      <c r="I3" s="52" t="s">
        <v>313</v>
      </c>
      <c r="J3" s="52" t="s">
        <v>314</v>
      </c>
      <c r="K3" s="52" t="s">
        <v>315</v>
      </c>
      <c r="L3" s="52" t="s">
        <v>534</v>
      </c>
      <c r="M3" s="52" t="s">
        <v>535</v>
      </c>
      <c r="N3" s="52" t="s">
        <v>536</v>
      </c>
      <c r="O3" s="52" t="s">
        <v>537</v>
      </c>
      <c r="P3" s="52" t="s">
        <v>538</v>
      </c>
    </row>
    <row r="4" spans="1:19">
      <c r="A4" s="2" t="s">
        <v>97</v>
      </c>
      <c r="B4" s="2" t="s">
        <v>539</v>
      </c>
      <c r="C4" s="18" t="s">
        <v>444</v>
      </c>
      <c r="D4" s="316" t="s">
        <v>350</v>
      </c>
      <c r="E4" s="307" t="s">
        <v>352</v>
      </c>
      <c r="F4" s="307" t="s">
        <v>353</v>
      </c>
      <c r="G4" s="307" t="s">
        <v>354</v>
      </c>
      <c r="H4" s="307" t="s">
        <v>355</v>
      </c>
      <c r="I4" s="307" t="s">
        <v>356</v>
      </c>
      <c r="J4" s="307" t="s">
        <v>540</v>
      </c>
      <c r="K4" s="307" t="s">
        <v>358</v>
      </c>
      <c r="L4" s="307" t="s">
        <v>359</v>
      </c>
      <c r="M4" s="307" t="s">
        <v>360</v>
      </c>
      <c r="N4" s="307" t="s">
        <v>361</v>
      </c>
      <c r="O4" s="307" t="s">
        <v>362</v>
      </c>
      <c r="P4" s="307" t="s">
        <v>350</v>
      </c>
      <c r="Q4" s="379"/>
    </row>
    <row r="5" spans="1:19">
      <c r="A5" s="2"/>
      <c r="B5" s="74"/>
      <c r="C5" s="354" t="s">
        <v>541</v>
      </c>
      <c r="D5" s="370"/>
      <c r="E5" s="307"/>
      <c r="F5" s="307"/>
      <c r="G5" s="307"/>
      <c r="H5" s="307"/>
      <c r="I5" s="307"/>
      <c r="J5" s="307"/>
      <c r="K5" s="307"/>
      <c r="L5" s="307"/>
      <c r="M5" s="307"/>
      <c r="N5" s="307"/>
      <c r="O5" s="307"/>
      <c r="P5" s="307"/>
    </row>
    <row r="6" spans="1:19">
      <c r="A6" s="30"/>
      <c r="B6" s="30"/>
      <c r="C6" s="18"/>
      <c r="D6" s="316"/>
      <c r="E6" s="307"/>
      <c r="F6" s="307"/>
      <c r="G6" s="307"/>
      <c r="H6" s="307"/>
      <c r="I6" s="307"/>
      <c r="J6" s="307"/>
      <c r="K6" s="307"/>
      <c r="L6" s="307"/>
      <c r="M6" s="307"/>
      <c r="N6" s="307"/>
      <c r="O6" s="307"/>
      <c r="P6" s="307"/>
    </row>
    <row r="7" spans="1:19">
      <c r="B7" s="25" t="s">
        <v>542</v>
      </c>
      <c r="D7" s="316"/>
      <c r="E7" s="842"/>
      <c r="F7" s="842"/>
      <c r="G7" s="842"/>
      <c r="H7" s="842"/>
      <c r="I7" s="842"/>
      <c r="J7" s="842"/>
      <c r="K7" s="842"/>
      <c r="L7" s="842"/>
      <c r="M7" s="842"/>
      <c r="N7" s="842"/>
      <c r="O7" s="842"/>
      <c r="P7" s="842"/>
    </row>
    <row r="8" spans="1:19">
      <c r="A8" s="64">
        <v>1</v>
      </c>
      <c r="B8" s="64"/>
      <c r="C8" s="311">
        <f>SUM(D8:P8)/13</f>
        <v>12042889010.962309</v>
      </c>
      <c r="D8" s="788">
        <v>10717971428.549999</v>
      </c>
      <c r="E8" s="788">
        <v>10717971428.549999</v>
      </c>
      <c r="F8" s="788">
        <v>10678685714.26</v>
      </c>
      <c r="G8" s="788">
        <v>11928685714.26</v>
      </c>
      <c r="H8" s="788">
        <v>11771185714.26</v>
      </c>
      <c r="I8" s="788">
        <v>11771185714.26</v>
      </c>
      <c r="J8" s="788">
        <v>12421185714.26</v>
      </c>
      <c r="K8" s="788">
        <v>12421185714.26</v>
      </c>
      <c r="L8" s="788">
        <v>12831899999.969999</v>
      </c>
      <c r="M8" s="788">
        <v>12831899999.969999</v>
      </c>
      <c r="N8" s="788">
        <v>12831899999.969999</v>
      </c>
      <c r="O8" s="788">
        <v>12831899999.969999</v>
      </c>
      <c r="P8" s="788">
        <v>12801899999.969999</v>
      </c>
      <c r="Q8" s="298"/>
      <c r="S8" s="315"/>
    </row>
    <row r="9" spans="1:19">
      <c r="A9" s="64"/>
      <c r="B9" s="25" t="s">
        <v>543</v>
      </c>
      <c r="C9" s="5"/>
      <c r="D9" s="311"/>
      <c r="E9" s="311"/>
      <c r="F9" s="311"/>
      <c r="G9" s="311"/>
      <c r="H9" s="311"/>
      <c r="I9" s="311"/>
      <c r="J9" s="311"/>
      <c r="K9" s="311"/>
      <c r="L9" s="311"/>
      <c r="M9" s="311"/>
      <c r="N9" s="311"/>
      <c r="O9" s="311"/>
      <c r="P9" s="311"/>
    </row>
    <row r="10" spans="1:19">
      <c r="A10" s="64">
        <f>A8+1</f>
        <v>2</v>
      </c>
      <c r="B10" s="64"/>
      <c r="C10" s="311">
        <f t="shared" ref="C10:C14" si="0">SUM(D10:P10)/13</f>
        <v>-9230769.2307692301</v>
      </c>
      <c r="D10" s="788">
        <v>-30000000</v>
      </c>
      <c r="E10" s="788">
        <v>-30000000</v>
      </c>
      <c r="F10" s="788">
        <v>-30000000</v>
      </c>
      <c r="G10" s="788">
        <v>-30000000</v>
      </c>
      <c r="H10" s="788">
        <v>0</v>
      </c>
      <c r="I10" s="788">
        <v>0</v>
      </c>
      <c r="J10" s="788">
        <v>0</v>
      </c>
      <c r="K10" s="788">
        <v>0</v>
      </c>
      <c r="L10" s="788">
        <v>0</v>
      </c>
      <c r="M10" s="788">
        <v>0</v>
      </c>
      <c r="N10" s="788">
        <v>0</v>
      </c>
      <c r="O10" s="788">
        <v>0</v>
      </c>
      <c r="P10" s="788">
        <v>0</v>
      </c>
      <c r="Q10" s="298"/>
    </row>
    <row r="11" spans="1:19">
      <c r="A11" s="64"/>
      <c r="B11" s="25" t="s">
        <v>544</v>
      </c>
      <c r="C11" s="10"/>
      <c r="D11" s="311"/>
      <c r="E11" s="311"/>
      <c r="F11" s="311"/>
      <c r="G11" s="311"/>
      <c r="H11" s="311"/>
      <c r="I11" s="311"/>
      <c r="J11" s="311"/>
      <c r="K11" s="311"/>
      <c r="L11" s="311"/>
      <c r="M11" s="311"/>
      <c r="N11" s="311"/>
      <c r="O11" s="311"/>
      <c r="P11" s="311"/>
    </row>
    <row r="12" spans="1:19">
      <c r="A12" s="64">
        <f>A10+1</f>
        <v>3</v>
      </c>
      <c r="B12" s="25"/>
      <c r="C12" s="311">
        <f>SUM(D12:P12)/13</f>
        <v>0</v>
      </c>
      <c r="D12" s="325">
        <v>0</v>
      </c>
      <c r="E12" s="325">
        <v>0</v>
      </c>
      <c r="F12" s="325">
        <v>0</v>
      </c>
      <c r="G12" s="325">
        <v>0</v>
      </c>
      <c r="H12" s="325">
        <v>0</v>
      </c>
      <c r="I12" s="325">
        <v>0</v>
      </c>
      <c r="J12" s="325">
        <v>0</v>
      </c>
      <c r="K12" s="325">
        <v>0</v>
      </c>
      <c r="L12" s="325">
        <v>0</v>
      </c>
      <c r="M12" s="325">
        <v>0</v>
      </c>
      <c r="N12" s="325">
        <v>0</v>
      </c>
      <c r="O12" s="325">
        <v>0</v>
      </c>
      <c r="P12" s="325">
        <v>0</v>
      </c>
      <c r="Q12" s="298"/>
    </row>
    <row r="13" spans="1:19">
      <c r="A13" s="64"/>
      <c r="B13" s="25" t="s">
        <v>545</v>
      </c>
      <c r="D13" s="311"/>
      <c r="E13" s="311"/>
      <c r="F13" s="311"/>
      <c r="G13" s="311"/>
      <c r="H13" s="311"/>
      <c r="I13" s="311"/>
      <c r="J13" s="311"/>
      <c r="K13" s="311"/>
      <c r="L13" s="311"/>
      <c r="M13" s="311"/>
      <c r="N13" s="311"/>
      <c r="O13" s="311"/>
      <c r="P13" s="311"/>
    </row>
    <row r="14" spans="1:19">
      <c r="A14" s="64">
        <f>A12+1</f>
        <v>4</v>
      </c>
      <c r="B14" s="64"/>
      <c r="C14" s="311">
        <f t="shared" si="0"/>
        <v>288062763.56461537</v>
      </c>
      <c r="D14" s="788">
        <v>306557633.25999999</v>
      </c>
      <c r="E14" s="788">
        <v>306552163.50999999</v>
      </c>
      <c r="F14" s="788">
        <v>306546670.69999999</v>
      </c>
      <c r="G14" s="788">
        <v>306541154.73000002</v>
      </c>
      <c r="H14" s="788">
        <v>276535615.5</v>
      </c>
      <c r="I14" s="788">
        <v>276530052.91000003</v>
      </c>
      <c r="J14" s="788">
        <v>276524466.87</v>
      </c>
      <c r="K14" s="788">
        <v>276518857.26999998</v>
      </c>
      <c r="L14" s="788">
        <v>276513224.12</v>
      </c>
      <c r="M14" s="788">
        <v>276507567.20999998</v>
      </c>
      <c r="N14" s="788">
        <v>276501886.25</v>
      </c>
      <c r="O14" s="788">
        <v>276496181.44</v>
      </c>
      <c r="P14" s="788">
        <v>306490452.56999999</v>
      </c>
      <c r="Q14" s="298"/>
    </row>
    <row r="15" spans="1:19">
      <c r="A15" s="64"/>
      <c r="B15" s="25" t="s">
        <v>546</v>
      </c>
      <c r="C15" s="10"/>
      <c r="D15" s="311"/>
      <c r="E15" s="311"/>
      <c r="F15" s="311"/>
      <c r="G15" s="311"/>
      <c r="H15" s="311"/>
      <c r="I15" s="311"/>
      <c r="J15" s="311"/>
      <c r="K15" s="311"/>
      <c r="L15" s="311"/>
      <c r="M15" s="311"/>
      <c r="N15" s="311"/>
      <c r="O15" s="311"/>
      <c r="P15" s="311"/>
      <c r="S15" s="298"/>
    </row>
    <row r="16" spans="1:19">
      <c r="A16" s="64">
        <f>A14+1</f>
        <v>5</v>
      </c>
      <c r="C16" s="311">
        <f t="shared" ref="C16" si="1">SUM(D16:P16)/13</f>
        <v>21248212.66</v>
      </c>
      <c r="D16" s="325">
        <v>21617711.620000001</v>
      </c>
      <c r="E16" s="325">
        <v>21556128.460000001</v>
      </c>
      <c r="F16" s="325">
        <v>21494545.300000001</v>
      </c>
      <c r="G16" s="325">
        <v>21432962.140000001</v>
      </c>
      <c r="H16" s="325">
        <v>21371378.98</v>
      </c>
      <c r="I16" s="325">
        <v>21309795.82</v>
      </c>
      <c r="J16" s="325">
        <v>21248212.66</v>
      </c>
      <c r="K16" s="325">
        <v>21186629.5</v>
      </c>
      <c r="L16" s="325">
        <v>21125046.34</v>
      </c>
      <c r="M16" s="325">
        <v>21063463.18</v>
      </c>
      <c r="N16" s="325">
        <v>21001880.02</v>
      </c>
      <c r="O16" s="325">
        <v>20940296.859999999</v>
      </c>
      <c r="P16" s="325">
        <v>20878713.699999999</v>
      </c>
      <c r="S16" s="298"/>
    </row>
    <row r="17" spans="1:19">
      <c r="A17" s="64"/>
      <c r="B17" s="25" t="s">
        <v>547</v>
      </c>
      <c r="C17" s="10"/>
      <c r="D17" s="311"/>
      <c r="E17" s="311"/>
      <c r="F17" s="311"/>
      <c r="G17" s="311"/>
      <c r="H17" s="311"/>
      <c r="I17" s="311"/>
      <c r="J17" s="311"/>
      <c r="K17" s="311"/>
      <c r="L17" s="311"/>
      <c r="M17" s="311"/>
      <c r="N17" s="311"/>
      <c r="O17" s="311"/>
      <c r="P17" s="311"/>
      <c r="S17" s="298"/>
    </row>
    <row r="18" spans="1:19">
      <c r="A18" s="64">
        <f>A16+1</f>
        <v>6</v>
      </c>
      <c r="B18" s="220"/>
      <c r="C18" s="311">
        <f t="shared" ref="C18" si="2">SUM(D18:P18)/13</f>
        <v>-47289364.171538465</v>
      </c>
      <c r="D18" s="325">
        <v>-32677760.140000001</v>
      </c>
      <c r="E18" s="325">
        <v>-32505483.719999999</v>
      </c>
      <c r="F18" s="325">
        <v>-32350399.050000001</v>
      </c>
      <c r="G18" s="325">
        <v>-33818209.520000003</v>
      </c>
      <c r="H18" s="325">
        <v>-33638652.189999998</v>
      </c>
      <c r="I18" s="325">
        <v>-33446711.629999999</v>
      </c>
      <c r="J18" s="325">
        <v>-44646189.439999998</v>
      </c>
      <c r="K18" s="325">
        <v>-44416733.090000004</v>
      </c>
      <c r="L18" s="325">
        <v>-65989638.810000002</v>
      </c>
      <c r="M18" s="325">
        <v>-65728157.619999997</v>
      </c>
      <c r="N18" s="325">
        <v>-65448643.270000003</v>
      </c>
      <c r="O18" s="325">
        <v>-65187162.060000002</v>
      </c>
      <c r="P18" s="325">
        <v>-64907993.689999998</v>
      </c>
      <c r="Q18" s="298"/>
      <c r="S18" s="315"/>
    </row>
    <row r="19" spans="1:19">
      <c r="A19" s="10"/>
      <c r="B19" s="220" t="s">
        <v>548</v>
      </c>
      <c r="C19" s="10"/>
      <c r="D19" s="311"/>
      <c r="E19" s="311"/>
      <c r="F19" s="311"/>
      <c r="G19" s="311"/>
      <c r="H19" s="311"/>
      <c r="I19" s="311"/>
      <c r="J19" s="311"/>
      <c r="K19" s="311"/>
      <c r="L19" s="311"/>
      <c r="M19" s="311"/>
      <c r="N19" s="311"/>
      <c r="O19" s="311"/>
      <c r="P19" s="311"/>
      <c r="S19" s="298"/>
    </row>
    <row r="20" spans="1:19">
      <c r="A20" s="64">
        <f>A18+1</f>
        <v>7</v>
      </c>
      <c r="B20" s="25"/>
      <c r="C20" s="311">
        <f t="shared" ref="C20" si="3">SUM(D20:P20)/13</f>
        <v>-94988501.576923072</v>
      </c>
      <c r="D20" s="325">
        <v>-84210666.140000001</v>
      </c>
      <c r="E20" s="325">
        <v>-83548839.620000005</v>
      </c>
      <c r="F20" s="325">
        <v>-82887013.099999994</v>
      </c>
      <c r="G20" s="325">
        <v>-91809323.310000002</v>
      </c>
      <c r="H20" s="325">
        <v>-91044823.469999999</v>
      </c>
      <c r="I20" s="325">
        <v>-93329458.079999998</v>
      </c>
      <c r="J20" s="325">
        <v>-98234646.239999995</v>
      </c>
      <c r="K20" s="325">
        <v>-97372032.859999999</v>
      </c>
      <c r="L20" s="325">
        <v>-104170573.53</v>
      </c>
      <c r="M20" s="325">
        <v>-103282383.93000001</v>
      </c>
      <c r="N20" s="325">
        <v>-102394194.33</v>
      </c>
      <c r="O20" s="325">
        <v>-101506004.73</v>
      </c>
      <c r="P20" s="325">
        <v>-101060561.16</v>
      </c>
      <c r="Q20" s="298"/>
    </row>
    <row r="21" spans="1:19">
      <c r="A21" s="64"/>
      <c r="B21" s="220" t="s">
        <v>549</v>
      </c>
      <c r="C21" s="10"/>
      <c r="D21" s="311"/>
      <c r="E21" s="311"/>
      <c r="F21" s="311"/>
      <c r="G21" s="311"/>
      <c r="H21" s="311"/>
      <c r="I21" s="311"/>
      <c r="J21" s="311"/>
      <c r="K21" s="311"/>
      <c r="L21" s="311"/>
      <c r="M21" s="311"/>
      <c r="N21" s="311"/>
      <c r="O21" s="311"/>
      <c r="P21" s="311"/>
    </row>
    <row r="22" spans="1:19">
      <c r="A22" s="64">
        <f>A20+1</f>
        <v>8</v>
      </c>
      <c r="B22" s="220"/>
      <c r="C22" s="311">
        <f t="shared" ref="C22" si="4">SUM(D22:P22)/13</f>
        <v>-160292990.58307692</v>
      </c>
      <c r="D22" s="325">
        <v>-167812284.69</v>
      </c>
      <c r="E22" s="325">
        <v>-166505415.62</v>
      </c>
      <c r="F22" s="325">
        <v>-165198546.55000001</v>
      </c>
      <c r="G22" s="325">
        <v>-163891677.47999999</v>
      </c>
      <c r="H22" s="325">
        <v>-162667610.47999999</v>
      </c>
      <c r="I22" s="325">
        <v>-161414860.50999999</v>
      </c>
      <c r="J22" s="325">
        <v>-160162110.53999999</v>
      </c>
      <c r="K22" s="325">
        <v>-158909360.56999999</v>
      </c>
      <c r="L22" s="325">
        <v>-157709104.47999999</v>
      </c>
      <c r="M22" s="325">
        <v>-156551519.56</v>
      </c>
      <c r="N22" s="325">
        <v>-155440157.63</v>
      </c>
      <c r="O22" s="325">
        <v>-154328795.69999999</v>
      </c>
      <c r="P22" s="325">
        <v>-153217433.77000001</v>
      </c>
      <c r="Q22" s="298"/>
    </row>
    <row r="23" spans="1:19">
      <c r="A23" s="64"/>
      <c r="B23" s="220" t="s">
        <v>550</v>
      </c>
      <c r="C23" s="311"/>
      <c r="D23" s="311"/>
      <c r="E23" s="311"/>
      <c r="F23" s="311"/>
      <c r="G23" s="311"/>
      <c r="H23" s="311"/>
      <c r="I23" s="311"/>
      <c r="J23" s="311"/>
      <c r="K23" s="311"/>
      <c r="L23" s="311"/>
      <c r="M23" s="311"/>
      <c r="N23" s="311"/>
      <c r="O23" s="311"/>
      <c r="P23" s="311" t="s">
        <v>128</v>
      </c>
    </row>
    <row r="24" spans="1:19">
      <c r="A24" s="64">
        <f>+A22+1</f>
        <v>9</v>
      </c>
      <c r="B24" s="220"/>
      <c r="C24" s="311">
        <f t="shared" ref="C24" si="5">SUM(D24:P24)/13</f>
        <v>-76923076.923076928</v>
      </c>
      <c r="D24" s="325">
        <v>0</v>
      </c>
      <c r="E24" s="325">
        <v>0</v>
      </c>
      <c r="F24" s="325">
        <v>0</v>
      </c>
      <c r="G24" s="325">
        <v>-100000000</v>
      </c>
      <c r="H24" s="325">
        <v>-100000000</v>
      </c>
      <c r="I24" s="325">
        <v>-100000000</v>
      </c>
      <c r="J24" s="325">
        <v>-100000000</v>
      </c>
      <c r="K24" s="325">
        <v>-100000000</v>
      </c>
      <c r="L24" s="325">
        <v>-100000000</v>
      </c>
      <c r="M24" s="325">
        <v>-100000000</v>
      </c>
      <c r="N24" s="325">
        <v>-100000000</v>
      </c>
      <c r="O24" s="325">
        <v>-100000000</v>
      </c>
      <c r="P24" s="325">
        <v>-100000000</v>
      </c>
    </row>
    <row r="25" spans="1:19">
      <c r="A25" s="64"/>
      <c r="B25" s="220" t="s">
        <v>551</v>
      </c>
      <c r="C25" s="311"/>
      <c r="D25" s="311"/>
      <c r="E25" s="311"/>
      <c r="F25" s="311"/>
      <c r="G25" s="311"/>
      <c r="H25" s="311"/>
      <c r="I25" s="311"/>
      <c r="J25" s="311"/>
      <c r="K25" s="311"/>
      <c r="L25" s="311"/>
      <c r="M25" s="311"/>
      <c r="N25" s="311"/>
      <c r="O25" s="311"/>
      <c r="P25" s="311"/>
    </row>
    <row r="26" spans="1:19">
      <c r="A26" s="64">
        <f>+A24+1</f>
        <v>10</v>
      </c>
      <c r="B26" s="220"/>
      <c r="C26" s="311">
        <f t="shared" ref="C26" si="6">SUM(D26:P26)/13</f>
        <v>0</v>
      </c>
      <c r="D26" s="325">
        <v>0</v>
      </c>
      <c r="E26" s="325">
        <v>0</v>
      </c>
      <c r="F26" s="325">
        <v>0</v>
      </c>
      <c r="G26" s="325">
        <v>0</v>
      </c>
      <c r="H26" s="325">
        <v>0</v>
      </c>
      <c r="I26" s="325">
        <v>0</v>
      </c>
      <c r="J26" s="325">
        <v>0</v>
      </c>
      <c r="K26" s="325">
        <v>0</v>
      </c>
      <c r="L26" s="325">
        <v>0</v>
      </c>
      <c r="M26" s="325">
        <v>0</v>
      </c>
      <c r="N26" s="325">
        <v>0</v>
      </c>
      <c r="O26" s="325">
        <v>0</v>
      </c>
      <c r="P26" s="325">
        <v>0</v>
      </c>
    </row>
    <row r="27" spans="1:19">
      <c r="A27" s="10"/>
      <c r="B27" s="25" t="s">
        <v>552</v>
      </c>
    </row>
    <row r="28" spans="1:19">
      <c r="A28" s="64">
        <f>+A26+1</f>
        <v>11</v>
      </c>
      <c r="B28" s="64"/>
      <c r="C28" s="311">
        <f t="shared" ref="C28:C32" si="7">SUM(D28:P28)/13</f>
        <v>2245054950</v>
      </c>
      <c r="D28" s="788">
        <v>2245054950</v>
      </c>
      <c r="E28" s="788">
        <v>2245054950</v>
      </c>
      <c r="F28" s="788">
        <v>2245054950</v>
      </c>
      <c r="G28" s="788">
        <v>2245054950</v>
      </c>
      <c r="H28" s="788">
        <v>2245054950</v>
      </c>
      <c r="I28" s="788">
        <v>2245054950</v>
      </c>
      <c r="J28" s="788">
        <v>2245054950</v>
      </c>
      <c r="K28" s="788">
        <v>2245054950</v>
      </c>
      <c r="L28" s="788">
        <v>2245054950</v>
      </c>
      <c r="M28" s="788">
        <v>2245054950</v>
      </c>
      <c r="N28" s="788">
        <v>2245054950</v>
      </c>
      <c r="O28" s="788">
        <v>2245054950</v>
      </c>
      <c r="P28" s="788">
        <v>2245054950</v>
      </c>
      <c r="Q28" s="298"/>
    </row>
    <row r="29" spans="1:19">
      <c r="A29" s="64"/>
      <c r="B29" s="25" t="s">
        <v>553</v>
      </c>
      <c r="D29" s="311"/>
      <c r="E29" s="311"/>
      <c r="F29" s="311"/>
      <c r="G29" s="311"/>
      <c r="H29" s="311"/>
      <c r="I29" s="311"/>
      <c r="J29" s="311"/>
      <c r="K29" s="311"/>
      <c r="L29" s="311"/>
      <c r="M29" s="311"/>
      <c r="N29" s="311"/>
      <c r="O29" s="311"/>
      <c r="P29" s="311"/>
    </row>
    <row r="30" spans="1:19">
      <c r="A30" s="64">
        <f>A28+1</f>
        <v>12</v>
      </c>
      <c r="B30" s="64"/>
      <c r="C30" s="311">
        <f t="shared" si="7"/>
        <v>-38577831.988888875</v>
      </c>
      <c r="D30" s="791">
        <v>-40285038.730555542</v>
      </c>
      <c r="E30" s="791">
        <v>-40000504.273611091</v>
      </c>
      <c r="F30" s="791">
        <v>-39715969.816666648</v>
      </c>
      <c r="G30" s="791">
        <v>-39431435.359722205</v>
      </c>
      <c r="H30" s="791">
        <v>-39146900.902777761</v>
      </c>
      <c r="I30" s="791">
        <v>-38862366.445833318</v>
      </c>
      <c r="J30" s="791">
        <v>-38577831.988888875</v>
      </c>
      <c r="K30" s="791">
        <v>-38293297.531944431</v>
      </c>
      <c r="L30" s="791">
        <v>-38008763.074999981</v>
      </c>
      <c r="M30" s="791">
        <v>-37724228.618055537</v>
      </c>
      <c r="N30" s="791">
        <v>-37439694.161111094</v>
      </c>
      <c r="O30" s="791">
        <v>-37155159.704166651</v>
      </c>
      <c r="P30" s="791">
        <v>-36870625.247222207</v>
      </c>
    </row>
    <row r="31" spans="1:19">
      <c r="A31" s="64"/>
      <c r="B31" s="25" t="s">
        <v>554</v>
      </c>
      <c r="D31" s="311"/>
      <c r="E31" s="311"/>
      <c r="F31" s="311"/>
      <c r="G31" s="311"/>
      <c r="H31" s="311"/>
      <c r="I31" s="311"/>
      <c r="J31" s="311"/>
      <c r="K31" s="311"/>
      <c r="L31" s="311"/>
      <c r="M31" s="311"/>
      <c r="N31" s="311"/>
      <c r="O31" s="311"/>
      <c r="P31" s="311"/>
    </row>
    <row r="32" spans="1:19">
      <c r="A32" s="64">
        <f>A30+1</f>
        <v>13</v>
      </c>
      <c r="B32" s="64"/>
      <c r="C32" s="311">
        <f t="shared" si="7"/>
        <v>-18851803.635043636</v>
      </c>
      <c r="D32" s="788">
        <v>-19365634.255193401</v>
      </c>
      <c r="E32" s="325">
        <v>-19279995.8185018</v>
      </c>
      <c r="F32" s="325">
        <v>-19194357.381810199</v>
      </c>
      <c r="G32" s="325">
        <v>-19108718.945118502</v>
      </c>
      <c r="H32" s="325">
        <v>-19023080.508426901</v>
      </c>
      <c r="I32" s="325">
        <v>-18937442.0717353</v>
      </c>
      <c r="J32" s="325">
        <v>-18851803.635043599</v>
      </c>
      <c r="K32" s="325">
        <v>-18766165.198352002</v>
      </c>
      <c r="L32" s="325">
        <v>-18680526.761660401</v>
      </c>
      <c r="M32" s="325">
        <v>-18594888.324968699</v>
      </c>
      <c r="N32" s="325">
        <v>-18509249.888277099</v>
      </c>
      <c r="O32" s="325">
        <v>-18423611.451585501</v>
      </c>
      <c r="P32" s="325">
        <v>-18337973.014893901</v>
      </c>
    </row>
    <row r="33" spans="1:17">
      <c r="A33" s="10"/>
      <c r="B33" s="25" t="s">
        <v>555</v>
      </c>
    </row>
    <row r="34" spans="1:17">
      <c r="A34" s="64">
        <f>+A32+1</f>
        <v>14</v>
      </c>
      <c r="B34" s="64"/>
      <c r="C34" s="311">
        <f>SUM(D34:P34)/13</f>
        <v>14889645707.380001</v>
      </c>
      <c r="D34" s="788">
        <v>14671722293</v>
      </c>
      <c r="E34" s="325">
        <v>14805532521.309999</v>
      </c>
      <c r="F34" s="325">
        <v>14678804647.83</v>
      </c>
      <c r="G34" s="325">
        <v>14747684711.280001</v>
      </c>
      <c r="H34" s="325">
        <v>14822659312.24</v>
      </c>
      <c r="I34" s="325">
        <v>14926004852.42</v>
      </c>
      <c r="J34" s="325">
        <v>14945615585.84</v>
      </c>
      <c r="K34" s="325">
        <v>15088539996.389999</v>
      </c>
      <c r="L34" s="325">
        <v>15037705407.040001</v>
      </c>
      <c r="M34" s="325">
        <v>15216742735.77</v>
      </c>
      <c r="N34" s="325">
        <v>15356052717.469999</v>
      </c>
      <c r="O34" s="325">
        <v>15482514949.35</v>
      </c>
      <c r="P34" s="325">
        <v>13785814466</v>
      </c>
      <c r="Q34" s="298"/>
    </row>
    <row r="35" spans="1:17">
      <c r="A35" s="64"/>
      <c r="B35" s="220" t="s">
        <v>556</v>
      </c>
      <c r="C35" s="311"/>
      <c r="D35" s="311"/>
      <c r="E35" s="311"/>
      <c r="F35" s="311"/>
      <c r="G35" s="311"/>
      <c r="H35" s="311"/>
      <c r="I35" s="311"/>
      <c r="J35" s="311"/>
      <c r="K35" s="311"/>
      <c r="L35" s="311"/>
      <c r="M35" s="311"/>
      <c r="N35" s="311"/>
      <c r="O35" s="311"/>
      <c r="P35" s="311"/>
      <c r="Q35" s="298"/>
    </row>
    <row r="36" spans="1:17">
      <c r="A36" s="64" t="s">
        <v>557</v>
      </c>
      <c r="B36" s="64"/>
      <c r="C36" s="311">
        <f>SUM(D36:P36)/13</f>
        <v>140388132.46153846</v>
      </c>
      <c r="D36" s="325">
        <v>0</v>
      </c>
      <c r="E36" s="325">
        <v>0</v>
      </c>
      <c r="F36" s="325">
        <v>0</v>
      </c>
      <c r="G36" s="325">
        <v>0</v>
      </c>
      <c r="H36" s="325">
        <v>0</v>
      </c>
      <c r="I36" s="325">
        <v>0</v>
      </c>
      <c r="J36" s="325">
        <v>0</v>
      </c>
      <c r="K36" s="325">
        <v>0</v>
      </c>
      <c r="L36" s="325">
        <v>0</v>
      </c>
      <c r="M36" s="325">
        <v>0</v>
      </c>
      <c r="N36" s="325">
        <v>0</v>
      </c>
      <c r="O36" s="325">
        <v>0</v>
      </c>
      <c r="P36" s="325">
        <v>1825045722</v>
      </c>
      <c r="Q36" s="298"/>
    </row>
    <row r="37" spans="1:17">
      <c r="A37" s="64"/>
      <c r="B37" s="25" t="s">
        <v>558</v>
      </c>
      <c r="D37" s="311"/>
      <c r="E37" s="311"/>
      <c r="F37" s="311"/>
      <c r="G37" s="311"/>
      <c r="H37" s="311"/>
      <c r="I37" s="311"/>
      <c r="J37" s="311"/>
      <c r="K37" s="311"/>
      <c r="L37" s="311"/>
      <c r="M37" s="311"/>
      <c r="N37" s="311"/>
      <c r="O37" s="311"/>
      <c r="P37" s="311"/>
    </row>
    <row r="38" spans="1:17">
      <c r="A38" s="64">
        <f>+A34+1</f>
        <v>15</v>
      </c>
      <c r="B38" s="64"/>
      <c r="C38" s="311">
        <f t="shared" ref="C38:C40" si="8">SUM(D38:P38)/13</f>
        <v>2603862.8438461544</v>
      </c>
      <c r="D38" s="788">
        <v>2603481.34</v>
      </c>
      <c r="E38" s="788">
        <v>2603481.34</v>
      </c>
      <c r="F38" s="788">
        <v>2603481.34</v>
      </c>
      <c r="G38" s="788">
        <v>2603734.9899999998</v>
      </c>
      <c r="H38" s="788">
        <v>2603944.9899999998</v>
      </c>
      <c r="I38" s="788">
        <v>2603950.96</v>
      </c>
      <c r="J38" s="788">
        <v>2603950.96</v>
      </c>
      <c r="K38" s="788">
        <v>2603950.96</v>
      </c>
      <c r="L38" s="788">
        <v>2604008.46</v>
      </c>
      <c r="M38" s="788">
        <v>2604008.46</v>
      </c>
      <c r="N38" s="788">
        <v>2604008.46</v>
      </c>
      <c r="O38" s="788">
        <v>2604107.71</v>
      </c>
      <c r="P38" s="788">
        <v>2604107</v>
      </c>
      <c r="Q38" s="298"/>
    </row>
    <row r="39" spans="1:17">
      <c r="A39" s="64"/>
      <c r="B39" s="25" t="s">
        <v>559</v>
      </c>
      <c r="D39" s="311"/>
      <c r="E39" s="311"/>
      <c r="F39" s="311"/>
      <c r="G39" s="311"/>
      <c r="H39" s="311"/>
      <c r="I39" s="311"/>
      <c r="J39" s="311"/>
      <c r="K39" s="311"/>
      <c r="L39" s="311"/>
      <c r="M39" s="311"/>
      <c r="N39" s="311"/>
      <c r="O39" s="311"/>
      <c r="P39" s="311"/>
    </row>
    <row r="40" spans="1:17">
      <c r="A40" s="64">
        <f>A38+1</f>
        <v>16</v>
      </c>
      <c r="B40" s="64"/>
      <c r="C40" s="311">
        <f t="shared" si="8"/>
        <v>20891770.803846154</v>
      </c>
      <c r="D40" s="788">
        <v>18721643.18</v>
      </c>
      <c r="E40" s="788">
        <v>22844511.620000001</v>
      </c>
      <c r="F40" s="788">
        <v>22376228.280000001</v>
      </c>
      <c r="G40" s="788">
        <v>20127637.620000001</v>
      </c>
      <c r="H40" s="788">
        <v>21827334.890000001</v>
      </c>
      <c r="I40" s="788">
        <v>21354351.550000001</v>
      </c>
      <c r="J40" s="788">
        <v>21278441.5</v>
      </c>
      <c r="K40" s="788">
        <v>20805458.16</v>
      </c>
      <c r="L40" s="788">
        <v>20332474.82</v>
      </c>
      <c r="M40" s="788">
        <v>20256564.800000001</v>
      </c>
      <c r="N40" s="788">
        <v>19783581.460000001</v>
      </c>
      <c r="O40" s="788">
        <v>19310598.120000001</v>
      </c>
      <c r="P40" s="788">
        <v>22574194.449999999</v>
      </c>
      <c r="Q40" s="298"/>
    </row>
    <row r="41" spans="1:17">
      <c r="A41" s="64"/>
      <c r="B41" s="64"/>
      <c r="C41" s="311"/>
      <c r="D41" s="311"/>
      <c r="E41" s="311"/>
      <c r="F41" s="311"/>
      <c r="G41" s="311"/>
      <c r="H41" s="311"/>
      <c r="I41" s="311"/>
      <c r="J41" s="311"/>
      <c r="K41" s="311"/>
      <c r="L41" s="311"/>
      <c r="M41" s="311"/>
      <c r="N41" s="311"/>
      <c r="O41" s="311"/>
      <c r="P41" s="311"/>
    </row>
    <row r="42" spans="1:17">
      <c r="A42" s="64"/>
      <c r="B42" s="28" t="s">
        <v>408</v>
      </c>
      <c r="C42" s="311"/>
      <c r="D42" s="311"/>
      <c r="E42" s="311"/>
      <c r="F42" s="311"/>
      <c r="G42" s="311"/>
      <c r="H42" s="311"/>
      <c r="I42" s="311"/>
      <c r="J42" s="311"/>
      <c r="K42" s="311"/>
      <c r="L42" s="311"/>
      <c r="M42" s="311"/>
      <c r="N42" s="311"/>
      <c r="O42" s="311"/>
      <c r="P42" s="311"/>
    </row>
    <row r="43" spans="1:17">
      <c r="A43" s="64"/>
      <c r="B43" s="298" t="s">
        <v>560</v>
      </c>
      <c r="C43" s="311"/>
      <c r="D43" s="311"/>
      <c r="E43" s="311"/>
      <c r="F43" s="311"/>
      <c r="G43" s="311"/>
      <c r="H43" s="311"/>
      <c r="I43" s="311"/>
      <c r="J43" s="311"/>
      <c r="K43" s="311"/>
      <c r="L43" s="311"/>
      <c r="M43" s="311"/>
      <c r="N43" s="311"/>
      <c r="O43" s="311"/>
      <c r="P43" s="311"/>
    </row>
    <row r="44" spans="1:17">
      <c r="A44" s="64"/>
      <c r="B44" s="302" t="s">
        <v>561</v>
      </c>
      <c r="C44" s="311"/>
      <c r="D44" s="311"/>
      <c r="E44" s="311"/>
      <c r="F44" s="311"/>
      <c r="G44" s="311"/>
      <c r="H44" s="311"/>
      <c r="I44" s="311"/>
      <c r="J44" s="311"/>
      <c r="K44" s="311"/>
      <c r="L44" s="311"/>
      <c r="M44" s="311"/>
      <c r="N44" s="311"/>
      <c r="O44" s="311"/>
      <c r="P44" s="311"/>
    </row>
    <row r="45" spans="1:17">
      <c r="A45" s="10"/>
      <c r="B45" s="297"/>
      <c r="C45" s="10"/>
      <c r="D45" s="10"/>
      <c r="E45" s="10"/>
      <c r="F45" s="10"/>
      <c r="G45" s="10"/>
      <c r="H45" s="10"/>
      <c r="I45" s="10"/>
      <c r="J45" s="10"/>
      <c r="K45" s="10"/>
      <c r="L45" s="10"/>
    </row>
    <row r="46" spans="1:17">
      <c r="A46" s="10"/>
      <c r="B46" s="25" t="s">
        <v>226</v>
      </c>
      <c r="C46" s="10"/>
      <c r="D46" s="10"/>
      <c r="E46" s="10"/>
      <c r="F46" s="10"/>
      <c r="G46" s="10"/>
      <c r="H46" s="10"/>
      <c r="I46" s="10"/>
      <c r="J46" s="10"/>
      <c r="K46" s="10"/>
      <c r="L46" s="10"/>
    </row>
    <row r="47" spans="1:17">
      <c r="A47" s="10"/>
      <c r="B47" s="300" t="s">
        <v>562</v>
      </c>
      <c r="C47" s="10"/>
      <c r="D47" s="10"/>
      <c r="E47" s="10"/>
      <c r="F47" s="10"/>
      <c r="G47" s="10"/>
      <c r="H47" s="10"/>
      <c r="I47" s="10"/>
      <c r="J47" s="10"/>
      <c r="K47" s="10"/>
      <c r="L47" s="10"/>
    </row>
    <row r="48" spans="1:17">
      <c r="A48" s="10"/>
      <c r="B48" s="300" t="s">
        <v>563</v>
      </c>
      <c r="C48" s="10"/>
      <c r="D48" s="10"/>
      <c r="E48" s="10"/>
      <c r="F48" s="10"/>
      <c r="G48" s="10"/>
      <c r="H48" s="10"/>
      <c r="I48" s="10"/>
      <c r="J48" s="10"/>
      <c r="K48" s="10"/>
      <c r="L48" s="10"/>
    </row>
    <row r="49" spans="1:12">
      <c r="A49" s="10"/>
      <c r="B49" s="300" t="s">
        <v>564</v>
      </c>
      <c r="C49" s="10"/>
      <c r="D49" s="10"/>
      <c r="E49" s="10"/>
      <c r="F49" s="10"/>
      <c r="G49" s="10"/>
      <c r="H49" s="10"/>
      <c r="I49" s="10"/>
      <c r="J49" s="10"/>
      <c r="K49" s="10"/>
      <c r="L49" s="10"/>
    </row>
    <row r="50" spans="1:12">
      <c r="A50" s="10"/>
      <c r="B50" s="300" t="s">
        <v>565</v>
      </c>
      <c r="C50" s="10"/>
      <c r="D50" s="10"/>
      <c r="E50" s="10"/>
      <c r="F50" s="10"/>
      <c r="G50" s="10"/>
      <c r="H50" s="10"/>
      <c r="I50" s="10"/>
      <c r="J50" s="10"/>
      <c r="K50" s="10"/>
      <c r="L50" s="10"/>
    </row>
    <row r="51" spans="1:12">
      <c r="A51" s="10"/>
      <c r="B51" s="300" t="s">
        <v>566</v>
      </c>
      <c r="C51" s="220"/>
      <c r="D51" s="10"/>
      <c r="E51" s="10"/>
      <c r="F51" s="10"/>
      <c r="G51" s="10"/>
      <c r="H51" s="10"/>
      <c r="I51" s="10"/>
      <c r="J51" s="10"/>
      <c r="K51" s="10"/>
      <c r="L51" s="10"/>
    </row>
    <row r="52" spans="1:12">
      <c r="A52" s="10"/>
      <c r="B52" s="300" t="s">
        <v>567</v>
      </c>
      <c r="C52" s="220"/>
      <c r="D52" s="10"/>
      <c r="E52" s="10"/>
      <c r="F52" s="10"/>
      <c r="G52" s="10"/>
      <c r="H52" s="10"/>
      <c r="I52" s="10"/>
      <c r="J52" s="10"/>
      <c r="K52" s="10"/>
      <c r="L52" s="10"/>
    </row>
    <row r="53" spans="1:12">
      <c r="A53" s="10"/>
      <c r="B53" s="300" t="s">
        <v>568</v>
      </c>
      <c r="C53" s="220"/>
      <c r="D53" s="10"/>
      <c r="E53" s="10"/>
      <c r="F53" s="10"/>
      <c r="G53" s="10"/>
      <c r="H53" s="10"/>
      <c r="I53" s="10"/>
      <c r="J53" s="10"/>
      <c r="K53" s="10"/>
      <c r="L53" s="10"/>
    </row>
    <row r="54" spans="1:12">
      <c r="A54" s="10"/>
      <c r="B54" s="300" t="s">
        <v>569</v>
      </c>
      <c r="C54" s="220"/>
      <c r="D54" s="10"/>
      <c r="E54" s="10"/>
      <c r="F54" s="10"/>
      <c r="G54" s="10"/>
      <c r="H54" s="10"/>
      <c r="I54" s="10"/>
      <c r="J54" s="10"/>
      <c r="K54" s="10"/>
      <c r="L54" s="10"/>
    </row>
    <row r="55" spans="1:12">
      <c r="A55" s="10"/>
      <c r="B55" s="300" t="s">
        <v>570</v>
      </c>
      <c r="C55" s="220"/>
      <c r="D55" s="10"/>
      <c r="E55" s="10"/>
      <c r="F55" s="10"/>
      <c r="G55" s="10"/>
      <c r="H55" s="10"/>
      <c r="I55" s="10"/>
      <c r="J55" s="10"/>
      <c r="K55" s="10"/>
      <c r="L55" s="10"/>
    </row>
    <row r="56" spans="1:12">
      <c r="A56" s="10"/>
      <c r="B56" s="300" t="s">
        <v>571</v>
      </c>
      <c r="C56" s="220"/>
      <c r="D56" s="10"/>
      <c r="E56" s="10"/>
      <c r="F56" s="10"/>
      <c r="G56" s="10"/>
      <c r="H56" s="10"/>
      <c r="I56" s="10"/>
      <c r="J56" s="10"/>
      <c r="K56" s="10"/>
      <c r="L56" s="10"/>
    </row>
    <row r="57" spans="1:12">
      <c r="A57" s="10"/>
      <c r="B57" s="300" t="s">
        <v>572</v>
      </c>
      <c r="C57" s="10"/>
      <c r="D57" s="10"/>
      <c r="E57" s="10"/>
      <c r="F57" s="10"/>
      <c r="G57" s="10"/>
      <c r="H57" s="10"/>
      <c r="I57" s="10"/>
      <c r="J57" s="10"/>
      <c r="K57" s="10"/>
      <c r="L57" s="10"/>
    </row>
    <row r="58" spans="1:12">
      <c r="A58" s="10"/>
      <c r="B58" s="300" t="s">
        <v>573</v>
      </c>
      <c r="C58" s="10"/>
      <c r="D58" s="10"/>
      <c r="E58" s="10"/>
      <c r="F58" s="10"/>
      <c r="G58" s="10"/>
      <c r="H58" s="10"/>
      <c r="I58" s="10"/>
      <c r="J58" s="10"/>
      <c r="K58" s="10"/>
      <c r="L58" s="10"/>
    </row>
    <row r="59" spans="1:12">
      <c r="A59" s="10"/>
      <c r="B59" s="300" t="s">
        <v>574</v>
      </c>
      <c r="D59" s="10"/>
      <c r="E59" s="10"/>
      <c r="F59" s="10"/>
      <c r="G59" s="10"/>
      <c r="H59" s="64"/>
      <c r="I59" s="10"/>
      <c r="J59" s="10"/>
      <c r="K59" s="10"/>
      <c r="L59" s="10"/>
    </row>
    <row r="60" spans="1:12">
      <c r="A60" s="10"/>
      <c r="B60" s="951" t="s">
        <v>575</v>
      </c>
      <c r="C60" s="10"/>
    </row>
    <row r="61" spans="1:12">
      <c r="A61" s="10"/>
      <c r="B61" s="951" t="s">
        <v>576</v>
      </c>
      <c r="C61" s="10"/>
    </row>
    <row r="62" spans="1:12">
      <c r="A62" s="10"/>
      <c r="B62" s="951" t="s">
        <v>577</v>
      </c>
      <c r="C62" s="10"/>
    </row>
    <row r="63" spans="1:12">
      <c r="A63" s="10"/>
      <c r="B63" s="951" t="s">
        <v>578</v>
      </c>
      <c r="C63" s="10"/>
    </row>
  </sheetData>
  <pageMargins left="0.7" right="0.7" top="0.75" bottom="0.75" header="0.3" footer="0.3"/>
  <pageSetup scale="54" fitToHeight="0" orientation="landscape" cellComments="asDisplayed" r:id="rId1"/>
  <headerFooter>
    <oddHeader>&amp;CSchedule 5 ROR-2
Return and Capitalization
&amp;RTO2020 Draft Annual Update 
Attachment1</oddHeader>
    <oddFooter>&amp;R5-ROR-2</oddFooter>
  </headerFooter>
</worksheet>
</file>

<file path=docProps/app.xml><?xml version="1.0" encoding="utf-8"?>
<Properties xmlns="http://schemas.openxmlformats.org/officeDocument/2006/extended-properties" xmlns:vt="http://schemas.openxmlformats.org/officeDocument/2006/docPropsVTypes">
  <Application>Microsoft Excel Online</Application>
  <Manager/>
  <Company>Edison International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dcterms:created xsi:type="dcterms:W3CDTF">2009-02-27T16:01:11Z</dcterms:created>
  <dcterms:modified xsi:type="dcterms:W3CDTF">2019-06-13T23:03:54Z</dcterms:modified>
  <cp:category/>
  <cp:contentStatus/>
</cp:coreProperties>
</file>