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defaultThemeVersion="124226"/>
  <mc:AlternateContent xmlns:mc="http://schemas.openxmlformats.org/markup-compatibility/2006">
    <mc:Choice Requires="x15">
      <x15ac:absPath xmlns:x15ac="http://schemas.microsoft.com/office/spreadsheetml/2010/11/ac" url="C:\Users\kimjy\Desktop\"/>
    </mc:Choice>
  </mc:AlternateContent>
  <xr:revisionPtr revIDLastSave="0" documentId="8_{1A090CDB-E9FA-4D7A-A5D6-3A03B88E5998}" xr6:coauthVersionLast="45" xr6:coauthVersionMax="45" xr10:uidLastSave="{00000000-0000-0000-0000-000000000000}"/>
  <bookViews>
    <workbookView xWindow="-110" yWindow="-110" windowWidth="19420" windowHeight="10420" tabRatio="597"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'21-RevenueCredits'!$A$1:$O$262</definedName>
    <definedName name="_xlnm.Print_Area" localSheetId="15">'10-CWIP'!$A$1:$K$452</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'14-IncentivePlant'!$A$1:$J$414</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'18-DepRates'!$A$1:$G$64</definedName>
    <definedName name="_xlnm.Print_Area" localSheetId="24">'19-OandM'!$A$1:$L$152</definedName>
    <definedName name="_xlnm.Print_Area" localSheetId="3">'1-BaseTRR'!$A$1:$K$173</definedName>
    <definedName name="_xlnm.Print_Area" localSheetId="25">'20-AandG'!$A$1:$J$109</definedName>
    <definedName name="_xlnm.Print_Area" localSheetId="26">'21-RevenueCredits'!$A$1:$O$262</definedName>
    <definedName name="_xlnm.Print_Area" localSheetId="27">'22-NUCs'!$A$1:$F$27</definedName>
    <definedName name="_xlnm.Print_Area" localSheetId="28">'23-RegAssets'!$A$1:$I$37</definedName>
    <definedName name="_xlnm.Print_Area" localSheetId="29">'24-CWIPTRR'!$A$1:$J$195</definedName>
    <definedName name="_xlnm.Print_Area" localSheetId="30">'25-WholesaleDifference'!$A$1:$J$103</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5">'3-TrueUpAdjust'!$A$1:$L$144</definedName>
    <definedName name="_xlnm.Print_Area" localSheetId="6">'4-TUTRR'!$A$1:$J$107</definedName>
    <definedName name="_xlnm.Print_Area" localSheetId="7">'5-ROR-1'!$A$1:$L$50</definedName>
    <definedName name="_xlnm.Print_Area" localSheetId="8">'5-ROR-2'!$A$1:$P$68</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'9-ADIT-1'!$A$1:$J$166</definedName>
    <definedName name="_xlnm.Print_Area" localSheetId="13">'9-ADIT-2'!$A$1:$M$61</definedName>
    <definedName name="_xlnm.Print_Area" localSheetId="14">'9-ADIT-3'!$A$1:$I$55</definedName>
    <definedName name="_xlnm.Print_Area" localSheetId="1">Contents!$A$1:$D$38</definedName>
    <definedName name="_xlnm.Print_Area" localSheetId="0">Heading!$A$1:$K$12</definedName>
    <definedName name="_xlnm.Print_Area" localSheetId="2">Overview!$A$1:$I$24</definedName>
    <definedName name="_xlnm.Print_Titles" localSheetId="3">'1-BaseTRR'!$1:$6</definedName>
    <definedName name="_xlnm.Print_Titles" localSheetId="26">'21-RevenueCredits'!$1:$3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74" i="49" l="1"/>
  <c r="L136" i="61" l="1"/>
  <c r="L70" i="61"/>
  <c r="E39" i="15" l="1"/>
  <c r="D38" i="15"/>
  <c r="H16" i="48" l="1"/>
  <c r="H20" i="48"/>
  <c r="H21" i="48"/>
  <c r="H29" i="48"/>
  <c r="I14" i="48"/>
  <c r="I22" i="48"/>
  <c r="I30" i="48"/>
  <c r="J14" i="48"/>
  <c r="J22" i="48"/>
  <c r="J30" i="48"/>
  <c r="G77" i="48"/>
  <c r="H77" i="48" s="1"/>
  <c r="I77" i="48" s="1"/>
  <c r="J77" i="48" s="1"/>
  <c r="G78" i="48"/>
  <c r="G79" i="48"/>
  <c r="H79" i="48" s="1"/>
  <c r="G80" i="48"/>
  <c r="G81" i="48"/>
  <c r="H81" i="48" s="1"/>
  <c r="I81" i="48" s="1"/>
  <c r="J81" i="48" s="1"/>
  <c r="J18" i="48" s="1"/>
  <c r="G82" i="48"/>
  <c r="G83" i="48"/>
  <c r="G84" i="48"/>
  <c r="H84" i="48" s="1"/>
  <c r="I84" i="48" s="1"/>
  <c r="J84" i="48" s="1"/>
  <c r="J21" i="48" s="1"/>
  <c r="G85" i="48"/>
  <c r="H85" i="48" s="1"/>
  <c r="I85" i="48" s="1"/>
  <c r="J85" i="48" s="1"/>
  <c r="G86" i="48"/>
  <c r="G87" i="48"/>
  <c r="G88" i="48"/>
  <c r="H88" i="48" s="1"/>
  <c r="G89" i="48"/>
  <c r="H89" i="48" s="1"/>
  <c r="H26" i="48" s="1"/>
  <c r="G90" i="48"/>
  <c r="G91" i="48"/>
  <c r="G92" i="48"/>
  <c r="H92" i="48" s="1"/>
  <c r="I92" i="48" s="1"/>
  <c r="J92" i="48" s="1"/>
  <c r="J29" i="48" s="1"/>
  <c r="G93" i="48"/>
  <c r="H93" i="48" s="1"/>
  <c r="I93" i="48" s="1"/>
  <c r="J93" i="48" s="1"/>
  <c r="G94" i="48"/>
  <c r="H94" i="48" s="1"/>
  <c r="H31" i="48" s="1"/>
  <c r="G95" i="48"/>
  <c r="G96" i="48"/>
  <c r="H96" i="48" s="1"/>
  <c r="G97" i="48"/>
  <c r="H97" i="48" s="1"/>
  <c r="I97" i="48" s="1"/>
  <c r="J97" i="48" s="1"/>
  <c r="J34" i="48" s="1"/>
  <c r="G98" i="48"/>
  <c r="G99" i="48"/>
  <c r="H80" i="48"/>
  <c r="I80" i="48" s="1"/>
  <c r="J80" i="48" s="1"/>
  <c r="J17" i="48" s="1"/>
  <c r="H82" i="48"/>
  <c r="I82" i="48" s="1"/>
  <c r="J82" i="48" s="1"/>
  <c r="J19" i="48" s="1"/>
  <c r="H83" i="48"/>
  <c r="H90" i="48"/>
  <c r="I90" i="48" s="1"/>
  <c r="J90" i="48" s="1"/>
  <c r="J27" i="48" s="1"/>
  <c r="H91" i="48"/>
  <c r="I91" i="48" s="1"/>
  <c r="H98" i="48"/>
  <c r="I98" i="48" s="1"/>
  <c r="J98" i="48" s="1"/>
  <c r="J35" i="48" s="1"/>
  <c r="H99" i="48"/>
  <c r="I99" i="48" s="1"/>
  <c r="I83" i="48"/>
  <c r="J83" i="48" s="1"/>
  <c r="J20" i="48" s="1"/>
  <c r="I96" i="48" l="1"/>
  <c r="H33" i="48"/>
  <c r="J91" i="48"/>
  <c r="J28" i="48" s="1"/>
  <c r="I28" i="48"/>
  <c r="I88" i="48"/>
  <c r="H25" i="48"/>
  <c r="J99" i="48"/>
  <c r="J36" i="48" s="1"/>
  <c r="I36" i="48"/>
  <c r="I17" i="48"/>
  <c r="H30" i="48"/>
  <c r="H22" i="48"/>
  <c r="H14" i="48"/>
  <c r="I29" i="48"/>
  <c r="H36" i="48"/>
  <c r="I20" i="48"/>
  <c r="H35" i="48"/>
  <c r="H27" i="48"/>
  <c r="H19" i="48"/>
  <c r="I21" i="48"/>
  <c r="H28" i="48"/>
  <c r="I35" i="48"/>
  <c r="I27" i="48"/>
  <c r="I19" i="48"/>
  <c r="H34" i="48"/>
  <c r="H18" i="48"/>
  <c r="I34" i="48"/>
  <c r="I18" i="48"/>
  <c r="H17" i="48"/>
  <c r="I86" i="48"/>
  <c r="H95" i="48"/>
  <c r="H32" i="48" s="1"/>
  <c r="H86" i="48"/>
  <c r="H23" i="48" s="1"/>
  <c r="H78" i="48"/>
  <c r="I79" i="48"/>
  <c r="H87" i="48"/>
  <c r="H24" i="48" s="1"/>
  <c r="I94" i="48"/>
  <c r="I89" i="48"/>
  <c r="J86" i="48" l="1"/>
  <c r="J23" i="48" s="1"/>
  <c r="I23" i="48"/>
  <c r="J88" i="48"/>
  <c r="J25" i="48" s="1"/>
  <c r="I25" i="48"/>
  <c r="J94" i="48"/>
  <c r="J31" i="48" s="1"/>
  <c r="I31" i="48"/>
  <c r="J79" i="48"/>
  <c r="J16" i="48" s="1"/>
  <c r="I16" i="48"/>
  <c r="I87" i="48"/>
  <c r="I78" i="48"/>
  <c r="H15" i="48"/>
  <c r="J89" i="48"/>
  <c r="J26" i="48" s="1"/>
  <c r="I26" i="48"/>
  <c r="I95" i="48"/>
  <c r="J96" i="48"/>
  <c r="J33" i="48" s="1"/>
  <c r="I33" i="48"/>
  <c r="J95" i="48" l="1"/>
  <c r="J32" i="48" s="1"/>
  <c r="I32" i="48"/>
  <c r="J78" i="48"/>
  <c r="J15" i="48" s="1"/>
  <c r="I15" i="48"/>
  <c r="J87" i="48"/>
  <c r="J24" i="48" s="1"/>
  <c r="I24" i="48"/>
  <c r="M76" i="48"/>
  <c r="H46" i="49" l="1"/>
  <c r="N159" i="61" l="1"/>
  <c r="N160" i="61"/>
  <c r="N161" i="61"/>
  <c r="F25" i="65" l="1"/>
  <c r="H24" i="65"/>
  <c r="J24" i="65" s="1"/>
  <c r="L24" i="65" s="1"/>
  <c r="N30" i="61" l="1"/>
  <c r="J30" i="61"/>
  <c r="M30" i="61" s="1"/>
  <c r="G30" i="61"/>
  <c r="I30" i="61" s="1"/>
  <c r="L204" i="61" l="1"/>
  <c r="E204" i="61"/>
  <c r="N202" i="61" l="1"/>
  <c r="N201" i="61"/>
  <c r="N200" i="61"/>
  <c r="N199" i="61"/>
  <c r="N198" i="61"/>
  <c r="N197" i="61"/>
  <c r="N196" i="61"/>
  <c r="N195" i="61"/>
  <c r="N194" i="61"/>
  <c r="J202" i="61"/>
  <c r="M202" i="61" s="1"/>
  <c r="G202" i="61"/>
  <c r="I202" i="61" s="1"/>
  <c r="J201" i="61"/>
  <c r="M201" i="61" s="1"/>
  <c r="G201" i="61"/>
  <c r="I201" i="61" s="1"/>
  <c r="J200" i="61"/>
  <c r="M200" i="61" s="1"/>
  <c r="G200" i="61"/>
  <c r="I200" i="61" s="1"/>
  <c r="J199" i="61"/>
  <c r="M199" i="61" s="1"/>
  <c r="G199" i="61"/>
  <c r="I199" i="61" s="1"/>
  <c r="J198" i="61"/>
  <c r="M198" i="61" s="1"/>
  <c r="G198" i="61"/>
  <c r="I198" i="61" s="1"/>
  <c r="J197" i="61"/>
  <c r="M197" i="61" s="1"/>
  <c r="G197" i="61"/>
  <c r="I197" i="61" s="1"/>
  <c r="J196" i="61"/>
  <c r="M196" i="61" s="1"/>
  <c r="G196" i="61"/>
  <c r="I196" i="61" s="1"/>
  <c r="J195" i="61"/>
  <c r="M195" i="61" s="1"/>
  <c r="G195" i="61"/>
  <c r="I195" i="61" s="1"/>
  <c r="J194" i="61"/>
  <c r="M194" i="61" s="1"/>
  <c r="G194" i="61"/>
  <c r="I194" i="61" s="1"/>
  <c r="J161" i="61" l="1"/>
  <c r="M161" i="61" s="1"/>
  <c r="G161" i="61"/>
  <c r="I161" i="61" s="1"/>
  <c r="J160" i="61"/>
  <c r="M160" i="61" s="1"/>
  <c r="G160" i="61"/>
  <c r="I160" i="61" s="1"/>
  <c r="J159" i="61"/>
  <c r="M159" i="61" s="1"/>
  <c r="G159" i="61"/>
  <c r="I159" i="61" s="1"/>
  <c r="J68" i="61"/>
  <c r="G68" i="61"/>
  <c r="I68" i="61" s="1"/>
  <c r="E32" i="61"/>
  <c r="N133" i="61" l="1"/>
  <c r="N132" i="61"/>
  <c r="N131" i="61"/>
  <c r="N130" i="61"/>
  <c r="J133" i="61"/>
  <c r="M133" i="61" s="1"/>
  <c r="G133" i="61"/>
  <c r="I133" i="61" s="1"/>
  <c r="J132" i="61"/>
  <c r="M132" i="61" s="1"/>
  <c r="G132" i="61"/>
  <c r="I132" i="61" s="1"/>
  <c r="J131" i="61"/>
  <c r="M131" i="61" s="1"/>
  <c r="G131" i="61"/>
  <c r="I131" i="61" s="1"/>
  <c r="J130" i="61"/>
  <c r="M130" i="61" s="1"/>
  <c r="G130" i="61"/>
  <c r="I130" i="61" s="1"/>
  <c r="N68" i="61"/>
  <c r="M68" i="61"/>
  <c r="N67" i="61"/>
  <c r="J67" i="61"/>
  <c r="M67" i="61" s="1"/>
  <c r="G67" i="61"/>
  <c r="I67" i="61" s="1"/>
  <c r="N29" i="61" l="1"/>
  <c r="N28" i="61"/>
  <c r="G27" i="61"/>
  <c r="J29" i="61"/>
  <c r="M29" i="61" s="1"/>
  <c r="G29" i="61"/>
  <c r="I29" i="61" s="1"/>
  <c r="J28" i="61"/>
  <c r="M28" i="61" s="1"/>
  <c r="G28" i="61"/>
  <c r="I28" i="61" s="1"/>
  <c r="E205" i="61" l="1"/>
  <c r="N193" i="61"/>
  <c r="N192" i="61"/>
  <c r="G192" i="61"/>
  <c r="I192" i="61" s="1"/>
  <c r="J192" i="61"/>
  <c r="M192" i="61" s="1"/>
  <c r="G193" i="61"/>
  <c r="I193" i="61" s="1"/>
  <c r="J193" i="61"/>
  <c r="M193" i="61" s="1"/>
  <c r="E44" i="72" l="1"/>
  <c r="E41" i="30" l="1"/>
  <c r="F67" i="15" l="1"/>
  <c r="G67" i="15"/>
  <c r="H67" i="15"/>
  <c r="D67" i="15"/>
  <c r="D119" i="15"/>
  <c r="H340" i="11" l="1"/>
  <c r="G340" i="11"/>
  <c r="H339" i="11"/>
  <c r="G339" i="11"/>
  <c r="H338" i="11"/>
  <c r="G338" i="11"/>
  <c r="H337" i="11"/>
  <c r="G337" i="11"/>
  <c r="H336" i="11"/>
  <c r="G336" i="11"/>
  <c r="H335" i="11"/>
  <c r="G335" i="11"/>
  <c r="H334" i="11"/>
  <c r="G334" i="11"/>
  <c r="H333" i="11"/>
  <c r="G333" i="11"/>
  <c r="H332" i="11"/>
  <c r="G332" i="11"/>
  <c r="H331" i="11"/>
  <c r="G331" i="11"/>
  <c r="H330" i="11"/>
  <c r="G330" i="11"/>
  <c r="H329" i="11"/>
  <c r="G329" i="11"/>
  <c r="H328" i="11"/>
  <c r="G328" i="11"/>
  <c r="H78" i="49"/>
  <c r="G78" i="49"/>
  <c r="D78" i="49"/>
  <c r="H77" i="49"/>
  <c r="G77" i="49"/>
  <c r="D77" i="49"/>
  <c r="H76" i="49"/>
  <c r="G76" i="49"/>
  <c r="D76" i="49"/>
  <c r="H75" i="49"/>
  <c r="G75" i="49"/>
  <c r="D75" i="49"/>
  <c r="H74" i="49"/>
  <c r="G74" i="49"/>
  <c r="H73" i="49"/>
  <c r="G73" i="49"/>
  <c r="D73" i="49"/>
  <c r="H72" i="49"/>
  <c r="G72" i="49"/>
  <c r="D72" i="49"/>
  <c r="H71" i="49"/>
  <c r="G71" i="49"/>
  <c r="D71" i="49"/>
  <c r="H70" i="49"/>
  <c r="G70" i="49"/>
  <c r="D70" i="49"/>
  <c r="H69" i="49"/>
  <c r="G69" i="49"/>
  <c r="D69" i="49"/>
  <c r="H68" i="49"/>
  <c r="G68" i="49"/>
  <c r="D68" i="49"/>
  <c r="H67" i="49"/>
  <c r="G67" i="49"/>
  <c r="D67" i="49"/>
  <c r="H66" i="49"/>
  <c r="G66" i="49"/>
  <c r="D66" i="49"/>
  <c r="H65" i="49"/>
  <c r="G65" i="49"/>
  <c r="D65" i="49"/>
  <c r="H64" i="49"/>
  <c r="G64" i="49"/>
  <c r="D64" i="49"/>
  <c r="H63" i="49"/>
  <c r="G63" i="49"/>
  <c r="D63" i="49"/>
  <c r="H62" i="49"/>
  <c r="G62" i="49"/>
  <c r="D62" i="49"/>
  <c r="H61" i="49"/>
  <c r="G61" i="49"/>
  <c r="D61" i="49"/>
  <c r="H60" i="49"/>
  <c r="G60" i="49"/>
  <c r="D60" i="49"/>
  <c r="H59" i="49"/>
  <c r="G59" i="49"/>
  <c r="D59" i="49"/>
  <c r="H58" i="49"/>
  <c r="G58" i="49"/>
  <c r="D58" i="49"/>
  <c r="H57" i="49"/>
  <c r="G57" i="49"/>
  <c r="D57" i="49"/>
  <c r="H56" i="49"/>
  <c r="G56" i="49"/>
  <c r="D56" i="49"/>
  <c r="H55" i="49"/>
  <c r="G55" i="49"/>
  <c r="D55" i="49"/>
  <c r="H47" i="83" l="1"/>
  <c r="H46" i="83"/>
  <c r="H45" i="83"/>
  <c r="H44" i="83"/>
  <c r="H43" i="83"/>
  <c r="H42" i="83"/>
  <c r="H41" i="83"/>
  <c r="H40" i="83"/>
  <c r="H39" i="83"/>
  <c r="H38" i="83"/>
  <c r="H37" i="83"/>
  <c r="H36" i="83"/>
  <c r="H35" i="83"/>
  <c r="H34" i="83"/>
  <c r="H29" i="83"/>
  <c r="H25" i="83"/>
  <c r="H24" i="83"/>
  <c r="H23" i="83"/>
  <c r="H22" i="83"/>
  <c r="H21" i="83"/>
  <c r="H20" i="83"/>
  <c r="H15" i="83"/>
  <c r="H14" i="83"/>
  <c r="H13" i="83"/>
  <c r="H12" i="83"/>
  <c r="E49" i="83" l="1"/>
  <c r="D49" i="83"/>
  <c r="F47" i="83"/>
  <c r="G47" i="83" s="1"/>
  <c r="I47" i="83" s="1"/>
  <c r="K44" i="84" s="1"/>
  <c r="F46" i="83"/>
  <c r="G46" i="83" s="1"/>
  <c r="I46" i="83" s="1"/>
  <c r="K43" i="84" s="1"/>
  <c r="F45" i="83"/>
  <c r="G45" i="83" s="1"/>
  <c r="I45" i="83" s="1"/>
  <c r="K42" i="84" s="1"/>
  <c r="F44" i="83"/>
  <c r="G44" i="83" s="1"/>
  <c r="I44" i="83" s="1"/>
  <c r="K41" i="84" s="1"/>
  <c r="G43" i="83"/>
  <c r="I43" i="83" s="1"/>
  <c r="K40" i="84" s="1"/>
  <c r="F43" i="83"/>
  <c r="F42" i="83"/>
  <c r="G42" i="83" s="1"/>
  <c r="I42" i="83" s="1"/>
  <c r="K39" i="84" s="1"/>
  <c r="F41" i="83"/>
  <c r="G41" i="83" s="1"/>
  <c r="I41" i="83" s="1"/>
  <c r="K38" i="84" s="1"/>
  <c r="F40" i="83"/>
  <c r="G40" i="83" s="1"/>
  <c r="I40" i="83" s="1"/>
  <c r="K37" i="84" s="1"/>
  <c r="F39" i="83"/>
  <c r="G39" i="83" s="1"/>
  <c r="I39" i="83" s="1"/>
  <c r="K36" i="84" s="1"/>
  <c r="F38" i="83"/>
  <c r="G38" i="83" s="1"/>
  <c r="I38" i="83" s="1"/>
  <c r="K35" i="84" s="1"/>
  <c r="F37" i="83"/>
  <c r="G37" i="83" s="1"/>
  <c r="I37" i="83" s="1"/>
  <c r="K34" i="84" s="1"/>
  <c r="F36" i="83"/>
  <c r="G36" i="83" s="1"/>
  <c r="I36" i="83" s="1"/>
  <c r="K33" i="84" s="1"/>
  <c r="F35" i="83"/>
  <c r="G35" i="83" s="1"/>
  <c r="I35" i="83" s="1"/>
  <c r="K32" i="84" s="1"/>
  <c r="H49" i="83"/>
  <c r="G34" i="83"/>
  <c r="F34" i="83"/>
  <c r="A34" i="83"/>
  <c r="A35" i="83" s="1"/>
  <c r="A36" i="83" s="1"/>
  <c r="A37" i="83" s="1"/>
  <c r="A38" i="83" s="1"/>
  <c r="A39" i="83" s="1"/>
  <c r="A40" i="83" s="1"/>
  <c r="A41" i="83" s="1"/>
  <c r="A42" i="83" s="1"/>
  <c r="A43" i="83" s="1"/>
  <c r="A44" i="83" s="1"/>
  <c r="A45" i="83" s="1"/>
  <c r="A46" i="83" s="1"/>
  <c r="A47" i="83" s="1"/>
  <c r="A48" i="83" s="1"/>
  <c r="G29" i="83"/>
  <c r="I29" i="83" s="1"/>
  <c r="K26" i="84" s="1"/>
  <c r="F29" i="83"/>
  <c r="E27" i="83"/>
  <c r="E31" i="83" s="1"/>
  <c r="E51" i="83" s="1"/>
  <c r="D27" i="83"/>
  <c r="D31" i="83" s="1"/>
  <c r="D51" i="83" s="1"/>
  <c r="G25" i="83"/>
  <c r="I25" i="83" s="1"/>
  <c r="K22" i="84" s="1"/>
  <c r="F25" i="83"/>
  <c r="G24" i="83"/>
  <c r="I24" i="83" s="1"/>
  <c r="K21" i="84" s="1"/>
  <c r="F24" i="83"/>
  <c r="G23" i="83"/>
  <c r="I23" i="83" s="1"/>
  <c r="K20" i="84" s="1"/>
  <c r="F23" i="83"/>
  <c r="F22" i="83"/>
  <c r="G22" i="83" s="1"/>
  <c r="I22" i="83" s="1"/>
  <c r="K19" i="84" s="1"/>
  <c r="I21" i="83"/>
  <c r="K18" i="84" s="1"/>
  <c r="G21" i="83"/>
  <c r="F21" i="83"/>
  <c r="H27" i="83"/>
  <c r="F20" i="83"/>
  <c r="A20" i="83"/>
  <c r="A21" i="83" s="1"/>
  <c r="A22" i="83" s="1"/>
  <c r="A23" i="83" s="1"/>
  <c r="A24" i="83" s="1"/>
  <c r="A25" i="83" s="1"/>
  <c r="A26" i="83" s="1"/>
  <c r="E17" i="83"/>
  <c r="D17" i="83"/>
  <c r="F15" i="83"/>
  <c r="G15" i="83" s="1"/>
  <c r="I15" i="83" s="1"/>
  <c r="K12" i="84" s="1"/>
  <c r="G14" i="83"/>
  <c r="I14" i="83" s="1"/>
  <c r="K11" i="84" s="1"/>
  <c r="F14" i="83"/>
  <c r="F13" i="83"/>
  <c r="G13" i="83" s="1"/>
  <c r="I13" i="83" s="1"/>
  <c r="K10" i="84" s="1"/>
  <c r="H17" i="83"/>
  <c r="F12" i="83"/>
  <c r="G12" i="83" s="1"/>
  <c r="I12" i="83" s="1"/>
  <c r="K9" i="84" s="1"/>
  <c r="A12" i="83"/>
  <c r="A13" i="83" s="1"/>
  <c r="A14" i="83" s="1"/>
  <c r="A15" i="83" s="1"/>
  <c r="A16" i="83" s="1"/>
  <c r="I46" i="84"/>
  <c r="H46" i="84"/>
  <c r="G46" i="84"/>
  <c r="F46" i="84"/>
  <c r="E46" i="84"/>
  <c r="D46" i="84"/>
  <c r="J45" i="84"/>
  <c r="J44" i="84"/>
  <c r="M44" i="84" s="1"/>
  <c r="L43" i="84"/>
  <c r="J43" i="84"/>
  <c r="M43" i="84" s="1"/>
  <c r="M42" i="84"/>
  <c r="J42" i="84"/>
  <c r="L42" i="84" s="1"/>
  <c r="J41" i="84"/>
  <c r="J40" i="84"/>
  <c r="M40" i="84" s="1"/>
  <c r="J39" i="84"/>
  <c r="L38" i="84"/>
  <c r="J38" i="84"/>
  <c r="M38" i="84" s="1"/>
  <c r="J37" i="84"/>
  <c r="M37" i="84" s="1"/>
  <c r="J36" i="84"/>
  <c r="J35" i="84"/>
  <c r="M35" i="84" s="1"/>
  <c r="M34" i="84"/>
  <c r="L34" i="84"/>
  <c r="J34" i="84"/>
  <c r="J33" i="84"/>
  <c r="J32" i="84"/>
  <c r="J31" i="84"/>
  <c r="A31" i="84"/>
  <c r="A32" i="84" s="1"/>
  <c r="A33" i="84" s="1"/>
  <c r="A34" i="84" s="1"/>
  <c r="A35" i="84" s="1"/>
  <c r="A36" i="84" s="1"/>
  <c r="A37" i="84" s="1"/>
  <c r="A38" i="84" s="1"/>
  <c r="A39" i="84" s="1"/>
  <c r="A40" i="84" s="1"/>
  <c r="A41" i="84" s="1"/>
  <c r="A42" i="84" s="1"/>
  <c r="A43" i="84" s="1"/>
  <c r="A44" i="84" s="1"/>
  <c r="A45" i="84" s="1"/>
  <c r="J26" i="84"/>
  <c r="M26" i="84" s="1"/>
  <c r="I24" i="84"/>
  <c r="H24" i="84"/>
  <c r="G24" i="84"/>
  <c r="F24" i="84"/>
  <c r="E24" i="84"/>
  <c r="D24" i="84"/>
  <c r="D28" i="84" s="1"/>
  <c r="D48" i="84" s="1"/>
  <c r="J23" i="84"/>
  <c r="J22" i="84"/>
  <c r="M21" i="84"/>
  <c r="L21" i="84"/>
  <c r="J21" i="84"/>
  <c r="J20" i="84"/>
  <c r="M20" i="84" s="1"/>
  <c r="J19" i="84"/>
  <c r="J18" i="84"/>
  <c r="J17" i="84"/>
  <c r="A17" i="84"/>
  <c r="A18" i="84" s="1"/>
  <c r="A19" i="84" s="1"/>
  <c r="A20" i="84" s="1"/>
  <c r="A21" i="84" s="1"/>
  <c r="A22" i="84" s="1"/>
  <c r="A23" i="84" s="1"/>
  <c r="I14" i="84"/>
  <c r="H14" i="84"/>
  <c r="G14" i="84"/>
  <c r="F14" i="84"/>
  <c r="F28" i="84" s="1"/>
  <c r="F48" i="84" s="1"/>
  <c r="E14" i="84"/>
  <c r="D14" i="84"/>
  <c r="J13" i="84"/>
  <c r="J12" i="84"/>
  <c r="J11" i="84"/>
  <c r="J10" i="84"/>
  <c r="J9" i="84"/>
  <c r="A9" i="84"/>
  <c r="A10" i="84" s="1"/>
  <c r="A11" i="84" s="1"/>
  <c r="A12" i="84" s="1"/>
  <c r="A13" i="84" s="1"/>
  <c r="M39" i="84" l="1"/>
  <c r="M12" i="84"/>
  <c r="M36" i="84"/>
  <c r="J46" i="84"/>
  <c r="M41" i="84"/>
  <c r="L39" i="84"/>
  <c r="M19" i="84"/>
  <c r="M32" i="84"/>
  <c r="L37" i="84"/>
  <c r="F27" i="83"/>
  <c r="F17" i="83"/>
  <c r="L18" i="84"/>
  <c r="M33" i="84"/>
  <c r="F49" i="83"/>
  <c r="K14" i="84"/>
  <c r="E28" i="84"/>
  <c r="E48" i="84" s="1"/>
  <c r="E49" i="84" s="1"/>
  <c r="M10" i="84"/>
  <c r="J24" i="84"/>
  <c r="L20" i="84"/>
  <c r="H28" i="84"/>
  <c r="H48" i="84" s="1"/>
  <c r="M22" i="84"/>
  <c r="I28" i="84"/>
  <c r="I48" i="84" s="1"/>
  <c r="I49" i="84" s="1"/>
  <c r="K107" i="1" s="1"/>
  <c r="J14" i="84"/>
  <c r="L10" i="84"/>
  <c r="M11" i="84"/>
  <c r="L9" i="84"/>
  <c r="L12" i="84"/>
  <c r="G28" i="84"/>
  <c r="G48" i="84" s="1"/>
  <c r="M18" i="84"/>
  <c r="G49" i="83"/>
  <c r="G17" i="83"/>
  <c r="I17" i="83"/>
  <c r="H31" i="83"/>
  <c r="H51" i="83" s="1"/>
  <c r="M9" i="84"/>
  <c r="L22" i="84"/>
  <c r="L26" i="84"/>
  <c r="L36" i="84"/>
  <c r="L44" i="84"/>
  <c r="G20" i="83"/>
  <c r="L11" i="84"/>
  <c r="L19" i="84"/>
  <c r="L33" i="84"/>
  <c r="L41" i="84"/>
  <c r="I34" i="83"/>
  <c r="L35" i="84"/>
  <c r="L32" i="84"/>
  <c r="L40" i="84"/>
  <c r="F31" i="83" l="1"/>
  <c r="F51" i="83" s="1"/>
  <c r="J28" i="84"/>
  <c r="J48" i="84" s="1"/>
  <c r="M14" i="84"/>
  <c r="L14" i="84"/>
  <c r="I49" i="83"/>
  <c r="K31" i="84"/>
  <c r="I20" i="83"/>
  <c r="G27" i="83"/>
  <c r="G31" i="83" s="1"/>
  <c r="G51" i="83" s="1"/>
  <c r="L31" i="84" l="1"/>
  <c r="L46" i="84" s="1"/>
  <c r="K46" i="84"/>
  <c r="M31" i="84"/>
  <c r="M46" i="84" s="1"/>
  <c r="I27" i="83"/>
  <c r="I31" i="83" s="1"/>
  <c r="I51" i="83" s="1"/>
  <c r="K17" i="84"/>
  <c r="L17" i="84" l="1"/>
  <c r="L24" i="84" s="1"/>
  <c r="L28" i="84" s="1"/>
  <c r="L48" i="84" s="1"/>
  <c r="K24" i="84"/>
  <c r="K28" i="84" s="1"/>
  <c r="K48" i="84" s="1"/>
  <c r="M17" i="84"/>
  <c r="M24" i="84" s="1"/>
  <c r="M28" i="84" s="1"/>
  <c r="M48" i="84" s="1"/>
  <c r="M49" i="84" l="1"/>
  <c r="I82" i="65" l="1"/>
  <c r="I81" i="65"/>
  <c r="I80" i="65"/>
  <c r="I79" i="65"/>
  <c r="I78" i="65"/>
  <c r="I77" i="65"/>
  <c r="D32" i="57" l="1"/>
  <c r="E17" i="57"/>
  <c r="D17" i="57"/>
  <c r="C17" i="57" s="1"/>
  <c r="E16" i="57"/>
  <c r="C16" i="57" s="1"/>
  <c r="D16" i="57"/>
  <c r="E15" i="57"/>
  <c r="E18" i="57" s="1"/>
  <c r="D15" i="57"/>
  <c r="D18" i="57" s="1"/>
  <c r="C15" i="57"/>
  <c r="C18" i="57" s="1"/>
  <c r="E11" i="57"/>
  <c r="D11" i="57"/>
  <c r="C11" i="57" s="1"/>
  <c r="E10" i="57"/>
  <c r="E12" i="57" s="1"/>
  <c r="D10" i="57"/>
  <c r="D12" i="57" s="1"/>
  <c r="C10" i="57"/>
  <c r="D20" i="57" l="1"/>
  <c r="C12" i="57"/>
  <c r="C20" i="57" s="1"/>
  <c r="E20" i="57"/>
  <c r="E35" i="54" l="1"/>
  <c r="D35" i="54"/>
  <c r="E42" i="30" l="1"/>
  <c r="D22" i="30"/>
  <c r="E86" i="4" l="1"/>
  <c r="E37" i="4"/>
  <c r="D37" i="4"/>
  <c r="C37" i="4"/>
  <c r="M82" i="4" l="1"/>
  <c r="M85" i="4"/>
  <c r="M84" i="4"/>
  <c r="M83" i="4"/>
  <c r="M81" i="4"/>
  <c r="M80" i="4"/>
  <c r="M79" i="4"/>
  <c r="M78" i="4"/>
  <c r="M77" i="4"/>
  <c r="M76" i="4"/>
  <c r="M75" i="4"/>
  <c r="M74" i="4"/>
  <c r="E104" i="4" l="1"/>
  <c r="E103" i="4"/>
  <c r="E102" i="4"/>
  <c r="E101" i="4"/>
  <c r="E100" i="4"/>
  <c r="E99" i="4"/>
  <c r="E97" i="4"/>
  <c r="E96" i="4"/>
  <c r="E95" i="4"/>
  <c r="E94" i="4"/>
  <c r="E93" i="4"/>
  <c r="L103" i="4"/>
  <c r="L102" i="4"/>
  <c r="L101" i="4"/>
  <c r="L100" i="4"/>
  <c r="L99" i="4"/>
  <c r="L98" i="4"/>
  <c r="L97" i="4"/>
  <c r="L96" i="4"/>
  <c r="L95" i="4"/>
  <c r="L94" i="4"/>
  <c r="L93" i="4"/>
  <c r="K98" i="4"/>
  <c r="K103" i="4"/>
  <c r="K102" i="4"/>
  <c r="K101" i="4"/>
  <c r="K100" i="4"/>
  <c r="K99" i="4"/>
  <c r="K97" i="4"/>
  <c r="K96" i="4"/>
  <c r="K95" i="4"/>
  <c r="K94" i="4"/>
  <c r="K93" i="4"/>
  <c r="J103" i="4"/>
  <c r="J102" i="4"/>
  <c r="J101" i="4"/>
  <c r="J100" i="4"/>
  <c r="J99" i="4"/>
  <c r="J98" i="4"/>
  <c r="J96" i="4"/>
  <c r="J95" i="4"/>
  <c r="J94" i="4"/>
  <c r="J93" i="4"/>
  <c r="I103" i="4"/>
  <c r="I102" i="4"/>
  <c r="I101" i="4"/>
  <c r="I100" i="4"/>
  <c r="I99" i="4"/>
  <c r="I98" i="4"/>
  <c r="I97" i="4"/>
  <c r="I96" i="4"/>
  <c r="I95" i="4"/>
  <c r="I94" i="4"/>
  <c r="I93" i="4"/>
  <c r="H103" i="4"/>
  <c r="H102" i="4"/>
  <c r="H99" i="4"/>
  <c r="H101" i="4"/>
  <c r="H100" i="4"/>
  <c r="H98" i="4"/>
  <c r="H97" i="4"/>
  <c r="H96" i="4"/>
  <c r="H95" i="4"/>
  <c r="H94" i="4"/>
  <c r="H93" i="4"/>
  <c r="G97" i="4"/>
  <c r="G101" i="4"/>
  <c r="G103" i="4"/>
  <c r="G102" i="4"/>
  <c r="G100" i="4"/>
  <c r="G99" i="4"/>
  <c r="G98" i="4"/>
  <c r="G96" i="4"/>
  <c r="G95" i="4"/>
  <c r="G94" i="4"/>
  <c r="G93" i="4"/>
  <c r="F103" i="4"/>
  <c r="F102" i="4"/>
  <c r="F101" i="4"/>
  <c r="F100" i="4"/>
  <c r="F99" i="4"/>
  <c r="F98" i="4"/>
  <c r="F97" i="4"/>
  <c r="F96" i="4"/>
  <c r="F95" i="4"/>
  <c r="F94" i="4"/>
  <c r="F93" i="4"/>
  <c r="E98" i="4"/>
  <c r="D104" i="4"/>
  <c r="D103" i="4"/>
  <c r="D102" i="4"/>
  <c r="D101" i="4"/>
  <c r="D100" i="4"/>
  <c r="D99" i="4"/>
  <c r="D98" i="4"/>
  <c r="D97" i="4"/>
  <c r="D96" i="4"/>
  <c r="D95" i="4"/>
  <c r="D94" i="4"/>
  <c r="D93" i="4"/>
  <c r="C97" i="4"/>
  <c r="C101" i="4"/>
  <c r="C104" i="4"/>
  <c r="C103" i="4"/>
  <c r="C102" i="4"/>
  <c r="C100" i="4"/>
  <c r="C99" i="4"/>
  <c r="C98" i="4"/>
  <c r="C96" i="4"/>
  <c r="C95" i="4"/>
  <c r="C94" i="4"/>
  <c r="C93" i="4"/>
  <c r="L142" i="4"/>
  <c r="L141" i="4"/>
  <c r="L140" i="4"/>
  <c r="L139" i="4"/>
  <c r="L138" i="4"/>
  <c r="L137" i="4"/>
  <c r="L136" i="4"/>
  <c r="L135" i="4"/>
  <c r="L134" i="4"/>
  <c r="L133" i="4"/>
  <c r="L132" i="4"/>
  <c r="L131" i="4"/>
  <c r="K142" i="4"/>
  <c r="K141" i="4"/>
  <c r="K140" i="4"/>
  <c r="K139" i="4"/>
  <c r="K138" i="4"/>
  <c r="K137" i="4"/>
  <c r="K136" i="4"/>
  <c r="K135" i="4"/>
  <c r="K134" i="4"/>
  <c r="K133" i="4"/>
  <c r="K132" i="4"/>
  <c r="K131" i="4"/>
  <c r="J139" i="4"/>
  <c r="J142" i="4"/>
  <c r="J141" i="4"/>
  <c r="J140" i="4"/>
  <c r="J138" i="4"/>
  <c r="J137" i="4"/>
  <c r="J136" i="4"/>
  <c r="J135" i="4"/>
  <c r="J134" i="4"/>
  <c r="J133" i="4"/>
  <c r="J132" i="4"/>
  <c r="J131" i="4"/>
  <c r="I142" i="4"/>
  <c r="I141" i="4"/>
  <c r="I140" i="4"/>
  <c r="I139" i="4"/>
  <c r="I138" i="4"/>
  <c r="I137" i="4"/>
  <c r="I136" i="4"/>
  <c r="I135" i="4"/>
  <c r="I134" i="4"/>
  <c r="I133" i="4"/>
  <c r="I132" i="4"/>
  <c r="I131" i="4"/>
  <c r="I143" i="4" s="1"/>
  <c r="H142" i="4"/>
  <c r="H141" i="4"/>
  <c r="H140" i="4"/>
  <c r="H139" i="4"/>
  <c r="H138" i="4"/>
  <c r="H137" i="4"/>
  <c r="H136" i="4"/>
  <c r="H135" i="4"/>
  <c r="H134" i="4"/>
  <c r="H133" i="4"/>
  <c r="H132" i="4"/>
  <c r="H131" i="4"/>
  <c r="G141" i="4"/>
  <c r="G142" i="4"/>
  <c r="G140" i="4"/>
  <c r="G139" i="4"/>
  <c r="G138" i="4"/>
  <c r="G137" i="4"/>
  <c r="G136" i="4"/>
  <c r="G135" i="4"/>
  <c r="G134" i="4"/>
  <c r="G133" i="4"/>
  <c r="G132" i="4"/>
  <c r="G131" i="4"/>
  <c r="G143" i="4" s="1"/>
  <c r="D138" i="4"/>
  <c r="D142" i="4"/>
  <c r="E141" i="4"/>
  <c r="E142" i="4"/>
  <c r="E140" i="4"/>
  <c r="E139" i="4"/>
  <c r="E138" i="4"/>
  <c r="E137" i="4"/>
  <c r="E136" i="4"/>
  <c r="E135" i="4"/>
  <c r="E134" i="4"/>
  <c r="F138" i="4"/>
  <c r="F142" i="4"/>
  <c r="F141" i="4"/>
  <c r="F140" i="4"/>
  <c r="F139" i="4"/>
  <c r="F137" i="4"/>
  <c r="F136" i="4"/>
  <c r="F135" i="4"/>
  <c r="F134" i="4"/>
  <c r="F133" i="4"/>
  <c r="F132" i="4"/>
  <c r="F131" i="4"/>
  <c r="E133" i="4"/>
  <c r="E132" i="4"/>
  <c r="E131" i="4"/>
  <c r="D136" i="4"/>
  <c r="D141" i="4"/>
  <c r="D140" i="4"/>
  <c r="D139" i="4"/>
  <c r="D137" i="4"/>
  <c r="D135" i="4"/>
  <c r="D134" i="4"/>
  <c r="D133" i="4"/>
  <c r="D132" i="4"/>
  <c r="D131" i="4"/>
  <c r="C135" i="4"/>
  <c r="C140" i="4"/>
  <c r="C142" i="4"/>
  <c r="C141" i="4"/>
  <c r="M141" i="4" s="1"/>
  <c r="C139" i="4"/>
  <c r="C138" i="4"/>
  <c r="C137" i="4"/>
  <c r="C136" i="4"/>
  <c r="C134" i="4"/>
  <c r="M134" i="4" s="1"/>
  <c r="C133" i="4"/>
  <c r="C132" i="4"/>
  <c r="C131" i="4"/>
  <c r="M94" i="4" l="1"/>
  <c r="M95" i="4"/>
  <c r="M96" i="4"/>
  <c r="K143" i="4"/>
  <c r="M142" i="4"/>
  <c r="H143" i="4"/>
  <c r="J143" i="4"/>
  <c r="M137" i="4"/>
  <c r="M99" i="4"/>
  <c r="M136" i="4"/>
  <c r="M100" i="4"/>
  <c r="M139" i="4"/>
  <c r="D143" i="4"/>
  <c r="E143" i="4"/>
  <c r="M132" i="4"/>
  <c r="M135" i="4"/>
  <c r="E105" i="4"/>
  <c r="M131" i="4"/>
  <c r="C143" i="4"/>
  <c r="L143" i="4"/>
  <c r="M101" i="4"/>
  <c r="M133" i="4"/>
  <c r="M102" i="4"/>
  <c r="M138" i="4"/>
  <c r="M140" i="4"/>
  <c r="F143" i="4"/>
  <c r="M93" i="4"/>
  <c r="C105" i="4"/>
  <c r="M98" i="4"/>
  <c r="M103" i="4"/>
  <c r="D105" i="4"/>
  <c r="M124" i="4"/>
  <c r="M123" i="4"/>
  <c r="M122" i="4"/>
  <c r="M121" i="4"/>
  <c r="M120" i="4"/>
  <c r="M119" i="4"/>
  <c r="M118" i="4"/>
  <c r="M117" i="4"/>
  <c r="M116" i="4"/>
  <c r="M115" i="4"/>
  <c r="M114" i="4"/>
  <c r="M113" i="4"/>
  <c r="M112" i="4"/>
  <c r="M143" i="4" l="1"/>
  <c r="E124" i="15" l="1"/>
  <c r="E123" i="15"/>
  <c r="E109" i="15"/>
  <c r="E108" i="15"/>
  <c r="E107" i="15"/>
  <c r="E106" i="15"/>
  <c r="F103" i="15"/>
  <c r="F119" i="15" s="1"/>
  <c r="E102" i="15"/>
  <c r="E85" i="15"/>
  <c r="E84" i="15"/>
  <c r="E83" i="15"/>
  <c r="E82" i="15"/>
  <c r="E81" i="15"/>
  <c r="F80" i="15"/>
  <c r="E63" i="15"/>
  <c r="E62" i="15"/>
  <c r="E61" i="15"/>
  <c r="E60" i="15"/>
  <c r="E59" i="15"/>
  <c r="G46" i="15"/>
  <c r="E45" i="15"/>
  <c r="E44" i="15"/>
  <c r="E43" i="15"/>
  <c r="E41" i="15"/>
  <c r="E40" i="15"/>
  <c r="E67" i="15" l="1"/>
  <c r="D13" i="15"/>
  <c r="J43" i="82" l="1"/>
  <c r="J41" i="82"/>
  <c r="J40" i="82"/>
  <c r="J26" i="82"/>
  <c r="J10" i="82"/>
  <c r="J8" i="82"/>
  <c r="H64" i="72"/>
  <c r="L33" i="82" s="1"/>
  <c r="I50" i="72"/>
  <c r="L34" i="82" s="1"/>
  <c r="C26" i="72"/>
  <c r="L44" i="82" s="1"/>
  <c r="A26" i="72"/>
  <c r="J44" i="82" s="1"/>
  <c r="C24" i="72"/>
  <c r="L43" i="82" s="1"/>
  <c r="C22" i="72"/>
  <c r="L40" i="82" s="1"/>
  <c r="C20" i="72"/>
  <c r="L28" i="82" s="1"/>
  <c r="L42" i="82" s="1"/>
  <c r="C18" i="72"/>
  <c r="L27" i="82" s="1"/>
  <c r="A18" i="72"/>
  <c r="A20" i="72" s="1"/>
  <c r="J28" i="82" s="1"/>
  <c r="C16" i="72"/>
  <c r="L26" i="82" s="1"/>
  <c r="C14" i="72"/>
  <c r="L11" i="82" s="1"/>
  <c r="C12" i="72"/>
  <c r="L10" i="82" s="1"/>
  <c r="C10" i="72"/>
  <c r="L9" i="82" s="1"/>
  <c r="A10" i="72"/>
  <c r="A14" i="72" s="1"/>
  <c r="J11" i="82" s="1"/>
  <c r="C8" i="72"/>
  <c r="L8" i="82" s="1"/>
  <c r="L21" i="82"/>
  <c r="K64" i="1" s="1"/>
  <c r="A9" i="82"/>
  <c r="A11" i="82" s="1"/>
  <c r="A15" i="82" s="1"/>
  <c r="I63" i="1" l="1"/>
  <c r="J9" i="82"/>
  <c r="J27" i="82"/>
  <c r="L12" i="82"/>
  <c r="L29" i="82"/>
  <c r="K68" i="1" s="1"/>
  <c r="L35" i="82"/>
  <c r="K69" i="1" s="1"/>
  <c r="L41" i="82"/>
  <c r="L45" i="82" s="1"/>
  <c r="K73" i="1" s="1"/>
  <c r="A16" i="82"/>
  <c r="A17" i="82" s="1"/>
  <c r="A18" i="82" s="1"/>
  <c r="A19" i="82" s="1"/>
  <c r="I64" i="1" s="1"/>
  <c r="J21" i="82"/>
  <c r="J12" i="82"/>
  <c r="L37" i="82" l="1"/>
  <c r="K70" i="1" s="1"/>
  <c r="L23" i="82"/>
  <c r="K65" i="1" s="1"/>
  <c r="K63" i="1"/>
  <c r="K75" i="1" s="1"/>
  <c r="J23" i="82"/>
  <c r="A23" i="82"/>
  <c r="A26" i="82" l="1"/>
  <c r="I41" i="82" s="1"/>
  <c r="I65" i="1"/>
  <c r="A27" i="82" l="1"/>
  <c r="A28" i="82" s="1"/>
  <c r="A29" i="82"/>
  <c r="I42" i="82"/>
  <c r="J29" i="82" l="1"/>
  <c r="B50" i="82"/>
  <c r="A32" i="82"/>
  <c r="A33" i="82" s="1"/>
  <c r="A34" i="82" s="1"/>
  <c r="A35" i="82" s="1"/>
  <c r="I69" i="1" s="1"/>
  <c r="I68" i="1"/>
  <c r="A37" i="82" l="1"/>
  <c r="J37" i="82"/>
  <c r="J35" i="82"/>
  <c r="A40" i="82" l="1"/>
  <c r="A41" i="82" s="1"/>
  <c r="A42" i="82" s="1"/>
  <c r="A43" i="82" s="1"/>
  <c r="A44" i="82" s="1"/>
  <c r="A45" i="82" s="1"/>
  <c r="I73" i="1" s="1"/>
  <c r="I70" i="1"/>
  <c r="J45" i="82" l="1"/>
  <c r="E70" i="61" l="1"/>
  <c r="N66" i="61" l="1"/>
  <c r="J66" i="61"/>
  <c r="M66" i="61" s="1"/>
  <c r="G66" i="61"/>
  <c r="I66" i="61" s="1"/>
  <c r="K21" i="46" l="1"/>
  <c r="K20" i="46"/>
  <c r="K19" i="46"/>
  <c r="K18" i="46"/>
  <c r="K17" i="46"/>
  <c r="K16" i="46"/>
  <c r="K15" i="46"/>
  <c r="K14" i="46"/>
  <c r="K13" i="46"/>
  <c r="K12" i="46"/>
  <c r="K22" i="46"/>
  <c r="K23" i="46"/>
  <c r="K24" i="46"/>
  <c r="K25" i="46"/>
  <c r="K26" i="46"/>
  <c r="K27" i="46"/>
  <c r="K28" i="46"/>
  <c r="K29" i="46"/>
  <c r="K30" i="46"/>
  <c r="K31" i="46"/>
  <c r="K32" i="46"/>
  <c r="K33" i="46"/>
  <c r="K34" i="46"/>
  <c r="K35" i="46"/>
  <c r="K36" i="46"/>
  <c r="K37" i="46"/>
  <c r="K38" i="46"/>
  <c r="K39" i="46"/>
  <c r="K40" i="46"/>
  <c r="K11" i="46"/>
  <c r="F8" i="42" l="1"/>
  <c r="E22" i="30" l="1"/>
  <c r="D53" i="2" l="1"/>
  <c r="D54" i="2" l="1"/>
  <c r="A69" i="15" l="1"/>
  <c r="A70" i="15" s="1"/>
  <c r="A71" i="15" s="1"/>
  <c r="A74" i="15" s="1"/>
  <c r="E40" i="56" l="1"/>
  <c r="F36" i="56" l="1"/>
  <c r="I28" i="53" l="1"/>
  <c r="H28" i="53"/>
  <c r="G28" i="53"/>
  <c r="F28" i="53"/>
  <c r="E28" i="53"/>
  <c r="H130" i="53"/>
  <c r="E130" i="53"/>
  <c r="D130" i="53"/>
  <c r="C130" i="53"/>
  <c r="I43" i="46" l="1"/>
  <c r="E43" i="46"/>
  <c r="D43" i="46"/>
  <c r="C11" i="46"/>
  <c r="F128" i="15"/>
  <c r="G10" i="2" l="1"/>
  <c r="H72" i="44"/>
  <c r="I34" i="44"/>
  <c r="H34" i="44"/>
  <c r="E136" i="61" l="1"/>
  <c r="N37" i="61"/>
  <c r="M37" i="61"/>
  <c r="L37" i="61"/>
  <c r="J37" i="61"/>
  <c r="I37" i="61"/>
  <c r="H37" i="61"/>
  <c r="G37" i="61"/>
  <c r="E37" i="61"/>
  <c r="L32" i="61"/>
  <c r="H32" i="61"/>
  <c r="E8" i="61"/>
  <c r="L8" i="61"/>
  <c r="H8" i="61"/>
  <c r="E216" i="61"/>
  <c r="E217" i="61" s="1"/>
  <c r="E173" i="61"/>
  <c r="E168" i="61"/>
  <c r="E163" i="61"/>
  <c r="E71" i="26"/>
  <c r="F71" i="26"/>
  <c r="E64" i="26"/>
  <c r="E220" i="61" l="1"/>
  <c r="I58" i="46"/>
  <c r="E58" i="46"/>
  <c r="D58" i="46"/>
  <c r="G76" i="48" l="1"/>
  <c r="H76" i="48" s="1"/>
  <c r="J385" i="49" l="1"/>
  <c r="H84" i="64" l="1"/>
  <c r="P55" i="48" l="1"/>
  <c r="I37" i="79" l="1"/>
  <c r="G37" i="79"/>
  <c r="F69" i="22"/>
  <c r="F63" i="22"/>
  <c r="F23" i="22"/>
  <c r="E24" i="54"/>
  <c r="D24" i="54"/>
  <c r="E155" i="49"/>
  <c r="G46" i="49"/>
  <c r="F46" i="49"/>
  <c r="E46" i="49"/>
  <c r="D46" i="49"/>
  <c r="I26" i="49"/>
  <c r="H26" i="49"/>
  <c r="G26" i="49"/>
  <c r="F26" i="49"/>
  <c r="E26" i="49"/>
  <c r="D25" i="49"/>
  <c r="D24" i="49"/>
  <c r="D23" i="49"/>
  <c r="D22" i="49"/>
  <c r="D21" i="49"/>
  <c r="D20" i="49"/>
  <c r="D19" i="49"/>
  <c r="D18" i="49"/>
  <c r="D17" i="49"/>
  <c r="D16" i="49"/>
  <c r="D15" i="49"/>
  <c r="D14" i="49"/>
  <c r="D13" i="49"/>
  <c r="D26" i="49" l="1"/>
  <c r="F35" i="21"/>
  <c r="E35" i="21"/>
  <c r="D35" i="21"/>
  <c r="G34" i="21"/>
  <c r="G33" i="21"/>
  <c r="N24" i="21"/>
  <c r="N12" i="21"/>
  <c r="E42" i="56"/>
  <c r="C40" i="56"/>
  <c r="C42" i="56" s="1"/>
  <c r="E26" i="56"/>
  <c r="E12" i="56"/>
  <c r="E17" i="56" s="1"/>
  <c r="C26" i="56"/>
  <c r="C12" i="56"/>
  <c r="C17" i="56" s="1"/>
  <c r="D66" i="65"/>
  <c r="G35" i="21" l="1"/>
  <c r="E28" i="56"/>
  <c r="C28" i="56"/>
  <c r="K110" i="1"/>
  <c r="K44" i="1"/>
  <c r="K52" i="1" s="1"/>
  <c r="B45" i="53"/>
  <c r="G156" i="15" l="1"/>
  <c r="G157" i="15" s="1"/>
  <c r="G148" i="15"/>
  <c r="G149" i="15" s="1"/>
  <c r="H128" i="15"/>
  <c r="G128" i="15"/>
  <c r="D128" i="15"/>
  <c r="F130" i="15"/>
  <c r="H89" i="15"/>
  <c r="G89" i="15"/>
  <c r="D89" i="15"/>
  <c r="F55" i="15"/>
  <c r="D55" i="15"/>
  <c r="D69" i="15" s="1"/>
  <c r="E38" i="15" l="1"/>
  <c r="H38" i="15" s="1"/>
  <c r="E105" i="15"/>
  <c r="E42" i="15"/>
  <c r="H42" i="15" s="1"/>
  <c r="E36" i="15"/>
  <c r="H36" i="15" s="1"/>
  <c r="E35" i="15"/>
  <c r="H35" i="15" s="1"/>
  <c r="E32" i="15"/>
  <c r="H32" i="15" s="1"/>
  <c r="H105" i="15"/>
  <c r="H119" i="15" s="1"/>
  <c r="E34" i="15"/>
  <c r="H34" i="15" s="1"/>
  <c r="E37" i="15"/>
  <c r="G37" i="15" s="1"/>
  <c r="E33" i="15"/>
  <c r="G33" i="15" s="1"/>
  <c r="E104" i="15"/>
  <c r="E31" i="15"/>
  <c r="G31" i="15" s="1"/>
  <c r="G55" i="15" s="1"/>
  <c r="F69" i="15"/>
  <c r="D130" i="15"/>
  <c r="H55" i="15" l="1"/>
  <c r="G104" i="15"/>
  <c r="G119" i="15" s="1"/>
  <c r="E119" i="15"/>
  <c r="E55" i="15"/>
  <c r="I128" i="15" l="1"/>
  <c r="N168" i="61" l="1"/>
  <c r="M168" i="61"/>
  <c r="L168" i="61"/>
  <c r="J168" i="61"/>
  <c r="I168" i="61"/>
  <c r="H168" i="61"/>
  <c r="G168" i="61"/>
  <c r="L216" i="61" l="1"/>
  <c r="N213" i="61"/>
  <c r="N212" i="61"/>
  <c r="N211" i="61"/>
  <c r="N210" i="61"/>
  <c r="N209" i="61"/>
  <c r="J213" i="61"/>
  <c r="M213" i="61" s="1"/>
  <c r="J212" i="61"/>
  <c r="M212" i="61" s="1"/>
  <c r="J211" i="61"/>
  <c r="M211" i="61" s="1"/>
  <c r="J210" i="61"/>
  <c r="M210" i="61" s="1"/>
  <c r="J209" i="61"/>
  <c r="M209" i="61" s="1"/>
  <c r="H204" i="61"/>
  <c r="N88" i="61"/>
  <c r="N87" i="61"/>
  <c r="N86" i="61"/>
  <c r="N85" i="61"/>
  <c r="N84" i="61"/>
  <c r="N83" i="61"/>
  <c r="N81" i="61"/>
  <c r="N80" i="61"/>
  <c r="N79" i="61"/>
  <c r="N78" i="61"/>
  <c r="N77" i="61"/>
  <c r="N76" i="61"/>
  <c r="N75" i="61"/>
  <c r="N74" i="61"/>
  <c r="N73" i="61"/>
  <c r="J88" i="61"/>
  <c r="M88" i="61" s="1"/>
  <c r="J87" i="61"/>
  <c r="M87" i="61" s="1"/>
  <c r="J86" i="61"/>
  <c r="M86" i="61" s="1"/>
  <c r="J85" i="61"/>
  <c r="M85" i="61" s="1"/>
  <c r="J84" i="61"/>
  <c r="M84" i="61" s="1"/>
  <c r="J83" i="61"/>
  <c r="M83" i="61" s="1"/>
  <c r="J82" i="61"/>
  <c r="M82" i="61" s="1"/>
  <c r="J81" i="61"/>
  <c r="M81" i="61" s="1"/>
  <c r="J80" i="61"/>
  <c r="M80" i="61" s="1"/>
  <c r="J79" i="61"/>
  <c r="M79" i="61" s="1"/>
  <c r="J78" i="61"/>
  <c r="M78" i="61" s="1"/>
  <c r="J77" i="61"/>
  <c r="M77" i="61" s="1"/>
  <c r="J76" i="61"/>
  <c r="M76" i="61" s="1"/>
  <c r="J75" i="61"/>
  <c r="M75" i="61" s="1"/>
  <c r="J74" i="61"/>
  <c r="M74" i="61" s="1"/>
  <c r="J73" i="61"/>
  <c r="N158" i="61"/>
  <c r="N157" i="61"/>
  <c r="N156" i="61"/>
  <c r="N155" i="61"/>
  <c r="N154" i="61"/>
  <c r="N153" i="61"/>
  <c r="N152" i="61"/>
  <c r="N151" i="61"/>
  <c r="N150" i="61"/>
  <c r="N149" i="61"/>
  <c r="N148" i="61"/>
  <c r="N147" i="61"/>
  <c r="N146" i="61"/>
  <c r="N145" i="61"/>
  <c r="N144" i="61"/>
  <c r="N143" i="61"/>
  <c r="N142" i="61"/>
  <c r="N141" i="61"/>
  <c r="N140" i="61"/>
  <c r="N139" i="61"/>
  <c r="J158" i="61"/>
  <c r="M158" i="61" s="1"/>
  <c r="J157" i="61"/>
  <c r="M157" i="61" s="1"/>
  <c r="J156" i="61"/>
  <c r="M156" i="61" s="1"/>
  <c r="J155" i="61"/>
  <c r="M155" i="61" s="1"/>
  <c r="J154" i="61"/>
  <c r="M154" i="61" s="1"/>
  <c r="J152" i="61"/>
  <c r="M152" i="61" s="1"/>
  <c r="J151" i="61"/>
  <c r="M151" i="61" s="1"/>
  <c r="J150" i="61"/>
  <c r="M150" i="61" s="1"/>
  <c r="J149" i="61"/>
  <c r="M149" i="61" s="1"/>
  <c r="J148" i="61"/>
  <c r="M148" i="61" s="1"/>
  <c r="J147" i="61"/>
  <c r="M147" i="61" s="1"/>
  <c r="J146" i="61"/>
  <c r="M146" i="61" s="1"/>
  <c r="J145" i="61"/>
  <c r="M145" i="61" s="1"/>
  <c r="J144" i="61"/>
  <c r="J143" i="61"/>
  <c r="M143" i="61" s="1"/>
  <c r="J142" i="61"/>
  <c r="M142" i="61" s="1"/>
  <c r="J141" i="61"/>
  <c r="M141" i="61" s="1"/>
  <c r="J140" i="61"/>
  <c r="M140" i="61" s="1"/>
  <c r="J139" i="61"/>
  <c r="M139" i="61" s="1"/>
  <c r="G158" i="61"/>
  <c r="I158" i="61" s="1"/>
  <c r="G157" i="61"/>
  <c r="I157" i="61" s="1"/>
  <c r="G156" i="61"/>
  <c r="I156" i="61" s="1"/>
  <c r="G155" i="61"/>
  <c r="I155" i="61" s="1"/>
  <c r="G154" i="61"/>
  <c r="I154" i="61" s="1"/>
  <c r="G153" i="61"/>
  <c r="I153" i="61" s="1"/>
  <c r="G151" i="61"/>
  <c r="I151" i="61" s="1"/>
  <c r="G150" i="61"/>
  <c r="I150" i="61" s="1"/>
  <c r="G149" i="61"/>
  <c r="I149" i="61" s="1"/>
  <c r="G148" i="61"/>
  <c r="I148" i="61" s="1"/>
  <c r="G147" i="61"/>
  <c r="I147" i="61" s="1"/>
  <c r="G146" i="61"/>
  <c r="I146" i="61" s="1"/>
  <c r="G145" i="61"/>
  <c r="G144" i="61"/>
  <c r="I144" i="61" s="1"/>
  <c r="G143" i="61"/>
  <c r="I143" i="61" s="1"/>
  <c r="G142" i="61"/>
  <c r="G141" i="61"/>
  <c r="I141" i="61" s="1"/>
  <c r="G140" i="61"/>
  <c r="I140" i="61" s="1"/>
  <c r="G139" i="61"/>
  <c r="H139" i="61" s="1"/>
  <c r="N122" i="61"/>
  <c r="N121" i="61"/>
  <c r="N120" i="61"/>
  <c r="N119" i="61"/>
  <c r="N118" i="61"/>
  <c r="N117" i="61"/>
  <c r="N116" i="61"/>
  <c r="N115" i="61"/>
  <c r="N114" i="61"/>
  <c r="N113" i="61"/>
  <c r="N112" i="61"/>
  <c r="N111" i="61"/>
  <c r="N110" i="61"/>
  <c r="N107" i="61"/>
  <c r="N106" i="61"/>
  <c r="N105" i="61"/>
  <c r="N104" i="61"/>
  <c r="N103" i="61"/>
  <c r="N102" i="61"/>
  <c r="N101" i="61"/>
  <c r="N100" i="61"/>
  <c r="J122" i="61"/>
  <c r="M122" i="61" s="1"/>
  <c r="J121" i="61"/>
  <c r="M121" i="61" s="1"/>
  <c r="J120" i="61"/>
  <c r="M120" i="61" s="1"/>
  <c r="J119" i="61"/>
  <c r="M119" i="61" s="1"/>
  <c r="J118" i="61"/>
  <c r="M118" i="61" s="1"/>
  <c r="J117" i="61"/>
  <c r="M117" i="61" s="1"/>
  <c r="J116" i="61"/>
  <c r="M116" i="61" s="1"/>
  <c r="J115" i="61"/>
  <c r="M115" i="61" s="1"/>
  <c r="J114" i="61"/>
  <c r="M114" i="61" s="1"/>
  <c r="J113" i="61"/>
  <c r="M113" i="61" s="1"/>
  <c r="J112" i="61"/>
  <c r="M112" i="61" s="1"/>
  <c r="J111" i="61"/>
  <c r="M111" i="61" s="1"/>
  <c r="J110" i="61"/>
  <c r="M110" i="61" s="1"/>
  <c r="J109" i="61"/>
  <c r="J108" i="61"/>
  <c r="J107" i="61"/>
  <c r="M107" i="61" s="1"/>
  <c r="J106" i="61"/>
  <c r="M106" i="61" s="1"/>
  <c r="J105" i="61"/>
  <c r="M105" i="61" s="1"/>
  <c r="J104" i="61"/>
  <c r="M104" i="61" s="1"/>
  <c r="J103" i="61"/>
  <c r="M103" i="61" s="1"/>
  <c r="J102" i="61"/>
  <c r="M102" i="61" s="1"/>
  <c r="J101" i="61"/>
  <c r="M101" i="61" s="1"/>
  <c r="J100" i="61"/>
  <c r="M100" i="61" s="1"/>
  <c r="G122" i="61"/>
  <c r="I122" i="61" s="1"/>
  <c r="G121" i="61"/>
  <c r="I121" i="61" s="1"/>
  <c r="G119" i="61"/>
  <c r="I119" i="61" s="1"/>
  <c r="G118" i="61"/>
  <c r="I118" i="61" s="1"/>
  <c r="G117" i="61"/>
  <c r="I117" i="61" s="1"/>
  <c r="G116" i="61"/>
  <c r="I116" i="61" s="1"/>
  <c r="G115" i="61"/>
  <c r="I115" i="61" s="1"/>
  <c r="G114" i="61"/>
  <c r="I114" i="61" s="1"/>
  <c r="G113" i="61"/>
  <c r="I113" i="61" s="1"/>
  <c r="G112" i="61"/>
  <c r="I112" i="61" s="1"/>
  <c r="G111" i="61"/>
  <c r="I111" i="61" s="1"/>
  <c r="G110" i="61"/>
  <c r="I110" i="61" s="1"/>
  <c r="G107" i="61"/>
  <c r="I107" i="61" s="1"/>
  <c r="G106" i="61"/>
  <c r="I106" i="61" s="1"/>
  <c r="G105" i="61"/>
  <c r="I105" i="61" s="1"/>
  <c r="G104" i="61"/>
  <c r="I104" i="61" s="1"/>
  <c r="G103" i="61"/>
  <c r="I103" i="61" s="1"/>
  <c r="G102" i="61"/>
  <c r="I102" i="61" s="1"/>
  <c r="G101" i="61"/>
  <c r="I101" i="61" s="1"/>
  <c r="G100" i="61"/>
  <c r="I100" i="61" s="1"/>
  <c r="G99" i="61"/>
  <c r="G98" i="61"/>
  <c r="G97" i="61"/>
  <c r="G96" i="61"/>
  <c r="G95" i="61"/>
  <c r="G94" i="61"/>
  <c r="G93" i="61"/>
  <c r="G92" i="61"/>
  <c r="G91" i="61"/>
  <c r="G90" i="61"/>
  <c r="G89" i="61"/>
  <c r="G88" i="61"/>
  <c r="I88" i="61" s="1"/>
  <c r="G87" i="61"/>
  <c r="I87" i="61" s="1"/>
  <c r="G86" i="61"/>
  <c r="I86" i="61" s="1"/>
  <c r="G85" i="61"/>
  <c r="I85" i="61" s="1"/>
  <c r="G84" i="61"/>
  <c r="I84" i="61" s="1"/>
  <c r="G83" i="61"/>
  <c r="I83" i="61" s="1"/>
  <c r="G81" i="61"/>
  <c r="G80" i="61"/>
  <c r="I80" i="61" s="1"/>
  <c r="G79" i="61"/>
  <c r="I79" i="61" s="1"/>
  <c r="G78" i="61"/>
  <c r="I78" i="61" s="1"/>
  <c r="G77" i="61"/>
  <c r="I77" i="61" s="1"/>
  <c r="G76" i="61"/>
  <c r="I76" i="61" s="1"/>
  <c r="G75" i="61"/>
  <c r="I75" i="61" s="1"/>
  <c r="G74" i="61"/>
  <c r="I74" i="61" s="1"/>
  <c r="G73" i="61"/>
  <c r="N63" i="61"/>
  <c r="N62" i="61"/>
  <c r="N61" i="61"/>
  <c r="N60" i="61"/>
  <c r="N59" i="61"/>
  <c r="J63" i="61"/>
  <c r="M63" i="61" s="1"/>
  <c r="J60" i="61"/>
  <c r="M60" i="61" s="1"/>
  <c r="J59" i="61"/>
  <c r="M59" i="61" s="1"/>
  <c r="J62" i="61"/>
  <c r="M62" i="61" s="1"/>
  <c r="N57" i="61"/>
  <c r="N56" i="61"/>
  <c r="N55" i="61"/>
  <c r="N54" i="61"/>
  <c r="N53" i="61"/>
  <c r="J57" i="61"/>
  <c r="J56" i="61"/>
  <c r="J55" i="61"/>
  <c r="J54" i="61"/>
  <c r="J53" i="61"/>
  <c r="G120" i="61"/>
  <c r="I120" i="61" s="1"/>
  <c r="I73" i="61" l="1"/>
  <c r="N216" i="61"/>
  <c r="M216" i="61"/>
  <c r="J216" i="61"/>
  <c r="I139" i="61"/>
  <c r="I142" i="61"/>
  <c r="M73" i="61"/>
  <c r="G53" i="61" l="1"/>
  <c r="N52" i="61" l="1"/>
  <c r="H52" i="61"/>
  <c r="H51" i="61"/>
  <c r="N51" i="61" s="1"/>
  <c r="G63" i="61" l="1"/>
  <c r="I63" i="61" s="1"/>
  <c r="G62" i="61"/>
  <c r="I62" i="61" s="1"/>
  <c r="G61" i="61"/>
  <c r="I61" i="61" s="1"/>
  <c r="G59" i="61"/>
  <c r="I59" i="61" s="1"/>
  <c r="G58" i="61"/>
  <c r="G57" i="61"/>
  <c r="I57" i="61" s="1"/>
  <c r="G56" i="61"/>
  <c r="I56" i="61" s="1"/>
  <c r="G55" i="61"/>
  <c r="I55" i="61" s="1"/>
  <c r="G54" i="61"/>
  <c r="I54" i="61" s="1"/>
  <c r="J51" i="61" l="1"/>
  <c r="M51" i="61" s="1"/>
  <c r="N43" i="61"/>
  <c r="N42" i="61"/>
  <c r="N41" i="61"/>
  <c r="N40" i="61"/>
  <c r="J40" i="61"/>
  <c r="G51" i="61"/>
  <c r="G43" i="61"/>
  <c r="I43" i="61" s="1"/>
  <c r="G42" i="61"/>
  <c r="I42" i="61" s="1"/>
  <c r="G41" i="61"/>
  <c r="I41" i="61" s="1"/>
  <c r="G40" i="61"/>
  <c r="N129" i="61"/>
  <c r="G129" i="61"/>
  <c r="I129" i="61" s="1"/>
  <c r="J129" i="61"/>
  <c r="M129" i="61" s="1"/>
  <c r="I40" i="61" l="1"/>
  <c r="M40" i="61"/>
  <c r="N128" i="61" l="1"/>
  <c r="N127" i="61"/>
  <c r="N125" i="61"/>
  <c r="N124" i="61"/>
  <c r="N123" i="61"/>
  <c r="H126" i="61"/>
  <c r="N126" i="61" s="1"/>
  <c r="J123" i="61"/>
  <c r="M123" i="61" s="1"/>
  <c r="J124" i="61"/>
  <c r="M124" i="61" s="1"/>
  <c r="J125" i="61"/>
  <c r="M125" i="61" s="1"/>
  <c r="J126" i="61"/>
  <c r="M126" i="61" s="1"/>
  <c r="J127" i="61"/>
  <c r="M127" i="61" s="1"/>
  <c r="J128" i="61"/>
  <c r="M128" i="61" s="1"/>
  <c r="G123" i="61"/>
  <c r="I123" i="61" s="1"/>
  <c r="G124" i="61"/>
  <c r="I124" i="61" s="1"/>
  <c r="G125" i="61"/>
  <c r="I125" i="61" s="1"/>
  <c r="G127" i="61"/>
  <c r="I127" i="61" s="1"/>
  <c r="G128" i="61"/>
  <c r="H128" i="61" l="1"/>
  <c r="I128" i="61" s="1"/>
  <c r="L163" i="61"/>
  <c r="H49" i="61" l="1"/>
  <c r="J48" i="61"/>
  <c r="G48" i="61"/>
  <c r="I48" i="61" s="1"/>
  <c r="N27" i="61"/>
  <c r="N26" i="61"/>
  <c r="N25" i="61"/>
  <c r="N24" i="61"/>
  <c r="N23" i="61"/>
  <c r="N22" i="61"/>
  <c r="N21" i="61"/>
  <c r="J27" i="61"/>
  <c r="M27" i="61" s="1"/>
  <c r="J26" i="61"/>
  <c r="M26" i="61" s="1"/>
  <c r="J25" i="61"/>
  <c r="M25" i="61" s="1"/>
  <c r="J24" i="61"/>
  <c r="M24" i="61" s="1"/>
  <c r="J23" i="61"/>
  <c r="M23" i="61" s="1"/>
  <c r="J22" i="61"/>
  <c r="M22" i="61" s="1"/>
  <c r="J21" i="61"/>
  <c r="M21" i="61" s="1"/>
  <c r="I27" i="61"/>
  <c r="G26" i="61"/>
  <c r="I26" i="61" s="1"/>
  <c r="G25" i="61"/>
  <c r="I25" i="61" s="1"/>
  <c r="G24" i="61"/>
  <c r="I24" i="61" s="1"/>
  <c r="G23" i="61"/>
  <c r="I23" i="61" s="1"/>
  <c r="G22" i="61"/>
  <c r="I22" i="61" s="1"/>
  <c r="G21" i="61"/>
  <c r="I21" i="61" s="1"/>
  <c r="G49" i="61" l="1"/>
  <c r="N49" i="61"/>
  <c r="N19" i="61"/>
  <c r="J19" i="61"/>
  <c r="M19" i="61" s="1"/>
  <c r="G19" i="61"/>
  <c r="H213" i="61" l="1"/>
  <c r="H216" i="61" s="1"/>
  <c r="G213" i="61"/>
  <c r="G212" i="61"/>
  <c r="G211" i="61"/>
  <c r="G210" i="61"/>
  <c r="G209" i="61"/>
  <c r="J191" i="61"/>
  <c r="M191" i="61" s="1"/>
  <c r="J190" i="61"/>
  <c r="M190" i="61" s="1"/>
  <c r="J189" i="61"/>
  <c r="M189" i="61" s="1"/>
  <c r="J188" i="61"/>
  <c r="M188" i="61" s="1"/>
  <c r="J187" i="61"/>
  <c r="M187" i="61" s="1"/>
  <c r="J186" i="61"/>
  <c r="M186" i="61" s="1"/>
  <c r="J185" i="61"/>
  <c r="M185" i="61" s="1"/>
  <c r="J184" i="61"/>
  <c r="M184" i="61" s="1"/>
  <c r="J183" i="61"/>
  <c r="M183" i="61" s="1"/>
  <c r="J182" i="61"/>
  <c r="M182" i="61" s="1"/>
  <c r="J181" i="61"/>
  <c r="M181" i="61" s="1"/>
  <c r="J180" i="61"/>
  <c r="M180" i="61" s="1"/>
  <c r="J179" i="61"/>
  <c r="M179" i="61" s="1"/>
  <c r="J178" i="61"/>
  <c r="M178" i="61" s="1"/>
  <c r="J177" i="61"/>
  <c r="G191" i="61"/>
  <c r="I191" i="61" s="1"/>
  <c r="G190" i="61"/>
  <c r="I190" i="61" s="1"/>
  <c r="G189" i="61"/>
  <c r="I189" i="61" s="1"/>
  <c r="G188" i="61"/>
  <c r="I188" i="61" s="1"/>
  <c r="G187" i="61"/>
  <c r="I187" i="61" s="1"/>
  <c r="G186" i="61"/>
  <c r="I186" i="61" s="1"/>
  <c r="G185" i="61"/>
  <c r="I185" i="61" s="1"/>
  <c r="G184" i="61"/>
  <c r="I184" i="61" s="1"/>
  <c r="G183" i="61"/>
  <c r="I183" i="61" s="1"/>
  <c r="G182" i="61"/>
  <c r="I182" i="61" s="1"/>
  <c r="G181" i="61"/>
  <c r="I181" i="61" s="1"/>
  <c r="G180" i="61"/>
  <c r="I180" i="61" s="1"/>
  <c r="G179" i="61"/>
  <c r="I179" i="61" s="1"/>
  <c r="G178" i="61"/>
  <c r="I178" i="61" s="1"/>
  <c r="G177" i="61"/>
  <c r="G109" i="61"/>
  <c r="I109" i="61" s="1"/>
  <c r="G108" i="61"/>
  <c r="I108" i="61" s="1"/>
  <c r="N99" i="61"/>
  <c r="N98" i="61"/>
  <c r="N97" i="61"/>
  <c r="N96" i="61"/>
  <c r="N95" i="61"/>
  <c r="N94" i="61"/>
  <c r="N93" i="61"/>
  <c r="N92" i="61"/>
  <c r="N91" i="61"/>
  <c r="N90" i="61"/>
  <c r="J99" i="61"/>
  <c r="M99" i="61" s="1"/>
  <c r="J98" i="61"/>
  <c r="M98" i="61" s="1"/>
  <c r="J97" i="61"/>
  <c r="M97" i="61" s="1"/>
  <c r="J96" i="61"/>
  <c r="M96" i="61" s="1"/>
  <c r="J95" i="61"/>
  <c r="M95" i="61" s="1"/>
  <c r="J94" i="61"/>
  <c r="M94" i="61" s="1"/>
  <c r="J93" i="61"/>
  <c r="M93" i="61" s="1"/>
  <c r="J92" i="61"/>
  <c r="M92" i="61" s="1"/>
  <c r="J91" i="61"/>
  <c r="M91" i="61" s="1"/>
  <c r="J90" i="61"/>
  <c r="M90" i="61" s="1"/>
  <c r="I99" i="61"/>
  <c r="I98" i="61"/>
  <c r="I97" i="61"/>
  <c r="I96" i="61"/>
  <c r="I95" i="61"/>
  <c r="I94" i="61"/>
  <c r="I93" i="61"/>
  <c r="I92" i="61"/>
  <c r="I91" i="61"/>
  <c r="I90" i="61"/>
  <c r="I89" i="61"/>
  <c r="N89" i="61"/>
  <c r="J89" i="61"/>
  <c r="N58" i="61"/>
  <c r="N44" i="61"/>
  <c r="N20" i="61"/>
  <c r="J204" i="61" l="1"/>
  <c r="J136" i="61"/>
  <c r="I213" i="61"/>
  <c r="M177" i="61"/>
  <c r="M204" i="61" s="1"/>
  <c r="G216" i="61"/>
  <c r="G204" i="61"/>
  <c r="M89" i="61"/>
  <c r="I177" i="61"/>
  <c r="I204" i="61" s="1"/>
  <c r="N177" i="61" l="1"/>
  <c r="A124" i="15"/>
  <c r="A125" i="15" s="1"/>
  <c r="E128" i="15" l="1"/>
  <c r="E130" i="15" s="1"/>
  <c r="J18" i="61"/>
  <c r="M18" i="61" s="1"/>
  <c r="N190" i="61" l="1"/>
  <c r="N191" i="61"/>
  <c r="G12" i="61" l="1"/>
  <c r="J64" i="61" l="1"/>
  <c r="M64" i="61" s="1"/>
  <c r="H65" i="61"/>
  <c r="H64" i="61"/>
  <c r="J65" i="61"/>
  <c r="M65" i="61" s="1"/>
  <c r="G64" i="61" l="1"/>
  <c r="N64" i="61"/>
  <c r="G65" i="61"/>
  <c r="N65" i="61"/>
  <c r="F89" i="15" l="1"/>
  <c r="A60" i="15"/>
  <c r="A61" i="15" s="1"/>
  <c r="E89" i="15" l="1"/>
  <c r="G60" i="61"/>
  <c r="I60" i="61" s="1"/>
  <c r="J61" i="61"/>
  <c r="M61" i="61" s="1"/>
  <c r="J58" i="61" l="1"/>
  <c r="M58" i="61" s="1"/>
  <c r="F39" i="56"/>
  <c r="H321" i="11" l="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H309" i="11"/>
  <c r="G309" i="11"/>
  <c r="I442" i="49"/>
  <c r="E442" i="49"/>
  <c r="F442" i="49" s="1"/>
  <c r="I441" i="49"/>
  <c r="E441" i="49"/>
  <c r="F441" i="49" s="1"/>
  <c r="I440" i="49"/>
  <c r="E440" i="49"/>
  <c r="F440" i="49" s="1"/>
  <c r="I439" i="49"/>
  <c r="E439" i="49"/>
  <c r="F439" i="49" s="1"/>
  <c r="I438" i="49"/>
  <c r="E438" i="49"/>
  <c r="F438" i="49" s="1"/>
  <c r="I437" i="49"/>
  <c r="E437" i="49"/>
  <c r="F437" i="49" s="1"/>
  <c r="I436" i="49"/>
  <c r="E436" i="49"/>
  <c r="F436" i="49" s="1"/>
  <c r="I435" i="49"/>
  <c r="E435" i="49"/>
  <c r="F435" i="49" s="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K417" i="49"/>
  <c r="J417" i="49"/>
  <c r="I417" i="49"/>
  <c r="H417" i="49"/>
  <c r="F417" i="49"/>
  <c r="E417" i="49"/>
  <c r="D417" i="49"/>
  <c r="K416" i="49"/>
  <c r="J416" i="49"/>
  <c r="I416" i="49"/>
  <c r="H416" i="49"/>
  <c r="F416" i="49"/>
  <c r="E416" i="49"/>
  <c r="D416" i="49"/>
  <c r="J419" i="49" l="1"/>
  <c r="K419" i="49" s="1"/>
  <c r="J420" i="49"/>
  <c r="K420" i="49" s="1"/>
  <c r="J421" i="49" l="1"/>
  <c r="K421" i="49" s="1"/>
  <c r="J422" i="49" l="1"/>
  <c r="K422" i="49" s="1"/>
  <c r="J423" i="49" l="1"/>
  <c r="K423" i="49" s="1"/>
  <c r="J424" i="49" l="1"/>
  <c r="K424" i="49" s="1"/>
  <c r="J425" i="49" l="1"/>
  <c r="K425" i="49" s="1"/>
  <c r="J426" i="49" l="1"/>
  <c r="K426" i="49" s="1"/>
  <c r="J427" i="49" l="1"/>
  <c r="K427" i="49" s="1"/>
  <c r="J428" i="49" l="1"/>
  <c r="K428" i="49" s="1"/>
  <c r="J429" i="49" l="1"/>
  <c r="K429" i="49" s="1"/>
  <c r="J430" i="49" l="1"/>
  <c r="K430" i="49" s="1"/>
  <c r="J431" i="49" l="1"/>
  <c r="K431" i="49" s="1"/>
  <c r="J432" i="49" l="1"/>
  <c r="K432" i="49" s="1"/>
  <c r="J433" i="49" l="1"/>
  <c r="K433" i="49" s="1"/>
  <c r="J434" i="49" l="1"/>
  <c r="K434" i="49" s="1"/>
  <c r="J435" i="49" l="1"/>
  <c r="K435" i="49" s="1"/>
  <c r="J436" i="49" l="1"/>
  <c r="K436" i="49" s="1"/>
  <c r="J437" i="49" l="1"/>
  <c r="K437" i="49" s="1"/>
  <c r="J438" i="49" l="1"/>
  <c r="K438" i="49" s="1"/>
  <c r="J439" i="49" l="1"/>
  <c r="K439" i="49" s="1"/>
  <c r="J440" i="49" l="1"/>
  <c r="K440" i="49" s="1"/>
  <c r="J441" i="49" l="1"/>
  <c r="K441" i="49" s="1"/>
  <c r="J442" i="49" l="1"/>
  <c r="K442" i="49" s="1"/>
  <c r="K443" i="49" l="1"/>
  <c r="F19" i="71" s="1"/>
  <c r="E35" i="11"/>
  <c r="F35" i="11"/>
  <c r="A81" i="15" l="1"/>
  <c r="M45" i="48" l="1"/>
  <c r="G25" i="46" l="1"/>
  <c r="F103" i="8" l="1"/>
  <c r="F98" i="8"/>
  <c r="E6" i="66" l="1"/>
  <c r="E12" i="66"/>
  <c r="E18" i="66"/>
  <c r="B145" i="21" l="1"/>
  <c r="M106" i="21"/>
  <c r="L106" i="21"/>
  <c r="K106" i="21"/>
  <c r="J106" i="21"/>
  <c r="I106" i="21"/>
  <c r="H106" i="21"/>
  <c r="G106" i="21"/>
  <c r="F106" i="21"/>
  <c r="E106" i="21"/>
  <c r="D106" i="21"/>
  <c r="E45" i="21"/>
  <c r="F58" i="21" s="1"/>
  <c r="E44" i="21"/>
  <c r="A35" i="21"/>
  <c r="A44" i="21" s="1"/>
  <c r="A13" i="21"/>
  <c r="A14" i="21" s="1"/>
  <c r="A15" i="21" s="1"/>
  <c r="A16" i="21" s="1"/>
  <c r="A17" i="21" s="1"/>
  <c r="A18" i="21" s="1"/>
  <c r="A19" i="21" s="1"/>
  <c r="A20" i="21" s="1"/>
  <c r="A21" i="21" s="1"/>
  <c r="A22" i="21" s="1"/>
  <c r="A23" i="21" s="1"/>
  <c r="A24" i="21" s="1"/>
  <c r="E46" i="21" l="1"/>
  <c r="F51" i="21" s="1"/>
  <c r="N106" i="21"/>
  <c r="B148" i="21"/>
  <c r="A25" i="21"/>
  <c r="A33" i="21" s="1"/>
  <c r="A45" i="21"/>
  <c r="H46" i="21" s="1"/>
  <c r="E24" i="4"/>
  <c r="F24" i="4"/>
  <c r="G24" i="4"/>
  <c r="H24" i="4"/>
  <c r="I24" i="4"/>
  <c r="J24" i="4"/>
  <c r="K24" i="4"/>
  <c r="L24" i="4"/>
  <c r="L86" i="4"/>
  <c r="L104" i="4" s="1"/>
  <c r="L105" i="4" s="1"/>
  <c r="K86" i="4"/>
  <c r="K104" i="4" s="1"/>
  <c r="K105" i="4" s="1"/>
  <c r="J86" i="4"/>
  <c r="J104" i="4" s="1"/>
  <c r="I86" i="4"/>
  <c r="I104" i="4" s="1"/>
  <c r="I105" i="4" s="1"/>
  <c r="H86" i="4"/>
  <c r="H104" i="4" s="1"/>
  <c r="H105" i="4" s="1"/>
  <c r="G86" i="4"/>
  <c r="G104" i="4" s="1"/>
  <c r="G105" i="4" s="1"/>
  <c r="F86" i="4"/>
  <c r="M86" i="4" l="1"/>
  <c r="F104" i="4"/>
  <c r="B144" i="21"/>
  <c r="H35" i="21"/>
  <c r="G58" i="21"/>
  <c r="A46" i="21"/>
  <c r="D183" i="4"/>
  <c r="C183" i="4"/>
  <c r="J97" i="4"/>
  <c r="H54" i="4"/>
  <c r="F62" i="4" s="1"/>
  <c r="H53" i="4"/>
  <c r="F36" i="4"/>
  <c r="F35" i="4"/>
  <c r="A13" i="4"/>
  <c r="A14" i="4" s="1"/>
  <c r="A15" i="4" s="1"/>
  <c r="A16" i="4" s="1"/>
  <c r="A17" i="4" s="1"/>
  <c r="A18" i="4" s="1"/>
  <c r="A19" i="4" s="1"/>
  <c r="A20" i="4" s="1"/>
  <c r="A21" i="4" s="1"/>
  <c r="A22" i="4" s="1"/>
  <c r="A23" i="4" s="1"/>
  <c r="A24" i="4" s="1"/>
  <c r="M12" i="4"/>
  <c r="M12" i="64" s="1"/>
  <c r="F105" i="4" l="1"/>
  <c r="M104" i="4"/>
  <c r="M97" i="4"/>
  <c r="J105" i="4"/>
  <c r="M105" i="4" s="1"/>
  <c r="F187" i="4"/>
  <c r="J187" i="4"/>
  <c r="E150" i="4"/>
  <c r="I150" i="4"/>
  <c r="G151" i="4"/>
  <c r="K151" i="4"/>
  <c r="E152" i="4"/>
  <c r="I152" i="4"/>
  <c r="G153" i="4"/>
  <c r="K153" i="4"/>
  <c r="E154" i="4"/>
  <c r="I154" i="4"/>
  <c r="G155" i="4"/>
  <c r="E156" i="4"/>
  <c r="I156" i="4"/>
  <c r="G157" i="4"/>
  <c r="K157" i="4"/>
  <c r="E158" i="4"/>
  <c r="I158" i="4"/>
  <c r="G159" i="4"/>
  <c r="E160" i="4"/>
  <c r="I160" i="4"/>
  <c r="C161" i="4"/>
  <c r="C187" i="4"/>
  <c r="C191" i="4" s="1"/>
  <c r="D187" i="4"/>
  <c r="D191" i="4" s="1"/>
  <c r="H187" i="4"/>
  <c r="E187" i="4"/>
  <c r="I187" i="4"/>
  <c r="C151" i="4"/>
  <c r="C153" i="4"/>
  <c r="C155" i="4"/>
  <c r="K161" i="4"/>
  <c r="G161" i="4"/>
  <c r="F161" i="4"/>
  <c r="E161" i="4"/>
  <c r="D153" i="4"/>
  <c r="L153" i="4"/>
  <c r="I161" i="4"/>
  <c r="G158" i="4"/>
  <c r="C156" i="4"/>
  <c r="K158" i="4"/>
  <c r="C160" i="4"/>
  <c r="F37" i="4"/>
  <c r="J150" i="4"/>
  <c r="D151" i="4"/>
  <c r="H151" i="4"/>
  <c r="L151" i="4"/>
  <c r="F152" i="4"/>
  <c r="J152" i="4"/>
  <c r="H153" i="4"/>
  <c r="F154" i="4"/>
  <c r="J154" i="4"/>
  <c r="D155" i="4"/>
  <c r="H155" i="4"/>
  <c r="L155" i="4"/>
  <c r="F156" i="4"/>
  <c r="J156" i="4"/>
  <c r="D157" i="4"/>
  <c r="H157" i="4"/>
  <c r="L157" i="4"/>
  <c r="F158" i="4"/>
  <c r="J158" i="4"/>
  <c r="D159" i="4"/>
  <c r="H159" i="4"/>
  <c r="L159" i="4"/>
  <c r="F160" i="4"/>
  <c r="J160" i="4"/>
  <c r="D161" i="4"/>
  <c r="G187" i="4"/>
  <c r="K187" i="4"/>
  <c r="L161" i="4"/>
  <c r="E151" i="4"/>
  <c r="I151" i="4"/>
  <c r="C152" i="4"/>
  <c r="G152" i="4"/>
  <c r="K152" i="4"/>
  <c r="E153" i="4"/>
  <c r="I153" i="4"/>
  <c r="C154" i="4"/>
  <c r="G154" i="4"/>
  <c r="K154" i="4"/>
  <c r="E155" i="4"/>
  <c r="I155" i="4"/>
  <c r="G156" i="4"/>
  <c r="K156" i="4"/>
  <c r="E157" i="4"/>
  <c r="I157" i="4"/>
  <c r="C158" i="4"/>
  <c r="E159" i="4"/>
  <c r="I159" i="4"/>
  <c r="G160" i="4"/>
  <c r="K160" i="4"/>
  <c r="L187" i="4"/>
  <c r="H161" i="4"/>
  <c r="K155" i="4"/>
  <c r="K159" i="4"/>
  <c r="G51" i="21"/>
  <c r="A51" i="21"/>
  <c r="D150" i="4"/>
  <c r="L150" i="4"/>
  <c r="F151" i="4"/>
  <c r="J151" i="4"/>
  <c r="D152" i="4"/>
  <c r="H152" i="4"/>
  <c r="L152" i="4"/>
  <c r="F153" i="4"/>
  <c r="J153" i="4"/>
  <c r="D154" i="4"/>
  <c r="H154" i="4"/>
  <c r="L154" i="4"/>
  <c r="F155" i="4"/>
  <c r="J155" i="4"/>
  <c r="D156" i="4"/>
  <c r="H156" i="4"/>
  <c r="L156" i="4"/>
  <c r="F157" i="4"/>
  <c r="J157" i="4"/>
  <c r="D158" i="4"/>
  <c r="H158" i="4"/>
  <c r="L158" i="4"/>
  <c r="F159" i="4"/>
  <c r="J159" i="4"/>
  <c r="D160" i="4"/>
  <c r="H160" i="4"/>
  <c r="L160" i="4"/>
  <c r="J161" i="4"/>
  <c r="C157" i="4"/>
  <c r="C159" i="4"/>
  <c r="F57" i="4"/>
  <c r="F150" i="4"/>
  <c r="H150" i="4"/>
  <c r="B231" i="4"/>
  <c r="A25" i="4"/>
  <c r="C150" i="4"/>
  <c r="G150" i="4"/>
  <c r="K150" i="4"/>
  <c r="J319" i="49"/>
  <c r="G162" i="4" l="1"/>
  <c r="G167" i="4" s="1"/>
  <c r="M187" i="4"/>
  <c r="M153" i="4"/>
  <c r="H162" i="4"/>
  <c r="H167" i="4" s="1"/>
  <c r="L162" i="4"/>
  <c r="L173" i="4" s="1"/>
  <c r="F162" i="4"/>
  <c r="K162" i="4"/>
  <c r="K167" i="4" s="1"/>
  <c r="M159" i="4"/>
  <c r="J162" i="4"/>
  <c r="J168" i="4" s="1"/>
  <c r="M152" i="4"/>
  <c r="M160" i="4"/>
  <c r="I162" i="4"/>
  <c r="I170" i="4" s="1"/>
  <c r="M150" i="4"/>
  <c r="C162" i="4"/>
  <c r="C167" i="4" s="1"/>
  <c r="M157" i="4"/>
  <c r="M158" i="4"/>
  <c r="M156" i="4"/>
  <c r="D162" i="4"/>
  <c r="D174" i="4" s="1"/>
  <c r="M154" i="4"/>
  <c r="M155" i="4"/>
  <c r="M151" i="4"/>
  <c r="E162" i="4"/>
  <c r="E173" i="4" s="1"/>
  <c r="M161" i="4"/>
  <c r="A52" i="21"/>
  <c r="A53" i="21" s="1"/>
  <c r="A58" i="21" s="1"/>
  <c r="A35" i="4"/>
  <c r="J178" i="4"/>
  <c r="J92" i="21" l="1"/>
  <c r="I89" i="21"/>
  <c r="L89" i="21"/>
  <c r="K100" i="21"/>
  <c r="F95" i="21"/>
  <c r="E96" i="21"/>
  <c r="K90" i="21"/>
  <c r="M95" i="21"/>
  <c r="H89" i="21"/>
  <c r="L168" i="4"/>
  <c r="L169" i="4"/>
  <c r="L171" i="4"/>
  <c r="L175" i="4"/>
  <c r="G53" i="21"/>
  <c r="E169" i="4"/>
  <c r="C168" i="4"/>
  <c r="D89" i="21"/>
  <c r="C198" i="4"/>
  <c r="C13" i="4" s="1"/>
  <c r="M162" i="4"/>
  <c r="I171" i="4"/>
  <c r="L172" i="4"/>
  <c r="I167" i="4"/>
  <c r="J167" i="4"/>
  <c r="L174" i="4"/>
  <c r="J172" i="4"/>
  <c r="L167" i="4"/>
  <c r="J171" i="4"/>
  <c r="J177" i="4"/>
  <c r="L178" i="4"/>
  <c r="L170" i="4"/>
  <c r="J176" i="4"/>
  <c r="D169" i="4"/>
  <c r="E172" i="4"/>
  <c r="D175" i="4"/>
  <c r="E178" i="4"/>
  <c r="E177" i="4"/>
  <c r="E167" i="4"/>
  <c r="E170" i="4"/>
  <c r="D172" i="4"/>
  <c r="J175" i="4"/>
  <c r="E171" i="4"/>
  <c r="E168" i="4"/>
  <c r="E174" i="4"/>
  <c r="E175" i="4"/>
  <c r="E176" i="4"/>
  <c r="J174" i="4"/>
  <c r="I169" i="4"/>
  <c r="I172" i="4"/>
  <c r="I174" i="4"/>
  <c r="I178" i="4"/>
  <c r="I173" i="4"/>
  <c r="J170" i="4"/>
  <c r="J169" i="4"/>
  <c r="D205" i="4"/>
  <c r="I176" i="4"/>
  <c r="I168" i="4"/>
  <c r="I177" i="4"/>
  <c r="I175" i="4"/>
  <c r="J173" i="4"/>
  <c r="L177" i="4"/>
  <c r="L176" i="4"/>
  <c r="A59" i="21"/>
  <c r="A60" i="21" s="1"/>
  <c r="A70" i="21" s="1"/>
  <c r="A71" i="21" s="1"/>
  <c r="A72" i="21" s="1"/>
  <c r="A73" i="21" s="1"/>
  <c r="A74" i="21" s="1"/>
  <c r="A75" i="21" s="1"/>
  <c r="A76" i="21" s="1"/>
  <c r="A77" i="21" s="1"/>
  <c r="A78" i="21" s="1"/>
  <c r="A79" i="21" s="1"/>
  <c r="A80" i="21" s="1"/>
  <c r="A81" i="21" s="1"/>
  <c r="A82" i="21" s="1"/>
  <c r="D167" i="4"/>
  <c r="D178" i="4"/>
  <c r="D168" i="4"/>
  <c r="D170" i="4"/>
  <c r="D176" i="4"/>
  <c r="D177" i="4"/>
  <c r="D173" i="4"/>
  <c r="D171" i="4"/>
  <c r="B223" i="4"/>
  <c r="A36" i="4"/>
  <c r="F175" i="4"/>
  <c r="F174" i="4"/>
  <c r="F172" i="4"/>
  <c r="F176" i="4"/>
  <c r="F171" i="4"/>
  <c r="F178" i="4"/>
  <c r="F177" i="4"/>
  <c r="F168" i="4"/>
  <c r="F170" i="4"/>
  <c r="F169" i="4"/>
  <c r="F173" i="4"/>
  <c r="C171" i="4"/>
  <c r="C173" i="4"/>
  <c r="C177" i="4"/>
  <c r="C178" i="4"/>
  <c r="C175" i="4"/>
  <c r="C174" i="4"/>
  <c r="C169" i="4"/>
  <c r="C176" i="4"/>
  <c r="C170" i="4"/>
  <c r="C172" i="4"/>
  <c r="H171" i="4"/>
  <c r="H178" i="4"/>
  <c r="H170" i="4"/>
  <c r="H173" i="4"/>
  <c r="H172" i="4"/>
  <c r="H176" i="4"/>
  <c r="H174" i="4"/>
  <c r="H169" i="4"/>
  <c r="H168" i="4"/>
  <c r="H175" i="4"/>
  <c r="H177" i="4"/>
  <c r="G169" i="4"/>
  <c r="G171" i="4"/>
  <c r="G170" i="4"/>
  <c r="G173" i="4"/>
  <c r="G178" i="4"/>
  <c r="G168" i="4"/>
  <c r="G172" i="4"/>
  <c r="G176" i="4"/>
  <c r="G174" i="4"/>
  <c r="G175" i="4"/>
  <c r="G177" i="4"/>
  <c r="K176" i="4"/>
  <c r="K172" i="4"/>
  <c r="K169" i="4"/>
  <c r="K174" i="4"/>
  <c r="K171" i="4"/>
  <c r="K170" i="4"/>
  <c r="K168" i="4"/>
  <c r="K173" i="4"/>
  <c r="K177" i="4"/>
  <c r="K178" i="4"/>
  <c r="K175" i="4"/>
  <c r="F167" i="4"/>
  <c r="L91" i="21" l="1"/>
  <c r="H90" i="21"/>
  <c r="I90" i="21"/>
  <c r="I93" i="21"/>
  <c r="G100" i="21"/>
  <c r="J97" i="21"/>
  <c r="J100" i="21"/>
  <c r="K96" i="21"/>
  <c r="F90" i="21"/>
  <c r="F92" i="21"/>
  <c r="E97" i="21"/>
  <c r="M92" i="21"/>
  <c r="M89" i="21"/>
  <c r="J89" i="21"/>
  <c r="M90" i="21"/>
  <c r="L100" i="21"/>
  <c r="G89" i="21"/>
  <c r="L95" i="21"/>
  <c r="L96" i="21"/>
  <c r="H99" i="21"/>
  <c r="H94" i="21"/>
  <c r="H92" i="21"/>
  <c r="I97" i="21"/>
  <c r="I98" i="21"/>
  <c r="I100" i="21"/>
  <c r="G95" i="21"/>
  <c r="G99" i="21"/>
  <c r="G94" i="21"/>
  <c r="K95" i="21"/>
  <c r="J98" i="21"/>
  <c r="J95" i="21"/>
  <c r="J91" i="21"/>
  <c r="F96" i="21"/>
  <c r="F100" i="21"/>
  <c r="K98" i="21"/>
  <c r="K93" i="21"/>
  <c r="K89" i="21"/>
  <c r="F91" i="21"/>
  <c r="M91" i="21"/>
  <c r="L94" i="21"/>
  <c r="H96" i="21"/>
  <c r="H91" i="21"/>
  <c r="I95" i="21"/>
  <c r="G92" i="21"/>
  <c r="G93" i="21"/>
  <c r="G97" i="21"/>
  <c r="M98" i="21"/>
  <c r="J99" i="21"/>
  <c r="K91" i="21"/>
  <c r="J96" i="21"/>
  <c r="F98" i="21"/>
  <c r="F93" i="21"/>
  <c r="F89" i="21"/>
  <c r="F94" i="21"/>
  <c r="M100" i="21"/>
  <c r="K94" i="21"/>
  <c r="M94" i="21"/>
  <c r="M97" i="21"/>
  <c r="L97" i="21"/>
  <c r="L90" i="21"/>
  <c r="H97" i="21"/>
  <c r="H93" i="21"/>
  <c r="I94" i="21"/>
  <c r="G91" i="21"/>
  <c r="G96" i="21"/>
  <c r="L92" i="21"/>
  <c r="H100" i="21"/>
  <c r="I91" i="21"/>
  <c r="L99" i="21"/>
  <c r="L93" i="21"/>
  <c r="L98" i="21"/>
  <c r="H98" i="21"/>
  <c r="H95" i="21"/>
  <c r="I99" i="21"/>
  <c r="I96" i="21"/>
  <c r="I92" i="21"/>
  <c r="G90" i="21"/>
  <c r="G98" i="21"/>
  <c r="M99" i="21"/>
  <c r="J90" i="21"/>
  <c r="K92" i="21"/>
  <c r="J94" i="21"/>
  <c r="F97" i="21"/>
  <c r="K97" i="21"/>
  <c r="F99" i="21"/>
  <c r="E91" i="21"/>
  <c r="K99" i="21"/>
  <c r="M96" i="21"/>
  <c r="J93" i="21"/>
  <c r="M93" i="21"/>
  <c r="D206" i="4"/>
  <c r="D200" i="4"/>
  <c r="E94" i="21"/>
  <c r="D203" i="4"/>
  <c r="D92" i="21"/>
  <c r="C201" i="4"/>
  <c r="D97" i="21"/>
  <c r="C206" i="4"/>
  <c r="D93" i="21"/>
  <c r="C202" i="4"/>
  <c r="E95" i="21"/>
  <c r="D204" i="4"/>
  <c r="E90" i="21"/>
  <c r="D199" i="4"/>
  <c r="D98" i="21"/>
  <c r="C207" i="4"/>
  <c r="D100" i="21"/>
  <c r="C209" i="4"/>
  <c r="D90" i="21"/>
  <c r="C199" i="4"/>
  <c r="E99" i="21"/>
  <c r="D208" i="4"/>
  <c r="E100" i="21"/>
  <c r="D209" i="4"/>
  <c r="D91" i="21"/>
  <c r="C200" i="4"/>
  <c r="D99" i="21"/>
  <c r="C208" i="4"/>
  <c r="E98" i="21"/>
  <c r="D207" i="4"/>
  <c r="E89" i="21"/>
  <c r="D198" i="4"/>
  <c r="D94" i="21"/>
  <c r="C203" i="4"/>
  <c r="D96" i="21"/>
  <c r="C205" i="4"/>
  <c r="D95" i="21"/>
  <c r="C204" i="4"/>
  <c r="E93" i="21"/>
  <c r="D202" i="4"/>
  <c r="E92" i="21"/>
  <c r="D201" i="4"/>
  <c r="B149" i="21"/>
  <c r="A89" i="21"/>
  <c r="A90" i="21" s="1"/>
  <c r="A91" i="21" s="1"/>
  <c r="A92" i="21" s="1"/>
  <c r="A93" i="21" s="1"/>
  <c r="A94" i="21" s="1"/>
  <c r="A95" i="21" s="1"/>
  <c r="A96" i="21" s="1"/>
  <c r="A97" i="21" s="1"/>
  <c r="A98" i="21" s="1"/>
  <c r="A99" i="21" s="1"/>
  <c r="A100" i="21" s="1"/>
  <c r="A106" i="21" s="1"/>
  <c r="G60" i="21"/>
  <c r="B224" i="4"/>
  <c r="A37" i="4"/>
  <c r="E44" i="4"/>
  <c r="C14" i="4" l="1"/>
  <c r="D13" i="4"/>
  <c r="D210" i="4"/>
  <c r="C210" i="4"/>
  <c r="A109" i="21"/>
  <c r="A112" i="21" s="1"/>
  <c r="A119" i="21" s="1"/>
  <c r="A120" i="21" s="1"/>
  <c r="A121" i="21" s="1"/>
  <c r="A122" i="21" s="1"/>
  <c r="A123" i="21" s="1"/>
  <c r="A124" i="21" s="1"/>
  <c r="A125" i="21" s="1"/>
  <c r="A126" i="21" s="1"/>
  <c r="A127" i="21" s="1"/>
  <c r="A128" i="21" s="1"/>
  <c r="A129" i="21" s="1"/>
  <c r="A130" i="21" s="1"/>
  <c r="A131" i="21" s="1"/>
  <c r="A43" i="4"/>
  <c r="A44" i="4" s="1"/>
  <c r="A53" i="4" s="1"/>
  <c r="E43" i="4"/>
  <c r="C12" i="46"/>
  <c r="D14" i="4" l="1"/>
  <c r="D15" i="4" s="1"/>
  <c r="D16" i="4" s="1"/>
  <c r="D17" i="4" s="1"/>
  <c r="D18" i="4" s="1"/>
  <c r="D19" i="4" s="1"/>
  <c r="D20" i="4" s="1"/>
  <c r="D21" i="4" s="1"/>
  <c r="D22" i="4" s="1"/>
  <c r="D23" i="4" s="1"/>
  <c r="C15" i="4"/>
  <c r="C16" i="4" s="1"/>
  <c r="C17" i="4" s="1"/>
  <c r="C18" i="4" s="1"/>
  <c r="C19" i="4" s="1"/>
  <c r="C20" i="4" s="1"/>
  <c r="C21" i="4" s="1"/>
  <c r="C22" i="4" s="1"/>
  <c r="C23" i="4" s="1"/>
  <c r="B150" i="21"/>
  <c r="A54" i="4"/>
  <c r="C25" i="4" l="1"/>
  <c r="G62" i="4"/>
  <c r="A57" i="4"/>
  <c r="G57" i="4"/>
  <c r="A58" i="4" l="1"/>
  <c r="A59" i="4" s="1"/>
  <c r="A62" i="4" s="1"/>
  <c r="A63" i="4" l="1"/>
  <c r="A64" i="4" s="1"/>
  <c r="A74" i="4" s="1"/>
  <c r="A75" i="4" s="1"/>
  <c r="A76" i="4" s="1"/>
  <c r="A77" i="4" s="1"/>
  <c r="A78" i="4" s="1"/>
  <c r="A79" i="4" s="1"/>
  <c r="A80" i="4" s="1"/>
  <c r="A81" i="4" s="1"/>
  <c r="A82" i="4" s="1"/>
  <c r="A83" i="4" s="1"/>
  <c r="A84" i="4" s="1"/>
  <c r="A85" i="4" s="1"/>
  <c r="A86" i="4" s="1"/>
  <c r="A93" i="4" s="1"/>
  <c r="A94" i="4" s="1"/>
  <c r="A95" i="4" s="1"/>
  <c r="A96" i="4" s="1"/>
  <c r="A97" i="4" s="1"/>
  <c r="A98" i="4" s="1"/>
  <c r="A99" i="4" s="1"/>
  <c r="A100" i="4" s="1"/>
  <c r="A101" i="4" s="1"/>
  <c r="A102" i="4" s="1"/>
  <c r="A103" i="4" s="1"/>
  <c r="A104" i="4" s="1"/>
  <c r="A105" i="4" s="1"/>
  <c r="A112" i="4" s="1"/>
  <c r="A113" i="4" s="1"/>
  <c r="A114" i="4" s="1"/>
  <c r="A115" i="4" s="1"/>
  <c r="A116" i="4" s="1"/>
  <c r="A117" i="4" s="1"/>
  <c r="A118" i="4" s="1"/>
  <c r="A119" i="4" s="1"/>
  <c r="A120" i="4" s="1"/>
  <c r="A121" i="4" s="1"/>
  <c r="A122" i="4" s="1"/>
  <c r="A123" i="4" s="1"/>
  <c r="A124" i="4" s="1"/>
  <c r="A131" i="4" s="1"/>
  <c r="A132" i="4" s="1"/>
  <c r="A133" i="4" s="1"/>
  <c r="A134" i="4" s="1"/>
  <c r="A135" i="4" s="1"/>
  <c r="A136" i="4" s="1"/>
  <c r="A137" i="4" s="1"/>
  <c r="A138" i="4" s="1"/>
  <c r="A139" i="4" s="1"/>
  <c r="A140" i="4" s="1"/>
  <c r="A141" i="4" s="1"/>
  <c r="A142" i="4" s="1"/>
  <c r="A143" i="4" s="1"/>
  <c r="G59" i="4"/>
  <c r="G64" i="4" l="1"/>
  <c r="B232" i="4"/>
  <c r="A150" i="4"/>
  <c r="A151" i="4" l="1"/>
  <c r="A152" i="4" s="1"/>
  <c r="A153" i="4" s="1"/>
  <c r="A154" i="4" s="1"/>
  <c r="A155" i="4" s="1"/>
  <c r="A156" i="4" s="1"/>
  <c r="A157" i="4" s="1"/>
  <c r="A158" i="4" s="1"/>
  <c r="A159" i="4" s="1"/>
  <c r="A160" i="4" s="1"/>
  <c r="A161" i="4" s="1"/>
  <c r="A162" i="4" s="1"/>
  <c r="A167" i="4" s="1"/>
  <c r="A168" i="4" s="1"/>
  <c r="A169" i="4" s="1"/>
  <c r="A170" i="4" s="1"/>
  <c r="A171" i="4" s="1"/>
  <c r="A172" i="4" s="1"/>
  <c r="A173" i="4" s="1"/>
  <c r="A174" i="4" s="1"/>
  <c r="A175" i="4" s="1"/>
  <c r="A176" i="4" s="1"/>
  <c r="A177" i="4" s="1"/>
  <c r="A178" i="4" s="1"/>
  <c r="A183" i="4" s="1"/>
  <c r="B235" i="4" l="1"/>
  <c r="A187" i="4"/>
  <c r="A191" i="4" s="1"/>
  <c r="B234" i="4" s="1"/>
  <c r="A198" i="4" l="1"/>
  <c r="B233" i="4"/>
  <c r="A199" i="4" l="1"/>
  <c r="A200" i="4" s="1"/>
  <c r="A201" i="4" s="1"/>
  <c r="A202" i="4" s="1"/>
  <c r="A203" i="4" s="1"/>
  <c r="A204" i="4" s="1"/>
  <c r="A205" i="4" s="1"/>
  <c r="A206" i="4" s="1"/>
  <c r="A207" i="4" s="1"/>
  <c r="A208" i="4" s="1"/>
  <c r="A209" i="4" s="1"/>
  <c r="A210" i="4" s="1"/>
  <c r="B236" i="4" l="1"/>
  <c r="C57" i="22" l="1"/>
  <c r="D19" i="71" l="1"/>
  <c r="D18" i="71"/>
  <c r="F46" i="22" l="1"/>
  <c r="F34" i="22"/>
  <c r="G69" i="22"/>
  <c r="G63" i="22"/>
  <c r="G22" i="45" l="1"/>
  <c r="G20" i="45" l="1"/>
  <c r="G19" i="45"/>
  <c r="G18" i="45"/>
  <c r="G21" i="45" l="1"/>
  <c r="J128" i="53" l="1"/>
  <c r="I128" i="53"/>
  <c r="F128" i="53"/>
  <c r="J127" i="53"/>
  <c r="I127" i="53"/>
  <c r="F127" i="53"/>
  <c r="J126" i="53"/>
  <c r="I126" i="53"/>
  <c r="F126" i="53"/>
  <c r="J125" i="53"/>
  <c r="I125" i="53"/>
  <c r="K125" i="53" s="1"/>
  <c r="F125" i="53"/>
  <c r="J124" i="53"/>
  <c r="I124" i="53"/>
  <c r="F124" i="53"/>
  <c r="J123" i="53"/>
  <c r="I123" i="53"/>
  <c r="F123" i="53"/>
  <c r="J122" i="53"/>
  <c r="I122" i="53"/>
  <c r="F122" i="53"/>
  <c r="J121" i="53"/>
  <c r="I121" i="53"/>
  <c r="K121" i="53" s="1"/>
  <c r="F121" i="53"/>
  <c r="J120" i="53"/>
  <c r="I120" i="53"/>
  <c r="F120" i="53"/>
  <c r="J119" i="53"/>
  <c r="I119" i="53"/>
  <c r="F119" i="53"/>
  <c r="J118" i="53"/>
  <c r="I118" i="53"/>
  <c r="F118" i="53"/>
  <c r="J117" i="53"/>
  <c r="I117" i="53"/>
  <c r="K117" i="53" s="1"/>
  <c r="F117" i="53"/>
  <c r="J116" i="53"/>
  <c r="I116" i="53"/>
  <c r="F116" i="53"/>
  <c r="J115" i="53"/>
  <c r="J130" i="53" s="1"/>
  <c r="I115" i="53"/>
  <c r="F115" i="53"/>
  <c r="B114" i="53"/>
  <c r="A108" i="53"/>
  <c r="A109" i="53" s="1"/>
  <c r="A110" i="53" s="1"/>
  <c r="A111" i="53" s="1"/>
  <c r="A112" i="53" s="1"/>
  <c r="A113" i="53" s="1"/>
  <c r="A114" i="53" s="1"/>
  <c r="B90" i="53"/>
  <c r="I38" i="53"/>
  <c r="D38" i="53"/>
  <c r="I37" i="53"/>
  <c r="D37" i="53"/>
  <c r="I36" i="53"/>
  <c r="D36" i="53"/>
  <c r="A29" i="53"/>
  <c r="A30" i="53" s="1"/>
  <c r="A31" i="53" s="1"/>
  <c r="A32" i="53" s="1"/>
  <c r="A33" i="53" s="1"/>
  <c r="A34" i="53" s="1"/>
  <c r="J27" i="53"/>
  <c r="J26" i="53"/>
  <c r="J25" i="53"/>
  <c r="J24" i="53"/>
  <c r="J23" i="53"/>
  <c r="J22" i="53"/>
  <c r="J21" i="53"/>
  <c r="J20" i="53"/>
  <c r="J19" i="53"/>
  <c r="J18" i="53"/>
  <c r="J17" i="53"/>
  <c r="J16" i="53"/>
  <c r="J15" i="53"/>
  <c r="J14" i="53"/>
  <c r="J13" i="53"/>
  <c r="J12" i="53"/>
  <c r="K120" i="53" l="1"/>
  <c r="L120" i="53" s="1"/>
  <c r="K128" i="53"/>
  <c r="I130" i="53"/>
  <c r="K119" i="53"/>
  <c r="L119" i="53" s="1"/>
  <c r="K123" i="53"/>
  <c r="L123" i="53" s="1"/>
  <c r="K127" i="53"/>
  <c r="F130" i="53"/>
  <c r="K115" i="53"/>
  <c r="L115" i="53" s="1"/>
  <c r="K122" i="53"/>
  <c r="L122" i="53" s="1"/>
  <c r="K126" i="53"/>
  <c r="L126" i="53" s="1"/>
  <c r="L128" i="53"/>
  <c r="K124" i="53"/>
  <c r="L124" i="53" s="1"/>
  <c r="K116" i="53"/>
  <c r="L116" i="53" s="1"/>
  <c r="L121" i="53"/>
  <c r="J28" i="53"/>
  <c r="L127" i="53"/>
  <c r="K118" i="53"/>
  <c r="L117" i="53"/>
  <c r="L125" i="53"/>
  <c r="L118" i="5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L130" i="53" l="1"/>
  <c r="M118" i="53" s="1"/>
  <c r="C16" i="53" s="1"/>
  <c r="K130" i="53"/>
  <c r="M122" i="53" l="1"/>
  <c r="C20" i="53" s="1"/>
  <c r="M115" i="53"/>
  <c r="M117" i="53"/>
  <c r="C15" i="53" s="1"/>
  <c r="M121" i="53"/>
  <c r="C19" i="53" s="1"/>
  <c r="M123" i="53"/>
  <c r="C21" i="53" s="1"/>
  <c r="M119" i="53"/>
  <c r="C17" i="53" s="1"/>
  <c r="M124" i="53"/>
  <c r="C22" i="53" s="1"/>
  <c r="M116" i="53"/>
  <c r="C13" i="53" s="1"/>
  <c r="M128" i="53"/>
  <c r="C26" i="53" s="1"/>
  <c r="M120" i="53"/>
  <c r="C18" i="53" s="1"/>
  <c r="M127" i="53"/>
  <c r="C25" i="53" s="1"/>
  <c r="M125" i="53"/>
  <c r="C23" i="53" s="1"/>
  <c r="M126" i="53"/>
  <c r="C24" i="53" s="1"/>
  <c r="C12" i="53" l="1"/>
  <c r="M130" i="53"/>
  <c r="C28" i="53" l="1"/>
  <c r="E29" i="55" l="1"/>
  <c r="D29" i="55"/>
  <c r="C29" i="55"/>
  <c r="H42" i="8" l="1"/>
  <c r="H33" i="8"/>
  <c r="F26" i="65" l="1"/>
  <c r="F27" i="65"/>
  <c r="F28" i="65"/>
  <c r="F29" i="65"/>
  <c r="F30" i="65"/>
  <c r="F31" i="65"/>
  <c r="F32" i="65"/>
  <c r="F33" i="65"/>
  <c r="F34" i="65"/>
  <c r="F35" i="65"/>
  <c r="F36" i="65"/>
  <c r="E222" i="49" l="1"/>
  <c r="O34" i="48" l="1"/>
  <c r="O35" i="48"/>
  <c r="O36" i="48"/>
  <c r="J20" i="61" l="1"/>
  <c r="M20" i="61" s="1"/>
  <c r="G20" i="61"/>
  <c r="I20" i="61" s="1"/>
  <c r="P97" i="48" l="1"/>
  <c r="P98" i="48"/>
  <c r="P99" i="48"/>
  <c r="C34" i="48"/>
  <c r="C35" i="48"/>
  <c r="C36" i="48"/>
  <c r="C97" i="48"/>
  <c r="C98" i="48"/>
  <c r="C99" i="48"/>
  <c r="P66" i="48"/>
  <c r="P67" i="48"/>
  <c r="P68" i="48"/>
  <c r="P36" i="48" l="1"/>
  <c r="P35" i="48"/>
  <c r="P34" i="48"/>
  <c r="I407" i="49" l="1"/>
  <c r="I408" i="49"/>
  <c r="I409" i="49"/>
  <c r="E407" i="49"/>
  <c r="F407" i="49" s="1"/>
  <c r="E408" i="49"/>
  <c r="F408" i="49" s="1"/>
  <c r="E409" i="49"/>
  <c r="F409" i="49" s="1"/>
  <c r="I374" i="49"/>
  <c r="I375" i="49"/>
  <c r="I376" i="49"/>
  <c r="E374" i="49"/>
  <c r="F374" i="49" s="1"/>
  <c r="E375" i="49"/>
  <c r="F375" i="49" s="1"/>
  <c r="E376" i="49"/>
  <c r="F376" i="49" s="1"/>
  <c r="I341" i="49"/>
  <c r="I342" i="49"/>
  <c r="I343" i="49"/>
  <c r="E341" i="49"/>
  <c r="F341" i="49" s="1"/>
  <c r="E342" i="49"/>
  <c r="F342" i="49" s="1"/>
  <c r="E343" i="49"/>
  <c r="F343" i="49" s="1"/>
  <c r="I308" i="49"/>
  <c r="I309" i="49"/>
  <c r="I310" i="49"/>
  <c r="E308" i="49"/>
  <c r="F308" i="49" s="1"/>
  <c r="E309" i="49"/>
  <c r="F309" i="49" s="1"/>
  <c r="E310" i="49"/>
  <c r="F310" i="49" s="1"/>
  <c r="I275" i="49"/>
  <c r="I276" i="49"/>
  <c r="I277" i="49"/>
  <c r="E275" i="49"/>
  <c r="F275" i="49" s="1"/>
  <c r="E276" i="49"/>
  <c r="F276" i="49" s="1"/>
  <c r="E277" i="49"/>
  <c r="F277" i="49" s="1"/>
  <c r="I242" i="49"/>
  <c r="I243" i="49"/>
  <c r="I244" i="49"/>
  <c r="E242" i="49"/>
  <c r="F242" i="49" s="1"/>
  <c r="E243" i="49"/>
  <c r="F243" i="49" s="1"/>
  <c r="E244" i="49"/>
  <c r="F244" i="49" s="1"/>
  <c r="I209" i="49"/>
  <c r="I210" i="49"/>
  <c r="I211" i="49"/>
  <c r="E209" i="49"/>
  <c r="F209" i="49" s="1"/>
  <c r="E210" i="49"/>
  <c r="F210" i="49" s="1"/>
  <c r="E211" i="49"/>
  <c r="F211" i="49" s="1"/>
  <c r="I176" i="49"/>
  <c r="I177" i="49"/>
  <c r="I178" i="49"/>
  <c r="E176" i="49"/>
  <c r="F176" i="49" s="1"/>
  <c r="E177" i="49"/>
  <c r="F177" i="49" s="1"/>
  <c r="E178" i="49"/>
  <c r="F178"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I78" i="49"/>
  <c r="G68" i="48" s="1"/>
  <c r="G36" i="48" s="1"/>
  <c r="E77" i="49"/>
  <c r="I77" i="49"/>
  <c r="G67" i="48" s="1"/>
  <c r="G35" i="48" s="1"/>
  <c r="E76" i="49"/>
  <c r="E78" i="49"/>
  <c r="G66" i="48"/>
  <c r="G34" i="48" s="1"/>
  <c r="F111" i="49"/>
  <c r="F77" i="49" s="1"/>
  <c r="F112" i="49"/>
  <c r="F78" i="49" s="1"/>
  <c r="F110" i="49"/>
  <c r="F76" i="49" s="1"/>
  <c r="D128" i="48" l="1"/>
  <c r="D127" i="48"/>
  <c r="D126" i="48"/>
  <c r="D125" i="48"/>
  <c r="D124" i="48"/>
  <c r="D123" i="48"/>
  <c r="D122" i="48"/>
  <c r="D121" i="48"/>
  <c r="D120" i="48"/>
  <c r="D119" i="48"/>
  <c r="F232" i="61" l="1"/>
  <c r="F72" i="64"/>
  <c r="E72" i="64"/>
  <c r="D72" i="64"/>
  <c r="F67" i="64"/>
  <c r="F66" i="64"/>
  <c r="E67" i="64"/>
  <c r="E66" i="64"/>
  <c r="D67" i="64"/>
  <c r="D66" i="64"/>
  <c r="D24" i="64" l="1"/>
  <c r="L12" i="64"/>
  <c r="K12" i="64"/>
  <c r="J12" i="64"/>
  <c r="I12" i="64"/>
  <c r="H12" i="64"/>
  <c r="G12" i="64"/>
  <c r="F12" i="64"/>
  <c r="E12" i="64"/>
  <c r="D12" i="64"/>
  <c r="C24" i="64"/>
  <c r="C12" i="64"/>
  <c r="B97" i="64"/>
  <c r="F68" i="64"/>
  <c r="D68" i="64"/>
  <c r="D77" i="64" s="1"/>
  <c r="A43" i="64"/>
  <c r="A44" i="64" s="1"/>
  <c r="A45" i="64" s="1"/>
  <c r="A46" i="64" s="1"/>
  <c r="A47" i="64" s="1"/>
  <c r="A48" i="64" s="1"/>
  <c r="A13" i="64"/>
  <c r="A14" i="64" s="1"/>
  <c r="A15" i="64" s="1"/>
  <c r="A16" i="64" s="1"/>
  <c r="A17" i="64" s="1"/>
  <c r="A18" i="64" s="1"/>
  <c r="A19" i="64" s="1"/>
  <c r="A20" i="64" s="1"/>
  <c r="A21" i="64" s="1"/>
  <c r="A22" i="64" s="1"/>
  <c r="A23" i="64" s="1"/>
  <c r="A24" i="64" s="1"/>
  <c r="A25" i="64" s="1"/>
  <c r="A26" i="64" s="1"/>
  <c r="A28" i="64" s="1"/>
  <c r="C48" i="64" l="1"/>
  <c r="D70" i="21" s="1"/>
  <c r="F48" i="64"/>
  <c r="J48" i="64"/>
  <c r="G48" i="64"/>
  <c r="K48" i="64"/>
  <c r="D48" i="64"/>
  <c r="H48" i="64"/>
  <c r="L48" i="64"/>
  <c r="E48" i="64"/>
  <c r="I48" i="64"/>
  <c r="A49" i="64"/>
  <c r="A50" i="64" s="1"/>
  <c r="A51" i="64" s="1"/>
  <c r="A52" i="64" s="1"/>
  <c r="A53" i="64" s="1"/>
  <c r="A54" i="64" s="1"/>
  <c r="A55" i="64" s="1"/>
  <c r="A56" i="64" s="1"/>
  <c r="A57" i="64" s="1"/>
  <c r="A58" i="64" s="1"/>
  <c r="A59" i="64" s="1"/>
  <c r="A60" i="64" s="1"/>
  <c r="A61" i="64" s="1"/>
  <c r="A62" i="64" s="1"/>
  <c r="A63" i="64" s="1"/>
  <c r="A64" i="64" s="1"/>
  <c r="A65" i="64" s="1"/>
  <c r="A66" i="64" s="1"/>
  <c r="A67" i="64" s="1"/>
  <c r="A68" i="64" s="1"/>
  <c r="E68" i="64"/>
  <c r="E77" i="64" s="1"/>
  <c r="F77" i="64"/>
  <c r="J70" i="21" l="1"/>
  <c r="E70" i="21"/>
  <c r="G70" i="21"/>
  <c r="H70" i="21"/>
  <c r="K70" i="21"/>
  <c r="F70" i="21"/>
  <c r="L70" i="21"/>
  <c r="G91" i="64"/>
  <c r="M70" i="21"/>
  <c r="M48" i="64"/>
  <c r="I70" i="21"/>
  <c r="B146" i="21"/>
  <c r="G77" i="64"/>
  <c r="F92" i="64" s="1"/>
  <c r="B98" i="64"/>
  <c r="A69" i="64"/>
  <c r="A70" i="64" s="1"/>
  <c r="A71" i="64" s="1"/>
  <c r="A72" i="64" s="1"/>
  <c r="N70" i="21" l="1"/>
  <c r="B99" i="64"/>
  <c r="A73" i="64"/>
  <c r="A74" i="64" s="1"/>
  <c r="A75" i="64" s="1"/>
  <c r="A76" i="64" s="1"/>
  <c r="A77" i="64" s="1"/>
  <c r="B104" i="64" l="1"/>
  <c r="G92" i="64"/>
  <c r="A78" i="64"/>
  <c r="A79" i="64" s="1"/>
  <c r="A80" i="64" s="1"/>
  <c r="A81" i="64" s="1"/>
  <c r="A82" i="64" s="1"/>
  <c r="A83" i="64" l="1"/>
  <c r="A84" i="64" s="1"/>
  <c r="A85" i="64" l="1"/>
  <c r="A86" i="64" s="1"/>
  <c r="I84" i="64"/>
  <c r="I86" i="64" l="1"/>
  <c r="G93" i="64"/>
  <c r="A87" i="64"/>
  <c r="A88" i="64" s="1"/>
  <c r="A89" i="64" s="1"/>
  <c r="A90" i="64" s="1"/>
  <c r="A91" i="64" s="1"/>
  <c r="A92" i="64" l="1"/>
  <c r="A93" i="64" s="1"/>
  <c r="A94" i="64" s="1"/>
  <c r="I129" i="1" s="1"/>
  <c r="G94" i="64" l="1"/>
  <c r="O19" i="48" l="1"/>
  <c r="J86" i="8"/>
  <c r="E87" i="8" s="1"/>
  <c r="C117" i="48" l="1"/>
  <c r="H26" i="8" l="1"/>
  <c r="I31" i="1"/>
  <c r="A33" i="79" l="1"/>
  <c r="A34" i="79" s="1"/>
  <c r="A35" i="79" s="1"/>
  <c r="A36" i="79" s="1"/>
  <c r="A37" i="79" s="1"/>
  <c r="A38" i="79" s="1"/>
  <c r="A39" i="79" s="1"/>
  <c r="E19" i="71" l="1"/>
  <c r="E18" i="71"/>
  <c r="D17" i="71"/>
  <c r="D16" i="71"/>
  <c r="D15" i="71"/>
  <c r="D14" i="71"/>
  <c r="D13" i="71"/>
  <c r="D12" i="71"/>
  <c r="D11" i="71"/>
  <c r="D10" i="71"/>
  <c r="D9" i="71"/>
  <c r="D20" i="71" l="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E405" i="49"/>
  <c r="E404" i="49"/>
  <c r="E403" i="49"/>
  <c r="E402" i="49"/>
  <c r="E401" i="49"/>
  <c r="E400" i="49"/>
  <c r="E399" i="49"/>
  <c r="E398" i="49"/>
  <c r="E397" i="49"/>
  <c r="E396" i="49"/>
  <c r="E395" i="49"/>
  <c r="E394" i="49"/>
  <c r="E393" i="49"/>
  <c r="E392" i="49"/>
  <c r="E391" i="49"/>
  <c r="E390" i="49"/>
  <c r="E389" i="49"/>
  <c r="E388" i="49"/>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E372" i="49"/>
  <c r="E371" i="49"/>
  <c r="E370" i="49"/>
  <c r="E369" i="49"/>
  <c r="E368" i="49"/>
  <c r="E367" i="49"/>
  <c r="E366" i="49"/>
  <c r="E365" i="49"/>
  <c r="E364" i="49"/>
  <c r="E363" i="49"/>
  <c r="E362" i="49"/>
  <c r="E361" i="49"/>
  <c r="E360" i="49"/>
  <c r="E359" i="49"/>
  <c r="E358" i="49"/>
  <c r="E357" i="49"/>
  <c r="E356" i="49"/>
  <c r="E355" i="49"/>
  <c r="E354" i="49"/>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E339" i="49"/>
  <c r="E338" i="49"/>
  <c r="E337" i="49"/>
  <c r="E336" i="49"/>
  <c r="E335" i="49"/>
  <c r="E334" i="49"/>
  <c r="E333" i="49"/>
  <c r="E332" i="49"/>
  <c r="E331" i="49"/>
  <c r="E330" i="49"/>
  <c r="E329" i="49"/>
  <c r="E328" i="49"/>
  <c r="E327" i="49"/>
  <c r="E326" i="49"/>
  <c r="E325" i="49"/>
  <c r="E324" i="49"/>
  <c r="E323" i="49"/>
  <c r="E322" i="49"/>
  <c r="E321" i="49"/>
  <c r="E320" i="49"/>
  <c r="I307" i="49"/>
  <c r="I306" i="49"/>
  <c r="I305" i="49"/>
  <c r="I304" i="49"/>
  <c r="I303" i="49"/>
  <c r="I302" i="49"/>
  <c r="I301" i="49"/>
  <c r="I300" i="49"/>
  <c r="I299" i="49"/>
  <c r="I298" i="49"/>
  <c r="I297" i="49"/>
  <c r="I296" i="49"/>
  <c r="I295" i="49"/>
  <c r="I294" i="49"/>
  <c r="I293" i="49"/>
  <c r="I292" i="49"/>
  <c r="I291" i="49"/>
  <c r="I290" i="49"/>
  <c r="I289" i="49"/>
  <c r="I288" i="49"/>
  <c r="I287" i="49"/>
  <c r="E307" i="49"/>
  <c r="E306" i="49"/>
  <c r="E305" i="49"/>
  <c r="E304" i="49"/>
  <c r="E303" i="49"/>
  <c r="E302" i="49"/>
  <c r="E301" i="49"/>
  <c r="E300" i="49"/>
  <c r="E299" i="49"/>
  <c r="E298" i="49"/>
  <c r="E297" i="49"/>
  <c r="E296" i="49"/>
  <c r="E295" i="49"/>
  <c r="E294" i="49"/>
  <c r="E293" i="49"/>
  <c r="E292" i="49"/>
  <c r="E291" i="49"/>
  <c r="E290" i="49"/>
  <c r="E289" i="49"/>
  <c r="E288" i="49"/>
  <c r="E287" i="49"/>
  <c r="I274" i="49"/>
  <c r="I273" i="49"/>
  <c r="I272" i="49"/>
  <c r="I271" i="49"/>
  <c r="I270" i="49"/>
  <c r="I269" i="49"/>
  <c r="I268" i="49"/>
  <c r="I267" i="49"/>
  <c r="I266" i="49"/>
  <c r="I265" i="49"/>
  <c r="I264" i="49"/>
  <c r="I263" i="49"/>
  <c r="I262" i="49"/>
  <c r="I261" i="49"/>
  <c r="I260" i="49"/>
  <c r="I259" i="49"/>
  <c r="I258" i="49"/>
  <c r="I257" i="49"/>
  <c r="I256" i="49"/>
  <c r="I255" i="49"/>
  <c r="I254" i="49"/>
  <c r="E274" i="49"/>
  <c r="E273" i="49"/>
  <c r="E272" i="49"/>
  <c r="E271" i="49"/>
  <c r="E270" i="49"/>
  <c r="E269" i="49"/>
  <c r="E268" i="49"/>
  <c r="E267" i="49"/>
  <c r="E266" i="49"/>
  <c r="E265" i="49"/>
  <c r="E264" i="49"/>
  <c r="E263" i="49"/>
  <c r="E262" i="49"/>
  <c r="E261" i="49"/>
  <c r="E260" i="49"/>
  <c r="E259" i="49"/>
  <c r="E258" i="49"/>
  <c r="E257" i="49"/>
  <c r="E256" i="49"/>
  <c r="E255" i="49"/>
  <c r="E254" i="49"/>
  <c r="I241" i="49"/>
  <c r="I240" i="49"/>
  <c r="I239" i="49"/>
  <c r="I238" i="49"/>
  <c r="I237" i="49"/>
  <c r="I236" i="49"/>
  <c r="I235" i="49"/>
  <c r="I234" i="49"/>
  <c r="I233" i="49"/>
  <c r="I232" i="49"/>
  <c r="I231" i="49"/>
  <c r="I230" i="49"/>
  <c r="I229" i="49"/>
  <c r="I228" i="49"/>
  <c r="I227" i="49"/>
  <c r="I226" i="49"/>
  <c r="I225" i="49"/>
  <c r="I224" i="49"/>
  <c r="I223" i="49"/>
  <c r="I222" i="49"/>
  <c r="I221" i="49"/>
  <c r="E241" i="49"/>
  <c r="E240" i="49"/>
  <c r="E239" i="49"/>
  <c r="E238" i="49"/>
  <c r="E237" i="49"/>
  <c r="E236" i="49"/>
  <c r="E235" i="49"/>
  <c r="E234" i="49"/>
  <c r="E233" i="49"/>
  <c r="E232" i="49"/>
  <c r="E231" i="49"/>
  <c r="E230" i="49"/>
  <c r="E229" i="49"/>
  <c r="E228" i="49"/>
  <c r="E227" i="49"/>
  <c r="E226" i="49"/>
  <c r="E225" i="49"/>
  <c r="E224" i="49"/>
  <c r="E223" i="49"/>
  <c r="E221" i="49"/>
  <c r="I189" i="49"/>
  <c r="I190" i="49"/>
  <c r="I191" i="49"/>
  <c r="I192" i="49"/>
  <c r="I193" i="49"/>
  <c r="I194" i="49"/>
  <c r="I195" i="49"/>
  <c r="I196" i="49"/>
  <c r="I197" i="49"/>
  <c r="I198" i="49"/>
  <c r="I199" i="49"/>
  <c r="I200" i="49"/>
  <c r="I201" i="49"/>
  <c r="I202" i="49"/>
  <c r="I203" i="49"/>
  <c r="I204" i="49"/>
  <c r="I205" i="49"/>
  <c r="I206" i="49"/>
  <c r="I207" i="49"/>
  <c r="I208" i="49"/>
  <c r="I188" i="49"/>
  <c r="E189" i="49"/>
  <c r="E190" i="49"/>
  <c r="E191" i="49"/>
  <c r="E192" i="49"/>
  <c r="E193" i="49"/>
  <c r="E194" i="49"/>
  <c r="E195" i="49"/>
  <c r="E196" i="49"/>
  <c r="E197" i="49"/>
  <c r="E198" i="49"/>
  <c r="E199" i="49"/>
  <c r="E200" i="49"/>
  <c r="E201" i="49"/>
  <c r="E202" i="49"/>
  <c r="E203" i="49"/>
  <c r="E204" i="49"/>
  <c r="E205" i="49"/>
  <c r="E206" i="49"/>
  <c r="E207" i="49"/>
  <c r="E208" i="49"/>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E174" i="49"/>
  <c r="E173" i="49"/>
  <c r="E172" i="49"/>
  <c r="E171" i="49"/>
  <c r="E170" i="49"/>
  <c r="E169" i="49"/>
  <c r="E168" i="49"/>
  <c r="E167" i="49"/>
  <c r="E166" i="49"/>
  <c r="E165" i="49"/>
  <c r="E164" i="49"/>
  <c r="E163" i="49"/>
  <c r="E162" i="49"/>
  <c r="E161" i="49"/>
  <c r="E160" i="49"/>
  <c r="E159" i="49"/>
  <c r="E158" i="49"/>
  <c r="E157" i="49"/>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72" i="49" s="1"/>
  <c r="I105" i="49"/>
  <c r="I104" i="49"/>
  <c r="I103" i="49"/>
  <c r="I102" i="49"/>
  <c r="I68" i="49" s="1"/>
  <c r="I101" i="49"/>
  <c r="I100" i="49"/>
  <c r="I99" i="49"/>
  <c r="I98" i="49"/>
  <c r="I64" i="49" s="1"/>
  <c r="I97" i="49"/>
  <c r="I96" i="49"/>
  <c r="I95" i="49"/>
  <c r="I94" i="49"/>
  <c r="I60" i="49" s="1"/>
  <c r="I93" i="49"/>
  <c r="I92" i="49"/>
  <c r="I91" i="49"/>
  <c r="I57" i="49" s="1"/>
  <c r="I90" i="49"/>
  <c r="I56" i="49" s="1"/>
  <c r="I89" i="49"/>
  <c r="E109" i="49"/>
  <c r="E108" i="49"/>
  <c r="E107" i="49"/>
  <c r="E106" i="49"/>
  <c r="E105" i="49"/>
  <c r="E104" i="49"/>
  <c r="E103" i="49"/>
  <c r="E102" i="49"/>
  <c r="E101" i="49"/>
  <c r="E100" i="49"/>
  <c r="E99" i="49"/>
  <c r="E98" i="49"/>
  <c r="E97" i="49"/>
  <c r="E96" i="49"/>
  <c r="E95" i="49"/>
  <c r="E94" i="49"/>
  <c r="E93" i="49"/>
  <c r="E92" i="49"/>
  <c r="E91" i="49"/>
  <c r="E90" i="49"/>
  <c r="E89" i="49"/>
  <c r="E57" i="49" l="1"/>
  <c r="E61" i="49"/>
  <c r="E65" i="49"/>
  <c r="E69" i="49"/>
  <c r="E73" i="49"/>
  <c r="I69" i="49"/>
  <c r="G59" i="48" s="1"/>
  <c r="G27" i="48" s="1"/>
  <c r="I61" i="49"/>
  <c r="G51" i="48" s="1"/>
  <c r="G19" i="48" s="1"/>
  <c r="I65" i="49"/>
  <c r="G55" i="48" s="1"/>
  <c r="G23" i="48" s="1"/>
  <c r="I73" i="49"/>
  <c r="E58" i="49"/>
  <c r="E66" i="49"/>
  <c r="E70" i="49"/>
  <c r="E62" i="49"/>
  <c r="E74" i="49"/>
  <c r="I58" i="49"/>
  <c r="G48" i="48" s="1"/>
  <c r="G16" i="48" s="1"/>
  <c r="I74" i="49"/>
  <c r="G64" i="48" s="1"/>
  <c r="G32" i="48" s="1"/>
  <c r="I62" i="49"/>
  <c r="G52" i="48" s="1"/>
  <c r="G20" i="48" s="1"/>
  <c r="I66" i="49"/>
  <c r="G56" i="48" s="1"/>
  <c r="G24" i="48" s="1"/>
  <c r="I70" i="49"/>
  <c r="G60" i="48" s="1"/>
  <c r="G28" i="48" s="1"/>
  <c r="I55" i="49"/>
  <c r="I59" i="49"/>
  <c r="I63" i="49"/>
  <c r="G53" i="48" s="1"/>
  <c r="G21" i="48" s="1"/>
  <c r="I67" i="49"/>
  <c r="I71" i="49"/>
  <c r="I75" i="49"/>
  <c r="E55" i="49"/>
  <c r="E59" i="49"/>
  <c r="E63" i="49"/>
  <c r="E67" i="49"/>
  <c r="E71" i="49"/>
  <c r="E75" i="49"/>
  <c r="E56" i="49"/>
  <c r="E60" i="49"/>
  <c r="E64" i="49"/>
  <c r="E68" i="49"/>
  <c r="E72" i="49"/>
  <c r="E37" i="11"/>
  <c r="C120" i="48"/>
  <c r="E120" i="48" s="1"/>
  <c r="C119" i="48"/>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406" i="49"/>
  <c r="F405" i="49"/>
  <c r="F404" i="49"/>
  <c r="F403" i="49"/>
  <c r="F402" i="49"/>
  <c r="F401" i="49"/>
  <c r="F400" i="49"/>
  <c r="F399" i="49"/>
  <c r="F398" i="49"/>
  <c r="F397" i="49"/>
  <c r="F396" i="49"/>
  <c r="F395" i="49"/>
  <c r="F394" i="49"/>
  <c r="F393" i="49"/>
  <c r="F392" i="49"/>
  <c r="F391" i="49"/>
  <c r="F390" i="49"/>
  <c r="F389" i="49"/>
  <c r="F388" i="49"/>
  <c r="J386" i="49"/>
  <c r="K386" i="49" s="1"/>
  <c r="K384" i="49"/>
  <c r="J384" i="49"/>
  <c r="I384" i="49"/>
  <c r="H384" i="49"/>
  <c r="G384" i="49"/>
  <c r="F384" i="49"/>
  <c r="E384" i="49"/>
  <c r="D384" i="49"/>
  <c r="K383" i="49"/>
  <c r="J383" i="49"/>
  <c r="I383" i="49"/>
  <c r="H383" i="49"/>
  <c r="G383" i="49"/>
  <c r="F383" i="49"/>
  <c r="E383" i="49"/>
  <c r="D383" i="49"/>
  <c r="G382" i="49"/>
  <c r="F373" i="49"/>
  <c r="F372" i="49"/>
  <c r="F371" i="49"/>
  <c r="F370" i="49"/>
  <c r="F369" i="49"/>
  <c r="F368" i="49"/>
  <c r="F367" i="49"/>
  <c r="F366" i="49"/>
  <c r="F365" i="49"/>
  <c r="F364" i="49"/>
  <c r="F363" i="49"/>
  <c r="F362" i="49"/>
  <c r="F361" i="49"/>
  <c r="F360" i="49"/>
  <c r="F359" i="49"/>
  <c r="F358" i="49"/>
  <c r="F357" i="49"/>
  <c r="F356" i="49"/>
  <c r="F355" i="49"/>
  <c r="F354" i="49"/>
  <c r="F353" i="49"/>
  <c r="J352" i="49"/>
  <c r="K351" i="49"/>
  <c r="J351" i="49"/>
  <c r="I351" i="49"/>
  <c r="H351" i="49"/>
  <c r="G351" i="49"/>
  <c r="F351" i="49"/>
  <c r="E351" i="49"/>
  <c r="D351" i="49"/>
  <c r="K350" i="49"/>
  <c r="J350" i="49"/>
  <c r="I350" i="49"/>
  <c r="H350" i="49"/>
  <c r="G350" i="49"/>
  <c r="F350" i="49"/>
  <c r="E350" i="49"/>
  <c r="D350" i="49"/>
  <c r="G349" i="49"/>
  <c r="F340" i="49"/>
  <c r="F339" i="49"/>
  <c r="F338" i="49"/>
  <c r="F337" i="49"/>
  <c r="F336" i="49"/>
  <c r="F335" i="49"/>
  <c r="F334" i="49"/>
  <c r="F333" i="49"/>
  <c r="F332" i="49"/>
  <c r="F331" i="49"/>
  <c r="F330" i="49"/>
  <c r="F329" i="49"/>
  <c r="F328" i="49"/>
  <c r="F327" i="49"/>
  <c r="F326" i="49"/>
  <c r="F325" i="49"/>
  <c r="F324" i="49"/>
  <c r="F323" i="49"/>
  <c r="F322" i="49"/>
  <c r="F321" i="49"/>
  <c r="F320" i="49"/>
  <c r="K318" i="49"/>
  <c r="J318" i="49"/>
  <c r="I318" i="49"/>
  <c r="H318" i="49"/>
  <c r="G318" i="49"/>
  <c r="F318" i="49"/>
  <c r="E318" i="49"/>
  <c r="D318" i="49"/>
  <c r="K317" i="49"/>
  <c r="J317" i="49"/>
  <c r="I317" i="49"/>
  <c r="H317" i="49"/>
  <c r="G317" i="49"/>
  <c r="F317" i="49"/>
  <c r="E317" i="49"/>
  <c r="D317" i="49"/>
  <c r="G316" i="49"/>
  <c r="F307" i="49"/>
  <c r="F306" i="49"/>
  <c r="F305" i="49"/>
  <c r="F304" i="49"/>
  <c r="F303" i="49"/>
  <c r="F302" i="49"/>
  <c r="F301" i="49"/>
  <c r="F300" i="49"/>
  <c r="F299" i="49"/>
  <c r="F298" i="49"/>
  <c r="F297" i="49"/>
  <c r="F296" i="49"/>
  <c r="F295" i="49"/>
  <c r="F294" i="49"/>
  <c r="F293" i="49"/>
  <c r="F292" i="49"/>
  <c r="F291" i="49"/>
  <c r="F290" i="49"/>
  <c r="F289" i="49"/>
  <c r="F288" i="49"/>
  <c r="F287" i="49"/>
  <c r="J286" i="49"/>
  <c r="K285" i="49"/>
  <c r="J285" i="49"/>
  <c r="I285" i="49"/>
  <c r="H285" i="49"/>
  <c r="G285" i="49"/>
  <c r="F285" i="49"/>
  <c r="E285" i="49"/>
  <c r="D285" i="49"/>
  <c r="K284" i="49"/>
  <c r="J284" i="49"/>
  <c r="I284" i="49"/>
  <c r="H284" i="49"/>
  <c r="G284" i="49"/>
  <c r="F284" i="49"/>
  <c r="E284" i="49"/>
  <c r="D284" i="49"/>
  <c r="G283" i="49"/>
  <c r="F273" i="49"/>
  <c r="F272" i="49"/>
  <c r="F271" i="49"/>
  <c r="F270" i="49"/>
  <c r="F269" i="49"/>
  <c r="F268" i="49"/>
  <c r="F267" i="49"/>
  <c r="F266" i="49"/>
  <c r="F265" i="49"/>
  <c r="F264" i="49"/>
  <c r="F263" i="49"/>
  <c r="F262" i="49"/>
  <c r="F261" i="49"/>
  <c r="F260" i="49"/>
  <c r="F259" i="49"/>
  <c r="F258" i="49"/>
  <c r="F256" i="49"/>
  <c r="F255" i="49"/>
  <c r="F254" i="49"/>
  <c r="J253" i="49"/>
  <c r="K252" i="49"/>
  <c r="J252" i="49"/>
  <c r="I252" i="49"/>
  <c r="H252" i="49"/>
  <c r="F252" i="49"/>
  <c r="E252" i="49"/>
  <c r="D252" i="49"/>
  <c r="K251" i="49"/>
  <c r="J251" i="49"/>
  <c r="I251" i="49"/>
  <c r="H251" i="49"/>
  <c r="F251" i="49"/>
  <c r="E251" i="49"/>
  <c r="D251" i="49"/>
  <c r="F241" i="49"/>
  <c r="F240" i="49"/>
  <c r="F239" i="49"/>
  <c r="F238" i="49"/>
  <c r="F237" i="49"/>
  <c r="F236" i="49"/>
  <c r="F235" i="49"/>
  <c r="F234" i="49"/>
  <c r="F233" i="49"/>
  <c r="F232" i="49"/>
  <c r="F231" i="49"/>
  <c r="F230" i="49"/>
  <c r="F229" i="49"/>
  <c r="F228" i="49"/>
  <c r="F227" i="49"/>
  <c r="F226" i="49"/>
  <c r="F225" i="49"/>
  <c r="F224" i="49"/>
  <c r="F223" i="49"/>
  <c r="F222" i="49"/>
  <c r="F221" i="49"/>
  <c r="J220" i="49"/>
  <c r="K219" i="49"/>
  <c r="J219" i="49"/>
  <c r="I219" i="49"/>
  <c r="H219" i="49"/>
  <c r="G219" i="49"/>
  <c r="F219" i="49"/>
  <c r="E219" i="49"/>
  <c r="D219" i="49"/>
  <c r="K218" i="49"/>
  <c r="J218" i="49"/>
  <c r="I218" i="49"/>
  <c r="H218" i="49"/>
  <c r="G218" i="49"/>
  <c r="F218" i="49"/>
  <c r="E218" i="49"/>
  <c r="D218" i="49"/>
  <c r="G217" i="49"/>
  <c r="F208" i="49"/>
  <c r="F207" i="49"/>
  <c r="F206" i="49"/>
  <c r="F205" i="49"/>
  <c r="F204" i="49"/>
  <c r="F203" i="49"/>
  <c r="F202" i="49"/>
  <c r="F201" i="49"/>
  <c r="F200" i="49"/>
  <c r="F198" i="49"/>
  <c r="F197" i="49"/>
  <c r="F196" i="49"/>
  <c r="F195" i="49"/>
  <c r="F194" i="49"/>
  <c r="F193" i="49"/>
  <c r="F192" i="49"/>
  <c r="F191" i="49"/>
  <c r="F190" i="49"/>
  <c r="F189" i="49"/>
  <c r="J187" i="49"/>
  <c r="K186" i="49"/>
  <c r="J186" i="49"/>
  <c r="I186" i="49"/>
  <c r="H186" i="49"/>
  <c r="G186" i="49"/>
  <c r="F186" i="49"/>
  <c r="E186" i="49"/>
  <c r="D186" i="49"/>
  <c r="K185" i="49"/>
  <c r="J185" i="49"/>
  <c r="I185" i="49"/>
  <c r="H185" i="49"/>
  <c r="G185" i="49"/>
  <c r="F185" i="49"/>
  <c r="E185" i="49"/>
  <c r="D185" i="49"/>
  <c r="G184" i="49"/>
  <c r="F175" i="49"/>
  <c r="F174" i="49"/>
  <c r="F173" i="49"/>
  <c r="F172" i="49"/>
  <c r="F171" i="49"/>
  <c r="F170" i="49"/>
  <c r="F169" i="49"/>
  <c r="F168" i="49"/>
  <c r="F167" i="49"/>
  <c r="F166" i="49"/>
  <c r="F165" i="49"/>
  <c r="F164" i="49"/>
  <c r="F163" i="49"/>
  <c r="F162" i="49"/>
  <c r="F161" i="49"/>
  <c r="F160" i="49"/>
  <c r="F159" i="49"/>
  <c r="F158" i="49"/>
  <c r="F157" i="49"/>
  <c r="F156" i="49"/>
  <c r="F155" i="49"/>
  <c r="J154" i="49"/>
  <c r="K153" i="49"/>
  <c r="J153" i="49"/>
  <c r="I153" i="49"/>
  <c r="H153" i="49"/>
  <c r="G153" i="49"/>
  <c r="F153" i="49"/>
  <c r="E153" i="49"/>
  <c r="D153" i="49"/>
  <c r="K152" i="49"/>
  <c r="J152" i="49"/>
  <c r="I152" i="49"/>
  <c r="H152" i="49"/>
  <c r="G152" i="49"/>
  <c r="F152" i="49"/>
  <c r="E152" i="49"/>
  <c r="D152" i="49"/>
  <c r="G151" i="49"/>
  <c r="F142" i="49"/>
  <c r="F141" i="49"/>
  <c r="F140" i="49"/>
  <c r="F139" i="49"/>
  <c r="F138" i="49"/>
  <c r="F137" i="49"/>
  <c r="F136" i="49"/>
  <c r="G58" i="48"/>
  <c r="G26" i="48" s="1"/>
  <c r="F135" i="49"/>
  <c r="F134" i="49"/>
  <c r="F133" i="49"/>
  <c r="F132" i="49"/>
  <c r="G54" i="48"/>
  <c r="G22"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G63" i="48"/>
  <c r="G31" i="48" s="1"/>
  <c r="F106" i="49"/>
  <c r="F105" i="49"/>
  <c r="F104" i="49"/>
  <c r="F103" i="49"/>
  <c r="F102" i="49"/>
  <c r="F101" i="49"/>
  <c r="F100" i="49"/>
  <c r="F98" i="49"/>
  <c r="F97" i="49"/>
  <c r="F96" i="49"/>
  <c r="F95" i="49"/>
  <c r="F94" i="49"/>
  <c r="F93" i="49"/>
  <c r="F92" i="49"/>
  <c r="G47" i="48"/>
  <c r="G15" i="48" s="1"/>
  <c r="F91" i="49"/>
  <c r="F90" i="49"/>
  <c r="F89" i="49"/>
  <c r="J88" i="49"/>
  <c r="K87" i="49"/>
  <c r="J87" i="49"/>
  <c r="I87" i="49"/>
  <c r="H87" i="49"/>
  <c r="G87" i="49"/>
  <c r="G417" i="49" s="1"/>
  <c r="F87" i="49"/>
  <c r="E87" i="49"/>
  <c r="D87" i="49"/>
  <c r="K86" i="49"/>
  <c r="J86" i="49"/>
  <c r="I86" i="49"/>
  <c r="H86" i="49"/>
  <c r="G86" i="49"/>
  <c r="G416" i="49" s="1"/>
  <c r="F86" i="49"/>
  <c r="E86" i="49"/>
  <c r="D86" i="49"/>
  <c r="G85" i="49"/>
  <c r="G415" i="49" s="1"/>
  <c r="F65" i="48"/>
  <c r="F33" i="48" s="1"/>
  <c r="E65" i="48"/>
  <c r="E33" i="48" s="1"/>
  <c r="F64" i="48"/>
  <c r="F32" i="48" s="1"/>
  <c r="E64" i="48"/>
  <c r="E32" i="48" s="1"/>
  <c r="F63" i="48"/>
  <c r="F31" i="48" s="1"/>
  <c r="E63" i="48"/>
  <c r="E31" i="48" s="1"/>
  <c r="G62" i="48"/>
  <c r="G30" i="48" s="1"/>
  <c r="F62" i="48"/>
  <c r="F30" i="48" s="1"/>
  <c r="E62" i="48"/>
  <c r="E30" i="48" s="1"/>
  <c r="F61" i="48"/>
  <c r="F29" i="48" s="1"/>
  <c r="E61" i="48"/>
  <c r="E29" i="48" s="1"/>
  <c r="F60" i="48"/>
  <c r="F28" i="48" s="1"/>
  <c r="E60" i="48"/>
  <c r="E28" i="48" s="1"/>
  <c r="F59" i="48"/>
  <c r="F27" i="48" s="1"/>
  <c r="E59" i="48"/>
  <c r="E27" i="48" s="1"/>
  <c r="F58" i="48"/>
  <c r="F26" i="48" s="1"/>
  <c r="E58" i="48"/>
  <c r="E26" i="48" s="1"/>
  <c r="F57" i="48"/>
  <c r="F25" i="48" s="1"/>
  <c r="E57" i="48"/>
  <c r="E25" i="48" s="1"/>
  <c r="F56" i="48"/>
  <c r="F24" i="48" s="1"/>
  <c r="E56" i="48"/>
  <c r="E24" i="48" s="1"/>
  <c r="F55" i="48"/>
  <c r="F23" i="48" s="1"/>
  <c r="E55" i="48"/>
  <c r="E23" i="48" s="1"/>
  <c r="F54" i="48"/>
  <c r="F22" i="48" s="1"/>
  <c r="E54" i="48"/>
  <c r="E22" i="48" s="1"/>
  <c r="F53" i="48"/>
  <c r="F21" i="48" s="1"/>
  <c r="E53" i="48"/>
  <c r="E21" i="48" s="1"/>
  <c r="F52" i="48"/>
  <c r="F20" i="48" s="1"/>
  <c r="E52" i="48"/>
  <c r="E20" i="48" s="1"/>
  <c r="F51" i="48"/>
  <c r="F19" i="48" s="1"/>
  <c r="E51" i="48"/>
  <c r="E19" i="48" s="1"/>
  <c r="G50" i="48"/>
  <c r="G18" i="48" s="1"/>
  <c r="F50" i="48"/>
  <c r="F18" i="48" s="1"/>
  <c r="E50" i="48"/>
  <c r="E18" i="48" s="1"/>
  <c r="F49" i="48"/>
  <c r="F17" i="48" s="1"/>
  <c r="E49" i="48"/>
  <c r="E17" i="48" s="1"/>
  <c r="F48" i="48"/>
  <c r="F16" i="48" s="1"/>
  <c r="E48" i="48"/>
  <c r="E16" i="48" s="1"/>
  <c r="F47" i="48"/>
  <c r="F15" i="48" s="1"/>
  <c r="E47" i="48"/>
  <c r="E15" i="48" s="1"/>
  <c r="G46" i="48"/>
  <c r="G14" i="48" s="1"/>
  <c r="F46" i="48"/>
  <c r="F14" i="48" s="1"/>
  <c r="E46" i="48"/>
  <c r="E14" i="48" s="1"/>
  <c r="F45" i="48"/>
  <c r="F13" i="48" s="1"/>
  <c r="E45" i="48"/>
  <c r="A14" i="49"/>
  <c r="A15" i="49" s="1"/>
  <c r="A16" i="49" s="1"/>
  <c r="A17" i="49" s="1"/>
  <c r="A18" i="49" s="1"/>
  <c r="A19" i="49" s="1"/>
  <c r="A20" i="49" s="1"/>
  <c r="A21" i="49" s="1"/>
  <c r="A22" i="49" s="1"/>
  <c r="A23" i="49" s="1"/>
  <c r="A24" i="49" s="1"/>
  <c r="A25" i="49" s="1"/>
  <c r="F59" i="49" l="1"/>
  <c r="F63" i="49"/>
  <c r="F68" i="49"/>
  <c r="F60" i="49"/>
  <c r="F64" i="49"/>
  <c r="F55" i="49"/>
  <c r="F67" i="49"/>
  <c r="F71" i="49"/>
  <c r="F69" i="49"/>
  <c r="F56" i="49"/>
  <c r="F61" i="49"/>
  <c r="F62" i="49"/>
  <c r="F70" i="49"/>
  <c r="F74" i="49"/>
  <c r="F57" i="49"/>
  <c r="F72" i="49"/>
  <c r="J254" i="49"/>
  <c r="E119" i="48"/>
  <c r="H13" i="48"/>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7" i="49"/>
  <c r="K287" i="49" s="1"/>
  <c r="J89" i="49"/>
  <c r="J122" i="49"/>
  <c r="K122" i="49" s="1"/>
  <c r="A26" i="49"/>
  <c r="A33" i="49" s="1"/>
  <c r="A34" i="49" s="1"/>
  <c r="A35" i="49" s="1"/>
  <c r="A36" i="49" s="1"/>
  <c r="A37" i="49" s="1"/>
  <c r="A38" i="49" s="1"/>
  <c r="A39" i="49" s="1"/>
  <c r="A40" i="49" s="1"/>
  <c r="A41" i="49" s="1"/>
  <c r="A42" i="49" s="1"/>
  <c r="A43" i="49" s="1"/>
  <c r="A44" i="49" s="1"/>
  <c r="A45" i="49" s="1"/>
  <c r="E57" i="7"/>
  <c r="E46" i="7"/>
  <c r="E53" i="7"/>
  <c r="J320" i="49"/>
  <c r="K320" i="49" s="1"/>
  <c r="J353" i="49"/>
  <c r="K353" i="49" s="1"/>
  <c r="J221" i="49"/>
  <c r="K221" i="49" s="1"/>
  <c r="J188" i="49"/>
  <c r="K188" i="49" s="1"/>
  <c r="E16" i="71"/>
  <c r="F33" i="11"/>
  <c r="E15" i="71"/>
  <c r="F32" i="11"/>
  <c r="E17" i="71"/>
  <c r="F34" i="11"/>
  <c r="E14" i="71"/>
  <c r="F31" i="11"/>
  <c r="J54" i="49"/>
  <c r="D46" i="7"/>
  <c r="E12" i="71"/>
  <c r="F29" i="11"/>
  <c r="E9" i="71"/>
  <c r="F26" i="11"/>
  <c r="E13" i="71"/>
  <c r="F30" i="11"/>
  <c r="E10" i="71"/>
  <c r="F27" i="11"/>
  <c r="E11" i="71"/>
  <c r="F28" i="11"/>
  <c r="J387" i="49"/>
  <c r="P95" i="48"/>
  <c r="P78" i="48"/>
  <c r="F74" i="48"/>
  <c r="E44" i="48"/>
  <c r="E13" i="48"/>
  <c r="P92" i="48"/>
  <c r="P79" i="48"/>
  <c r="P87" i="48"/>
  <c r="P94" i="48"/>
  <c r="P54" i="48"/>
  <c r="G44" i="48"/>
  <c r="P50" i="48"/>
  <c r="P57" i="48"/>
  <c r="P84" i="48"/>
  <c r="P93" i="48"/>
  <c r="P49" i="48"/>
  <c r="P56" i="48"/>
  <c r="P58" i="48"/>
  <c r="P85" i="48"/>
  <c r="P91" i="48"/>
  <c r="F75" i="48"/>
  <c r="F44" i="48"/>
  <c r="O15" i="48"/>
  <c r="I76" i="48"/>
  <c r="P89" i="48"/>
  <c r="P60" i="48"/>
  <c r="P65" i="48"/>
  <c r="P76" i="48"/>
  <c r="P82" i="48"/>
  <c r="P83" i="48"/>
  <c r="P20" i="48" s="1"/>
  <c r="O28" i="48"/>
  <c r="E42" i="48"/>
  <c r="P46" i="48"/>
  <c r="P64" i="48"/>
  <c r="P77" i="48"/>
  <c r="O14" i="48"/>
  <c r="O20" i="48"/>
  <c r="P48" i="48"/>
  <c r="P62" i="48"/>
  <c r="P80" i="48"/>
  <c r="P61" i="48"/>
  <c r="P53" i="48"/>
  <c r="P45" i="48"/>
  <c r="P96" i="48"/>
  <c r="P88" i="48"/>
  <c r="P59" i="48"/>
  <c r="P51" i="48"/>
  <c r="P63" i="48"/>
  <c r="P47" i="48"/>
  <c r="P86" i="48"/>
  <c r="P90" i="48"/>
  <c r="E74" i="48"/>
  <c r="E43" i="48"/>
  <c r="P81" i="48"/>
  <c r="O16" i="48"/>
  <c r="O32" i="48"/>
  <c r="G43" i="48"/>
  <c r="O22" i="48"/>
  <c r="O30" i="48"/>
  <c r="F257" i="49"/>
  <c r="F58" i="49" s="1"/>
  <c r="F274" i="49"/>
  <c r="F75" i="49" s="1"/>
  <c r="G57" i="48"/>
  <c r="G25" i="48" s="1"/>
  <c r="G61" i="48"/>
  <c r="G29" i="48" s="1"/>
  <c r="F107" i="49"/>
  <c r="F73" i="49" s="1"/>
  <c r="G65" i="48"/>
  <c r="G33" i="48" s="1"/>
  <c r="G45" i="48"/>
  <c r="K45" i="48" s="1"/>
  <c r="N45" i="48" s="1"/>
  <c r="F199" i="49"/>
  <c r="F66" i="49" s="1"/>
  <c r="F99" i="49"/>
  <c r="F65" i="49" s="1"/>
  <c r="G49" i="48"/>
  <c r="G17" i="48" s="1"/>
  <c r="J155" i="49"/>
  <c r="K155" i="49" s="1"/>
  <c r="K89" i="49" l="1"/>
  <c r="J55" i="49"/>
  <c r="E20" i="71"/>
  <c r="J90" i="49"/>
  <c r="F37" i="11"/>
  <c r="M13" i="48"/>
  <c r="J388" i="49"/>
  <c r="K388" i="49" s="1"/>
  <c r="K387" i="49"/>
  <c r="J321" i="49"/>
  <c r="K321" i="49" s="1"/>
  <c r="J255" i="49"/>
  <c r="K255" i="49" s="1"/>
  <c r="K254" i="49"/>
  <c r="P24" i="48"/>
  <c r="J288" i="49"/>
  <c r="K288"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9" i="49"/>
  <c r="K189"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54" i="49"/>
  <c r="K354" i="49" s="1"/>
  <c r="J222" i="49"/>
  <c r="K222" i="49" s="1"/>
  <c r="G13" i="48"/>
  <c r="P32" i="48"/>
  <c r="P30" i="48"/>
  <c r="P13" i="48"/>
  <c r="P15" i="48"/>
  <c r="K46" i="48"/>
  <c r="P29" i="48"/>
  <c r="P19" i="48"/>
  <c r="P31" i="48"/>
  <c r="P25" i="48"/>
  <c r="P17" i="48"/>
  <c r="P26" i="48"/>
  <c r="P22" i="48"/>
  <c r="P21" i="48"/>
  <c r="P16" i="48"/>
  <c r="P18" i="48"/>
  <c r="P23" i="48"/>
  <c r="P33" i="48"/>
  <c r="P14" i="48"/>
  <c r="P27" i="48"/>
  <c r="J76" i="48"/>
  <c r="J13" i="48" s="1"/>
  <c r="I13" i="48"/>
  <c r="J156" i="49"/>
  <c r="K156" i="49" s="1"/>
  <c r="K47" i="48" l="1"/>
  <c r="K55" i="49"/>
  <c r="K90" i="49"/>
  <c r="J56" i="49"/>
  <c r="J91" i="49"/>
  <c r="G19" i="71"/>
  <c r="J289" i="49"/>
  <c r="K289" i="49" s="1"/>
  <c r="J389" i="49"/>
  <c r="K389" i="49" s="1"/>
  <c r="J256" i="49"/>
  <c r="K256" i="49" s="1"/>
  <c r="J322" i="49"/>
  <c r="K322" i="49" s="1"/>
  <c r="J124" i="49"/>
  <c r="K124" i="49" s="1"/>
  <c r="K123" i="49"/>
  <c r="P37" i="48"/>
  <c r="D41" i="57" s="1"/>
  <c r="J223" i="49"/>
  <c r="A107" i="48"/>
  <c r="A111" i="48" s="1"/>
  <c r="G72" i="48"/>
  <c r="J190" i="49"/>
  <c r="K190" i="49" s="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55" i="49"/>
  <c r="K355" i="49" s="1"/>
  <c r="K76" i="48"/>
  <c r="N76" i="48" s="1"/>
  <c r="N13" i="48" s="1"/>
  <c r="J157" i="49"/>
  <c r="K157" i="49" s="1"/>
  <c r="K48" i="48" l="1"/>
  <c r="J57" i="49"/>
  <c r="K56" i="49"/>
  <c r="J92" i="49"/>
  <c r="J93" i="49" s="1"/>
  <c r="K91" i="49"/>
  <c r="K57" i="49" s="1"/>
  <c r="J290" i="49"/>
  <c r="K290" i="49" s="1"/>
  <c r="J390" i="49"/>
  <c r="K390" i="49" s="1"/>
  <c r="J257" i="49"/>
  <c r="K257" i="49" s="1"/>
  <c r="J323" i="49"/>
  <c r="K323" i="49" s="1"/>
  <c r="J125" i="49"/>
  <c r="K125" i="49" s="1"/>
  <c r="J224" i="49"/>
  <c r="K224" i="49" s="1"/>
  <c r="K223" i="49"/>
  <c r="J356" i="49"/>
  <c r="K356" i="49" s="1"/>
  <c r="J191"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77" i="48"/>
  <c r="K14" i="48" s="1"/>
  <c r="K13" i="48"/>
  <c r="H72" i="48"/>
  <c r="J158" i="49"/>
  <c r="K158" i="49" s="1"/>
  <c r="J291" i="49"/>
  <c r="K291" i="49" s="1"/>
  <c r="K49" i="48" l="1"/>
  <c r="K78" i="48"/>
  <c r="K15" i="48" s="1"/>
  <c r="J258" i="49"/>
  <c r="K258" i="49" s="1"/>
  <c r="K93" i="49"/>
  <c r="K92" i="49"/>
  <c r="J58" i="49"/>
  <c r="J225" i="49"/>
  <c r="K225" i="49" s="1"/>
  <c r="J391" i="49"/>
  <c r="K391" i="49" s="1"/>
  <c r="J324" i="49"/>
  <c r="K324" i="49" s="1"/>
  <c r="J126" i="49"/>
  <c r="K126" i="49" s="1"/>
  <c r="J192" i="49"/>
  <c r="K192" i="49" s="1"/>
  <c r="K191" i="49"/>
  <c r="J357" i="49"/>
  <c r="K357" i="49" s="1"/>
  <c r="A154" i="49"/>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A178" i="49" s="1"/>
  <c r="A179" i="49" s="1"/>
  <c r="H27" i="11"/>
  <c r="G10" i="71"/>
  <c r="J292" i="49"/>
  <c r="K292" i="49" s="1"/>
  <c r="J159" i="49"/>
  <c r="K159" i="49" s="1"/>
  <c r="J94" i="49"/>
  <c r="J259" i="49" l="1"/>
  <c r="K259" i="49" s="1"/>
  <c r="J226" i="49"/>
  <c r="K226" i="49" s="1"/>
  <c r="K50" i="48"/>
  <c r="K79" i="48"/>
  <c r="K16" i="48" s="1"/>
  <c r="K94" i="49"/>
  <c r="K58" i="49"/>
  <c r="J59" i="49"/>
  <c r="K59" i="49"/>
  <c r="J392" i="49"/>
  <c r="K392" i="49" s="1"/>
  <c r="J325" i="49"/>
  <c r="K325" i="49" s="1"/>
  <c r="J193" i="49"/>
  <c r="K193" i="49" s="1"/>
  <c r="J127" i="49"/>
  <c r="K127" i="49" s="1"/>
  <c r="J358" i="49"/>
  <c r="K358" i="49" s="1"/>
  <c r="A187" i="49"/>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A211" i="49" s="1"/>
  <c r="A212" i="49" s="1"/>
  <c r="G11" i="71"/>
  <c r="H28" i="11"/>
  <c r="A119" i="48"/>
  <c r="J72" i="48"/>
  <c r="J293" i="49"/>
  <c r="K293" i="49" s="1"/>
  <c r="J227" i="49"/>
  <c r="K227" i="49" s="1"/>
  <c r="J95" i="49"/>
  <c r="J160" i="49"/>
  <c r="K160" i="49" s="1"/>
  <c r="J260" i="49"/>
  <c r="K260" i="49" s="1"/>
  <c r="K51" i="48" l="1"/>
  <c r="K80" i="48"/>
  <c r="K17" i="48" s="1"/>
  <c r="J60" i="49"/>
  <c r="K95" i="49"/>
  <c r="K60" i="49"/>
  <c r="J393" i="49"/>
  <c r="K393" i="49" s="1"/>
  <c r="J326" i="49"/>
  <c r="K326" i="49" s="1"/>
  <c r="J194" i="49"/>
  <c r="K194" i="49" s="1"/>
  <c r="J128" i="49"/>
  <c r="K128" i="49" s="1"/>
  <c r="J359" i="49"/>
  <c r="A220" i="49"/>
  <c r="A221" i="49" s="1"/>
  <c r="A222" i="49" s="1"/>
  <c r="A223" i="49" s="1"/>
  <c r="A224" i="49" s="1"/>
  <c r="A225" i="49" s="1"/>
  <c r="A226" i="49" s="1"/>
  <c r="A227" i="49" s="1"/>
  <c r="A228" i="49" s="1"/>
  <c r="A229" i="49" s="1"/>
  <c r="A230" i="49" s="1"/>
  <c r="A231" i="49" s="1"/>
  <c r="A232" i="49" s="1"/>
  <c r="A233" i="49" s="1"/>
  <c r="A234" i="49" s="1"/>
  <c r="A235" i="49" s="1"/>
  <c r="A236" i="49" s="1"/>
  <c r="A237" i="49" s="1"/>
  <c r="A238" i="49" s="1"/>
  <c r="A239" i="49" s="1"/>
  <c r="A240" i="49" s="1"/>
  <c r="A241" i="49" s="1"/>
  <c r="G12" i="71"/>
  <c r="H29" i="11"/>
  <c r="A120" i="48"/>
  <c r="A121" i="48" s="1"/>
  <c r="A122" i="48" s="1"/>
  <c r="A123" i="48" s="1"/>
  <c r="A124" i="48" s="1"/>
  <c r="A125" i="48" s="1"/>
  <c r="A126" i="48" s="1"/>
  <c r="A127" i="48" s="1"/>
  <c r="A128" i="48" s="1"/>
  <c r="A129" i="48" s="1"/>
  <c r="A130" i="48" s="1"/>
  <c r="J228" i="49"/>
  <c r="K228" i="49" s="1"/>
  <c r="J294" i="49"/>
  <c r="K294" i="49" s="1"/>
  <c r="J261" i="49"/>
  <c r="K261" i="49" s="1"/>
  <c r="J96" i="49"/>
  <c r="J161" i="49"/>
  <c r="K161" i="49" s="1"/>
  <c r="K52" i="48" l="1"/>
  <c r="K81" i="48"/>
  <c r="K18" i="48" s="1"/>
  <c r="K96" i="49"/>
  <c r="J61" i="49"/>
  <c r="J394" i="49"/>
  <c r="K394" i="49" s="1"/>
  <c r="J327" i="49"/>
  <c r="K327" i="49" s="1"/>
  <c r="J195" i="49"/>
  <c r="K195" i="49" s="1"/>
  <c r="J360" i="49"/>
  <c r="K360" i="49" s="1"/>
  <c r="K359" i="49"/>
  <c r="K61" i="49" s="1"/>
  <c r="J129" i="49"/>
  <c r="K129" i="49" s="1"/>
  <c r="A242" i="49"/>
  <c r="A243" i="49" s="1"/>
  <c r="A244" i="49" s="1"/>
  <c r="A245"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A272" i="49" s="1"/>
  <c r="A273" i="49" s="1"/>
  <c r="A274" i="49" s="1"/>
  <c r="A275" i="49" s="1"/>
  <c r="F130" i="48"/>
  <c r="A131" i="48"/>
  <c r="A132" i="48" s="1"/>
  <c r="A133" i="48" s="1"/>
  <c r="F131" i="48"/>
  <c r="J162" i="49"/>
  <c r="K162" i="49" s="1"/>
  <c r="J295" i="49"/>
  <c r="K295" i="49" s="1"/>
  <c r="J97" i="49"/>
  <c r="J262" i="49"/>
  <c r="K262" i="49" s="1"/>
  <c r="J229" i="49"/>
  <c r="K229" i="49" s="1"/>
  <c r="K53" i="48" l="1"/>
  <c r="K82" i="48"/>
  <c r="K19" i="48" s="1"/>
  <c r="K97" i="49"/>
  <c r="J62" i="49"/>
  <c r="K62" i="49"/>
  <c r="J395" i="49"/>
  <c r="K395" i="49" s="1"/>
  <c r="J328" i="49"/>
  <c r="K328" i="49" s="1"/>
  <c r="J196" i="49"/>
  <c r="K196" i="49" s="1"/>
  <c r="J361" i="49"/>
  <c r="K361" i="49" s="1"/>
  <c r="J130" i="49"/>
  <c r="K130" i="49" s="1"/>
  <c r="F133" i="48"/>
  <c r="H30" i="11"/>
  <c r="A276" i="49"/>
  <c r="A277" i="49" s="1"/>
  <c r="A278"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A306" i="49" s="1"/>
  <c r="A307" i="49" s="1"/>
  <c r="A308" i="49" s="1"/>
  <c r="A309" i="49" s="1"/>
  <c r="A310" i="49" s="1"/>
  <c r="A311" i="49" s="1"/>
  <c r="G13" i="71"/>
  <c r="J230" i="49"/>
  <c r="K230" i="49" s="1"/>
  <c r="J296" i="49"/>
  <c r="K296" i="49" s="1"/>
  <c r="J263" i="49"/>
  <c r="K263" i="49" s="1"/>
  <c r="J163" i="49"/>
  <c r="J98" i="49"/>
  <c r="K54" i="48" l="1"/>
  <c r="K83" i="48"/>
  <c r="K20" i="48" s="1"/>
  <c r="J63" i="49"/>
  <c r="K98" i="49"/>
  <c r="J396" i="49"/>
  <c r="K396" i="49" s="1"/>
  <c r="J197" i="49"/>
  <c r="K197" i="49" s="1"/>
  <c r="J329" i="49"/>
  <c r="K329" i="49" s="1"/>
  <c r="J362" i="49"/>
  <c r="K362" i="49" s="1"/>
  <c r="J131" i="49"/>
  <c r="K131" i="49" s="1"/>
  <c r="K163" i="49"/>
  <c r="K63" i="49" s="1"/>
  <c r="H31" i="11"/>
  <c r="G14" i="71"/>
  <c r="A319" i="49"/>
  <c r="A320" i="49" s="1"/>
  <c r="A321" i="49" s="1"/>
  <c r="A322" i="49" s="1"/>
  <c r="A323" i="49" s="1"/>
  <c r="A324" i="49" s="1"/>
  <c r="A325" i="49" s="1"/>
  <c r="A326" i="49" s="1"/>
  <c r="A327" i="49" s="1"/>
  <c r="A328" i="49" s="1"/>
  <c r="A329" i="49" s="1"/>
  <c r="A330" i="49" s="1"/>
  <c r="A331" i="49" s="1"/>
  <c r="A332" i="49" s="1"/>
  <c r="A333" i="49" s="1"/>
  <c r="A334" i="49" s="1"/>
  <c r="A335" i="49" s="1"/>
  <c r="A336" i="49" s="1"/>
  <c r="A337" i="49" s="1"/>
  <c r="A338" i="49" s="1"/>
  <c r="A339" i="49" s="1"/>
  <c r="A340" i="49" s="1"/>
  <c r="G15" i="71"/>
  <c r="H32" i="11"/>
  <c r="J99" i="49"/>
  <c r="J164" i="49"/>
  <c r="J297" i="49"/>
  <c r="K297" i="49" s="1"/>
  <c r="J264" i="49"/>
  <c r="K264" i="49" s="1"/>
  <c r="J231" i="49"/>
  <c r="K231" i="49" s="1"/>
  <c r="K55" i="48" l="1"/>
  <c r="K84" i="48"/>
  <c r="K21" i="48" s="1"/>
  <c r="J198" i="49"/>
  <c r="K198" i="49" s="1"/>
  <c r="J397" i="49"/>
  <c r="K397" i="49" s="1"/>
  <c r="K99" i="49"/>
  <c r="J64" i="49"/>
  <c r="J132" i="49"/>
  <c r="K132" i="49" s="1"/>
  <c r="J330" i="49"/>
  <c r="K330" i="49" s="1"/>
  <c r="J363" i="49"/>
  <c r="K363" i="49" s="1"/>
  <c r="K164" i="49"/>
  <c r="K64" i="49" s="1"/>
  <c r="A341" i="49"/>
  <c r="A342" i="49" s="1"/>
  <c r="A343" i="49" s="1"/>
  <c r="A344" i="49" s="1"/>
  <c r="A352" i="49" s="1"/>
  <c r="A353" i="49" s="1"/>
  <c r="A354" i="49" s="1"/>
  <c r="A355" i="49" s="1"/>
  <c r="A356" i="49" s="1"/>
  <c r="A357" i="49" s="1"/>
  <c r="A358" i="49" s="1"/>
  <c r="A359" i="49" s="1"/>
  <c r="A360" i="49" s="1"/>
  <c r="A361" i="49" s="1"/>
  <c r="A362" i="49" s="1"/>
  <c r="A363" i="49" s="1"/>
  <c r="A364" i="49" s="1"/>
  <c r="A365" i="49" s="1"/>
  <c r="A366" i="49" s="1"/>
  <c r="A367" i="49" s="1"/>
  <c r="A368" i="49" s="1"/>
  <c r="A369" i="49" s="1"/>
  <c r="A370" i="49" s="1"/>
  <c r="A371" i="49" s="1"/>
  <c r="A372" i="49" s="1"/>
  <c r="A373" i="49" s="1"/>
  <c r="J199" i="49"/>
  <c r="K199" i="49" s="1"/>
  <c r="J232" i="49"/>
  <c r="K232" i="49" s="1"/>
  <c r="J298" i="49"/>
  <c r="K298" i="49" s="1"/>
  <c r="J265" i="49"/>
  <c r="K265" i="49" s="1"/>
  <c r="J100" i="49"/>
  <c r="J165" i="49"/>
  <c r="K165" i="49" s="1"/>
  <c r="K56" i="48" l="1"/>
  <c r="K85" i="48"/>
  <c r="K22" i="48" s="1"/>
  <c r="J398" i="49"/>
  <c r="K398" i="49" s="1"/>
  <c r="K100" i="49"/>
  <c r="J65" i="49"/>
  <c r="K65" i="49"/>
  <c r="H33" i="11"/>
  <c r="J331" i="49"/>
  <c r="K331" i="49" s="1"/>
  <c r="J133" i="49"/>
  <c r="K133" i="49" s="1"/>
  <c r="J364" i="49"/>
  <c r="K364" i="49" s="1"/>
  <c r="A374" i="49"/>
  <c r="A375" i="49" s="1"/>
  <c r="A376" i="49" s="1"/>
  <c r="A377" i="49" s="1"/>
  <c r="G17" i="71" s="1"/>
  <c r="G16" i="71"/>
  <c r="J101" i="49"/>
  <c r="J200" i="49"/>
  <c r="K200" i="49" s="1"/>
  <c r="J266" i="49"/>
  <c r="K266" i="49" s="1"/>
  <c r="J166" i="49"/>
  <c r="J299" i="49"/>
  <c r="K299" i="49" s="1"/>
  <c r="J233" i="49"/>
  <c r="K233" i="49" s="1"/>
  <c r="K57" i="48" l="1"/>
  <c r="J399" i="49"/>
  <c r="K399" i="49" s="1"/>
  <c r="K86" i="48"/>
  <c r="K23" i="48" s="1"/>
  <c r="K101" i="49"/>
  <c r="J66" i="49"/>
  <c r="J332" i="49"/>
  <c r="K332" i="49" s="1"/>
  <c r="J134" i="49"/>
  <c r="K134" i="49" s="1"/>
  <c r="J365" i="49"/>
  <c r="K365" i="49" s="1"/>
  <c r="K166" i="49"/>
  <c r="K66" i="49" s="1"/>
  <c r="H34" i="11"/>
  <c r="A385" i="49"/>
  <c r="A386" i="49" s="1"/>
  <c r="A387" i="49" s="1"/>
  <c r="A388" i="49" s="1"/>
  <c r="A389" i="49" s="1"/>
  <c r="A390" i="49" s="1"/>
  <c r="A391" i="49" s="1"/>
  <c r="A392" i="49" s="1"/>
  <c r="A393" i="49" s="1"/>
  <c r="A394" i="49" s="1"/>
  <c r="A395" i="49" s="1"/>
  <c r="A396" i="49" s="1"/>
  <c r="A397" i="49" s="1"/>
  <c r="A398" i="49" s="1"/>
  <c r="A399" i="49" s="1"/>
  <c r="A400" i="49" s="1"/>
  <c r="A401" i="49" s="1"/>
  <c r="A402" i="49" s="1"/>
  <c r="A403" i="49" s="1"/>
  <c r="A404" i="49" s="1"/>
  <c r="A405" i="49" s="1"/>
  <c r="A406" i="49" s="1"/>
  <c r="J300" i="49"/>
  <c r="K300" i="49" s="1"/>
  <c r="J267" i="49"/>
  <c r="K267" i="49" s="1"/>
  <c r="J102" i="49"/>
  <c r="J234" i="49"/>
  <c r="K234" i="49" s="1"/>
  <c r="J167" i="49"/>
  <c r="K167" i="49" s="1"/>
  <c r="J201" i="49"/>
  <c r="K201" i="49" s="1"/>
  <c r="J400" i="49"/>
  <c r="K400" i="49" s="1"/>
  <c r="K58" i="48" l="1"/>
  <c r="K87" i="48"/>
  <c r="K24" i="48" s="1"/>
  <c r="K102" i="49"/>
  <c r="J67" i="49"/>
  <c r="K67" i="49"/>
  <c r="J135" i="49"/>
  <c r="K135" i="49" s="1"/>
  <c r="J333" i="49"/>
  <c r="J366" i="49"/>
  <c r="K366" i="49" s="1"/>
  <c r="A407" i="49"/>
  <c r="A408" i="49" s="1"/>
  <c r="A409" i="49" s="1"/>
  <c r="A410"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A436" i="49" s="1"/>
  <c r="A437" i="49" s="1"/>
  <c r="A438" i="49" s="1"/>
  <c r="A439" i="49" s="1"/>
  <c r="A440" i="49" s="1"/>
  <c r="A441" i="49" s="1"/>
  <c r="A442" i="49" s="1"/>
  <c r="A443" i="49" s="1"/>
  <c r="J401" i="49"/>
  <c r="K401" i="49" s="1"/>
  <c r="J103" i="49"/>
  <c r="J168" i="49"/>
  <c r="K168" i="49" s="1"/>
  <c r="J301" i="49"/>
  <c r="K301" i="49" s="1"/>
  <c r="J202" i="49"/>
  <c r="K202" i="49" s="1"/>
  <c r="J235" i="49"/>
  <c r="K235" i="49" s="1"/>
  <c r="J268" i="49"/>
  <c r="K268" i="49" s="1"/>
  <c r="K59" i="48" l="1"/>
  <c r="K88" i="48"/>
  <c r="K25" i="48" s="1"/>
  <c r="J68" i="49"/>
  <c r="K103" i="49"/>
  <c r="J136" i="49"/>
  <c r="K136" i="49" s="1"/>
  <c r="K333" i="49"/>
  <c r="K68" i="49" s="1"/>
  <c r="J334" i="49"/>
  <c r="K334" i="49" s="1"/>
  <c r="G18" i="71"/>
  <c r="H35" i="11"/>
  <c r="J367" i="49"/>
  <c r="K367" i="49" s="1"/>
  <c r="J169" i="49"/>
  <c r="J104" i="49"/>
  <c r="J269" i="49"/>
  <c r="K269" i="49" s="1"/>
  <c r="J236" i="49"/>
  <c r="K236" i="49" s="1"/>
  <c r="J203" i="49"/>
  <c r="K203" i="49" s="1"/>
  <c r="J302" i="49"/>
  <c r="K302" i="49" s="1"/>
  <c r="J402" i="49"/>
  <c r="K402" i="49" s="1"/>
  <c r="K60" i="48" l="1"/>
  <c r="K89" i="48"/>
  <c r="K26" i="48" s="1"/>
  <c r="J69" i="49"/>
  <c r="K104" i="49"/>
  <c r="J137" i="49"/>
  <c r="K137" i="49" s="1"/>
  <c r="J335" i="49"/>
  <c r="K335" i="49" s="1"/>
  <c r="J368" i="49"/>
  <c r="K368" i="49" s="1"/>
  <c r="K169" i="49"/>
  <c r="K69" i="49" s="1"/>
  <c r="J237" i="49"/>
  <c r="K237" i="49" s="1"/>
  <c r="J270" i="49"/>
  <c r="K270" i="49" s="1"/>
  <c r="J105" i="49"/>
  <c r="J403" i="49"/>
  <c r="K403" i="49" s="1"/>
  <c r="J303" i="49"/>
  <c r="K303" i="49" s="1"/>
  <c r="J204" i="49"/>
  <c r="K204" i="49" s="1"/>
  <c r="J170" i="49"/>
  <c r="K170" i="49" s="1"/>
  <c r="K61" i="48" l="1"/>
  <c r="K90" i="48"/>
  <c r="K27" i="48" s="1"/>
  <c r="J70" i="49"/>
  <c r="K70" i="49"/>
  <c r="J138" i="49"/>
  <c r="K138" i="49" s="1"/>
  <c r="K105" i="49"/>
  <c r="J336" i="49"/>
  <c r="K336" i="49" s="1"/>
  <c r="J369" i="49"/>
  <c r="K369" i="49" s="1"/>
  <c r="J271" i="49"/>
  <c r="K271" i="49" s="1"/>
  <c r="J171" i="49"/>
  <c r="J238" i="49"/>
  <c r="K238" i="49" s="1"/>
  <c r="J337" i="49"/>
  <c r="K337" i="49" s="1"/>
  <c r="J304" i="49"/>
  <c r="K304" i="49" s="1"/>
  <c r="J404" i="49"/>
  <c r="K404" i="49" s="1"/>
  <c r="J205" i="49"/>
  <c r="K205" i="49" s="1"/>
  <c r="J106" i="49"/>
  <c r="K62" i="48" l="1"/>
  <c r="K91" i="48"/>
  <c r="K28" i="48" s="1"/>
  <c r="K106" i="49"/>
  <c r="J139" i="49"/>
  <c r="K139" i="49" s="1"/>
  <c r="J71" i="49"/>
  <c r="J370" i="49"/>
  <c r="K370" i="49" s="1"/>
  <c r="K171" i="49"/>
  <c r="K71" i="49" s="1"/>
  <c r="J405" i="49"/>
  <c r="K405" i="49" s="1"/>
  <c r="J239" i="49"/>
  <c r="K239" i="49" s="1"/>
  <c r="J107" i="49"/>
  <c r="J338" i="49"/>
  <c r="K338" i="49" s="1"/>
  <c r="J206" i="49"/>
  <c r="K206" i="49" s="1"/>
  <c r="J305" i="49"/>
  <c r="K305" i="49" s="1"/>
  <c r="J172" i="49"/>
  <c r="J272" i="49"/>
  <c r="K272" i="49" s="1"/>
  <c r="K63" i="48" l="1"/>
  <c r="J140" i="49"/>
  <c r="K140" i="49" s="1"/>
  <c r="K92" i="48"/>
  <c r="K29" i="48" s="1"/>
  <c r="J72" i="49"/>
  <c r="K107" i="49"/>
  <c r="J371" i="49"/>
  <c r="K371" i="49" s="1"/>
  <c r="K172" i="49"/>
  <c r="K72" i="49" s="1"/>
  <c r="J108" i="49"/>
  <c r="J207" i="49"/>
  <c r="K207" i="49" s="1"/>
  <c r="J173" i="49"/>
  <c r="K173" i="49" s="1"/>
  <c r="J141" i="49"/>
  <c r="K141" i="49" s="1"/>
  <c r="J273" i="49"/>
  <c r="K273" i="49" s="1"/>
  <c r="J240" i="49"/>
  <c r="K240" i="49" s="1"/>
  <c r="J306" i="49"/>
  <c r="K306" i="49" s="1"/>
  <c r="J339" i="49"/>
  <c r="K339" i="49" s="1"/>
  <c r="J406" i="49"/>
  <c r="K406" i="49" s="1"/>
  <c r="K64" i="48" l="1"/>
  <c r="K93" i="48"/>
  <c r="K30" i="48" s="1"/>
  <c r="J372" i="49"/>
  <c r="K372" i="49" s="1"/>
  <c r="K108" i="49"/>
  <c r="K73" i="49"/>
  <c r="J73" i="49"/>
  <c r="J407" i="49"/>
  <c r="K407" i="49" s="1"/>
  <c r="J174" i="49"/>
  <c r="K174" i="49" s="1"/>
  <c r="J274" i="49"/>
  <c r="K274" i="49" s="1"/>
  <c r="J340" i="49"/>
  <c r="K340" i="49" s="1"/>
  <c r="J307" i="49"/>
  <c r="K307" i="49" s="1"/>
  <c r="J142" i="49"/>
  <c r="K142" i="49" s="1"/>
  <c r="J109" i="49"/>
  <c r="J241" i="49"/>
  <c r="K241" i="49" s="1"/>
  <c r="J208" i="49"/>
  <c r="K208" i="49" s="1"/>
  <c r="J373" i="49" l="1"/>
  <c r="K373" i="49" s="1"/>
  <c r="K65" i="48"/>
  <c r="K94" i="48"/>
  <c r="K31" i="48" s="1"/>
  <c r="J74" i="49"/>
  <c r="K74" i="49"/>
  <c r="J110" i="49"/>
  <c r="K109" i="49"/>
  <c r="J408" i="49"/>
  <c r="K408" i="49" s="1"/>
  <c r="J374" i="49"/>
  <c r="K374" i="49" s="1"/>
  <c r="J341" i="49"/>
  <c r="K341" i="49" s="1"/>
  <c r="J308" i="49"/>
  <c r="K308" i="49" s="1"/>
  <c r="J275" i="49"/>
  <c r="K275" i="49" s="1"/>
  <c r="J242" i="49"/>
  <c r="K242" i="49" s="1"/>
  <c r="J209" i="49"/>
  <c r="K209" i="49" s="1"/>
  <c r="J143" i="49"/>
  <c r="K143" i="49" s="1"/>
  <c r="J175" i="49"/>
  <c r="K175" i="49" s="1"/>
  <c r="K66" i="48" l="1"/>
  <c r="K95" i="48"/>
  <c r="K32" i="48" s="1"/>
  <c r="K110" i="49"/>
  <c r="K75" i="49"/>
  <c r="J75" i="49"/>
  <c r="J111" i="49"/>
  <c r="J112" i="49" s="1"/>
  <c r="J409" i="49"/>
  <c r="J375" i="49"/>
  <c r="K375" i="49" s="1"/>
  <c r="J342" i="49"/>
  <c r="K342" i="49" s="1"/>
  <c r="J309" i="49"/>
  <c r="K309" i="49" s="1"/>
  <c r="J276" i="49"/>
  <c r="K276" i="49" s="1"/>
  <c r="J243" i="49"/>
  <c r="K243" i="49" s="1"/>
  <c r="J210" i="49"/>
  <c r="K210" i="49" s="1"/>
  <c r="J176" i="49"/>
  <c r="J76" i="49" s="1"/>
  <c r="J144" i="49"/>
  <c r="K144" i="49" s="1"/>
  <c r="K67" i="48" l="1"/>
  <c r="K96" i="48"/>
  <c r="K33" i="48" s="1"/>
  <c r="K112" i="49"/>
  <c r="K111" i="49"/>
  <c r="K409" i="49"/>
  <c r="K410" i="49" s="1"/>
  <c r="K176" i="49"/>
  <c r="K76" i="49" s="1"/>
  <c r="J376" i="49"/>
  <c r="K376" i="49" s="1"/>
  <c r="J343" i="49"/>
  <c r="K343" i="49" s="1"/>
  <c r="J310" i="49"/>
  <c r="K310" i="49" s="1"/>
  <c r="J277" i="49"/>
  <c r="K277" i="49" s="1"/>
  <c r="J244" i="49"/>
  <c r="K244" i="49" s="1"/>
  <c r="J211" i="49"/>
  <c r="K211" i="49" s="1"/>
  <c r="K212" i="49" s="1"/>
  <c r="J177" i="49"/>
  <c r="J77" i="49" s="1"/>
  <c r="J145" i="49"/>
  <c r="K145" i="49" s="1"/>
  <c r="K68" i="48" l="1"/>
  <c r="K97" i="48"/>
  <c r="K34" i="48" s="1"/>
  <c r="K113" i="49"/>
  <c r="G26" i="11" s="1"/>
  <c r="F18" i="71"/>
  <c r="G35" i="11"/>
  <c r="K177" i="49"/>
  <c r="K77" i="49" s="1"/>
  <c r="K245" i="49"/>
  <c r="K311" i="49"/>
  <c r="K377" i="49"/>
  <c r="K146" i="49"/>
  <c r="K278" i="49"/>
  <c r="K344" i="49"/>
  <c r="J178" i="49"/>
  <c r="K178" i="49" s="1"/>
  <c r="K179" i="49" s="1"/>
  <c r="K98" i="48" l="1"/>
  <c r="K35" i="48" s="1"/>
  <c r="K78" i="49"/>
  <c r="J78" i="49"/>
  <c r="F9" i="71"/>
  <c r="K79" i="49"/>
  <c r="C42" i="57" s="1"/>
  <c r="E42" i="57" s="1"/>
  <c r="G28" i="11"/>
  <c r="F10" i="71"/>
  <c r="G27" i="11"/>
  <c r="G33" i="11"/>
  <c r="F16" i="71"/>
  <c r="F17" i="71"/>
  <c r="G34" i="11"/>
  <c r="F14" i="71"/>
  <c r="G31" i="11"/>
  <c r="G32" i="11"/>
  <c r="F15" i="71"/>
  <c r="G29" i="11"/>
  <c r="F12" i="71"/>
  <c r="F13" i="71"/>
  <c r="G30" i="11"/>
  <c r="I130" i="15"/>
  <c r="A130" i="15"/>
  <c r="I119" i="15"/>
  <c r="A103" i="15"/>
  <c r="A104" i="15" s="1"/>
  <c r="A105" i="15" s="1"/>
  <c r="A106" i="15" s="1"/>
  <c r="A107" i="15" s="1"/>
  <c r="A108" i="15" s="1"/>
  <c r="E94" i="15"/>
  <c r="A90" i="15"/>
  <c r="A91" i="15" s="1"/>
  <c r="I89" i="15"/>
  <c r="A82" i="15"/>
  <c r="A83" i="15" s="1"/>
  <c r="A84" i="15" s="1"/>
  <c r="A85" i="15" s="1"/>
  <c r="A86" i="15" s="1"/>
  <c r="I69" i="15"/>
  <c r="E74" i="15"/>
  <c r="I67" i="15"/>
  <c r="A31" i="15"/>
  <c r="A11" i="15"/>
  <c r="A12" i="15" s="1"/>
  <c r="A13" i="15" s="1"/>
  <c r="E14" i="15" s="1"/>
  <c r="K99" i="48" l="1"/>
  <c r="K36" i="48" s="1"/>
  <c r="K37" i="48"/>
  <c r="C41" i="57" s="1"/>
  <c r="E41" i="57" s="1"/>
  <c r="G130" i="15"/>
  <c r="A14" i="15"/>
  <c r="I26" i="1" s="1"/>
  <c r="G37" i="11"/>
  <c r="F11" i="71"/>
  <c r="F91" i="15"/>
  <c r="I91" i="15"/>
  <c r="A131" i="15"/>
  <c r="A132" i="15" s="1"/>
  <c r="E12" i="15" s="1"/>
  <c r="F71" i="15"/>
  <c r="A32" i="15"/>
  <c r="A33" i="15" s="1"/>
  <c r="A34" i="15" s="1"/>
  <c r="A35" i="15" s="1"/>
  <c r="A36" i="15" s="1"/>
  <c r="A37" i="15" s="1"/>
  <c r="A38" i="15" s="1"/>
  <c r="A40" i="15" s="1"/>
  <c r="A41" i="15" s="1"/>
  <c r="A42" i="15" s="1"/>
  <c r="A43" i="15" s="1"/>
  <c r="A44" i="15" s="1"/>
  <c r="A45" i="15" s="1"/>
  <c r="A46" i="15" s="1"/>
  <c r="I55" i="15"/>
  <c r="A94" i="15"/>
  <c r="E11" i="15"/>
  <c r="E135" i="15"/>
  <c r="G69" i="15" l="1"/>
  <c r="A15" i="15"/>
  <c r="A16" i="15" s="1"/>
  <c r="A17" i="15" s="1"/>
  <c r="A18" i="15" s="1"/>
  <c r="A19" i="15" s="1"/>
  <c r="A20" i="15" s="1"/>
  <c r="A21" i="15" s="1"/>
  <c r="A22" i="15" s="1"/>
  <c r="A23" i="15" s="1"/>
  <c r="A24" i="15" s="1"/>
  <c r="H23" i="8" s="1"/>
  <c r="E19" i="15"/>
  <c r="D82" i="7"/>
  <c r="A135" i="15"/>
  <c r="I132" i="15"/>
  <c r="E10" i="15"/>
  <c r="I71" i="15"/>
  <c r="F132" i="15"/>
  <c r="H130" i="15" l="1"/>
  <c r="H69" i="15"/>
  <c r="E69" i="15"/>
  <c r="G56" i="46" l="1"/>
  <c r="A10" i="22" l="1"/>
  <c r="A11" i="22" s="1"/>
  <c r="A12" i="22" s="1"/>
  <c r="A13" i="22" s="1"/>
  <c r="A14" i="22" s="1"/>
  <c r="A15" i="22" s="1"/>
  <c r="A16" i="22" s="1"/>
  <c r="A17" i="22" s="1"/>
  <c r="A18" i="22" s="1"/>
  <c r="A19" i="22" s="1"/>
  <c r="A20" i="22" s="1"/>
  <c r="A21" i="22" l="1"/>
  <c r="G23" i="22" s="1"/>
  <c r="D47" i="2" l="1"/>
  <c r="D48" i="2" s="1"/>
  <c r="D41" i="2"/>
  <c r="D42" i="2" s="1"/>
  <c r="D35" i="2"/>
  <c r="D36" i="2" s="1"/>
  <c r="F117" i="46" l="1"/>
  <c r="F116" i="46"/>
  <c r="F115" i="46"/>
  <c r="F118" i="46"/>
  <c r="F103" i="46"/>
  <c r="F87" i="46"/>
  <c r="F95" i="46"/>
  <c r="F97" i="46"/>
  <c r="F79" i="46"/>
  <c r="F93" i="46"/>
  <c r="F76" i="46"/>
  <c r="F74" i="46"/>
  <c r="F101" i="46"/>
  <c r="F83" i="46"/>
  <c r="F99" i="46"/>
  <c r="F90" i="46"/>
  <c r="F82" i="46"/>
  <c r="C29" i="46"/>
  <c r="L29" i="46"/>
  <c r="G29" i="46"/>
  <c r="E92" i="46" l="1"/>
  <c r="J29" i="46"/>
  <c r="C92" i="46" s="1"/>
  <c r="D92" i="46"/>
  <c r="E12" i="2" l="1"/>
  <c r="E11" i="2"/>
  <c r="E41" i="71"/>
  <c r="H27" i="8"/>
  <c r="H25" i="8"/>
  <c r="H9" i="8"/>
  <c r="H8" i="8"/>
  <c r="G27" i="32"/>
  <c r="G21" i="32"/>
  <c r="G13" i="32"/>
  <c r="B100" i="44"/>
  <c r="B194" i="71"/>
  <c r="F141" i="71"/>
  <c r="F140" i="71"/>
  <c r="D64" i="46"/>
  <c r="G69" i="8"/>
  <c r="G71" i="8"/>
  <c r="E51" i="7"/>
  <c r="E39" i="7"/>
  <c r="I136" i="1"/>
  <c r="I135" i="1"/>
  <c r="I132" i="1"/>
  <c r="I130" i="1"/>
  <c r="I128" i="1"/>
  <c r="I102" i="1"/>
  <c r="I32" i="1"/>
  <c r="I30" i="1"/>
  <c r="I22" i="1"/>
  <c r="I12" i="1"/>
  <c r="I11" i="1"/>
  <c r="F229" i="61" l="1"/>
  <c r="F230" i="61"/>
  <c r="F227" i="61"/>
  <c r="F233" i="61"/>
  <c r="J45" i="8" l="1"/>
  <c r="E71" i="8" l="1"/>
  <c r="C100" i="26" l="1"/>
  <c r="E19" i="55"/>
  <c r="E17" i="55"/>
  <c r="E18" i="55"/>
  <c r="I21" i="45"/>
  <c r="H57" i="26" l="1"/>
  <c r="F64" i="26"/>
  <c r="F49" i="22" l="1"/>
  <c r="I211" i="61"/>
  <c r="B112" i="12" l="1"/>
  <c r="K135" i="1" l="1"/>
  <c r="E27" i="12" l="1"/>
  <c r="E26" i="12"/>
  <c r="E25" i="12"/>
  <c r="H302" i="11" l="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F85" i="11" l="1"/>
  <c r="H85" i="11"/>
  <c r="G85" i="11"/>
  <c r="E95" i="11"/>
  <c r="G95" i="11" s="1"/>
  <c r="E97" i="11"/>
  <c r="G97" i="11" s="1"/>
  <c r="E99" i="11"/>
  <c r="G99" i="11" s="1"/>
  <c r="E101" i="11"/>
  <c r="G101" i="11" s="1"/>
  <c r="E103" i="11"/>
  <c r="G103" i="11" s="1"/>
  <c r="E105" i="11"/>
  <c r="G105" i="11" s="1"/>
  <c r="E94" i="11"/>
  <c r="G94" i="11" s="1"/>
  <c r="E96" i="11"/>
  <c r="G96" i="11" s="1"/>
  <c r="E98" i="11"/>
  <c r="G98" i="11" s="1"/>
  <c r="E100" i="11"/>
  <c r="G100" i="11" s="1"/>
  <c r="E102" i="11"/>
  <c r="G102" i="11" s="1"/>
  <c r="E104" i="11"/>
  <c r="G104" i="11" s="1"/>
  <c r="E106" i="11"/>
  <c r="G106" i="11" s="1"/>
  <c r="E107" i="11" l="1"/>
  <c r="G107" i="11"/>
  <c r="H19" i="8" l="1"/>
  <c r="E36" i="7"/>
  <c r="D37" i="7"/>
  <c r="G24" i="2"/>
  <c r="G22" i="2"/>
  <c r="E38" i="7" l="1"/>
  <c r="I21" i="1"/>
  <c r="J19" i="8"/>
  <c r="K22" i="1"/>
  <c r="D39" i="7"/>
  <c r="H18" i="8" l="1"/>
  <c r="F100" i="12"/>
  <c r="B108" i="12"/>
  <c r="E37" i="7" l="1"/>
  <c r="H20" i="8"/>
  <c r="I23" i="1" l="1"/>
  <c r="H6" i="8" l="1"/>
  <c r="I9" i="1" l="1"/>
  <c r="E24" i="2" l="1"/>
  <c r="E22" i="2"/>
  <c r="H7" i="8" l="1"/>
  <c r="I10" i="1" l="1"/>
  <c r="K86" i="1" l="1"/>
  <c r="B34" i="31" l="1"/>
  <c r="F44" i="26" l="1"/>
  <c r="F46" i="71" l="1"/>
  <c r="D53" i="71"/>
  <c r="A10" i="71"/>
  <c r="A11" i="71" s="1"/>
  <c r="A12" i="71" s="1"/>
  <c r="A13" i="71" s="1"/>
  <c r="A14" i="71" s="1"/>
  <c r="A15" i="71" s="1"/>
  <c r="A16" i="71" s="1"/>
  <c r="A17" i="71" s="1"/>
  <c r="A18" i="71" s="1"/>
  <c r="A19" i="71" s="1"/>
  <c r="D46" i="71"/>
  <c r="D38" i="7"/>
  <c r="J43" i="61"/>
  <c r="G12" i="2"/>
  <c r="C64" i="46"/>
  <c r="G57" i="26"/>
  <c r="G58" i="26" s="1"/>
  <c r="G37" i="26" s="1"/>
  <c r="D37" i="26" s="1"/>
  <c r="G6" i="26" s="1"/>
  <c r="H6" i="26" s="1"/>
  <c r="G11" i="2"/>
  <c r="H80" i="44"/>
  <c r="H77" i="44"/>
  <c r="H55" i="44"/>
  <c r="A14" i="44"/>
  <c r="A15" i="44" s="1"/>
  <c r="A16" i="44" s="1"/>
  <c r="A17" i="44" s="1"/>
  <c r="A18" i="44" s="1"/>
  <c r="A30" i="44" s="1"/>
  <c r="K21" i="1"/>
  <c r="E60" i="46"/>
  <c r="C56" i="46"/>
  <c r="L57" i="46"/>
  <c r="E120" i="46" s="1"/>
  <c r="I120" i="46" s="1"/>
  <c r="K56" i="46"/>
  <c r="G55" i="46"/>
  <c r="L55" i="46"/>
  <c r="E118" i="46" s="1"/>
  <c r="K55" i="46"/>
  <c r="D118" i="46" s="1"/>
  <c r="C55" i="46"/>
  <c r="G54" i="46"/>
  <c r="L54" i="46"/>
  <c r="E117" i="46" s="1"/>
  <c r="K54" i="46"/>
  <c r="D117" i="46" s="1"/>
  <c r="C54" i="46"/>
  <c r="G53" i="46"/>
  <c r="L53" i="46"/>
  <c r="E116" i="46" s="1"/>
  <c r="K53" i="46"/>
  <c r="D116" i="46" s="1"/>
  <c r="C53" i="46"/>
  <c r="G52" i="46"/>
  <c r="L56" i="46"/>
  <c r="E119" i="46" s="1"/>
  <c r="I119" i="46" s="1"/>
  <c r="K52" i="46"/>
  <c r="D115" i="46" s="1"/>
  <c r="C52" i="46"/>
  <c r="L42" i="46"/>
  <c r="E105" i="46" s="1"/>
  <c r="G41" i="46"/>
  <c r="G40" i="46"/>
  <c r="L40" i="46"/>
  <c r="C40" i="46"/>
  <c r="D102" i="46"/>
  <c r="G39" i="46"/>
  <c r="L39" i="46"/>
  <c r="C39" i="46"/>
  <c r="G38" i="46"/>
  <c r="L38" i="46"/>
  <c r="C38" i="46"/>
  <c r="D100" i="46"/>
  <c r="G37" i="46"/>
  <c r="L37" i="46"/>
  <c r="C37" i="46"/>
  <c r="G36" i="46"/>
  <c r="L36" i="46"/>
  <c r="C36" i="46"/>
  <c r="D98" i="46"/>
  <c r="H98" i="46" s="1"/>
  <c r="G35" i="46"/>
  <c r="L35" i="46"/>
  <c r="C35" i="46"/>
  <c r="G34" i="46"/>
  <c r="L34" i="46"/>
  <c r="C34" i="46"/>
  <c r="G33" i="46"/>
  <c r="L33" i="46"/>
  <c r="C33" i="46"/>
  <c r="G32" i="46"/>
  <c r="L32" i="46"/>
  <c r="C32" i="46"/>
  <c r="G31" i="46"/>
  <c r="L31" i="46"/>
  <c r="D94" i="46"/>
  <c r="C31" i="46"/>
  <c r="G30" i="46"/>
  <c r="L30" i="46"/>
  <c r="C30" i="46"/>
  <c r="G28" i="46"/>
  <c r="L28" i="46"/>
  <c r="D91" i="46"/>
  <c r="C28" i="46"/>
  <c r="G27" i="46"/>
  <c r="L27" i="46"/>
  <c r="D90" i="46"/>
  <c r="H90" i="46" s="1"/>
  <c r="C27" i="46"/>
  <c r="G26" i="46"/>
  <c r="L26" i="46"/>
  <c r="C26" i="46"/>
  <c r="L25" i="46"/>
  <c r="D88" i="46"/>
  <c r="C25" i="46"/>
  <c r="G24" i="46"/>
  <c r="L24" i="46"/>
  <c r="C24" i="46"/>
  <c r="G23" i="46"/>
  <c r="L23" i="46"/>
  <c r="C23" i="46"/>
  <c r="G22" i="46"/>
  <c r="L22" i="46"/>
  <c r="J22" i="46" s="1"/>
  <c r="D85" i="46"/>
  <c r="H85" i="46" s="1"/>
  <c r="C22" i="46"/>
  <c r="G21" i="46"/>
  <c r="L21" i="46"/>
  <c r="J21" i="46" s="1"/>
  <c r="D84" i="46"/>
  <c r="H84" i="46" s="1"/>
  <c r="C21" i="46"/>
  <c r="G20" i="46"/>
  <c r="L20" i="46"/>
  <c r="J20" i="46" s="1"/>
  <c r="D83" i="46"/>
  <c r="H83" i="46" s="1"/>
  <c r="C20" i="46"/>
  <c r="G19" i="46"/>
  <c r="L19" i="46"/>
  <c r="J19" i="46" s="1"/>
  <c r="D82" i="46"/>
  <c r="H82" i="46" s="1"/>
  <c r="C19" i="46"/>
  <c r="G18" i="46"/>
  <c r="L18" i="46"/>
  <c r="J18" i="46" s="1"/>
  <c r="D81" i="46"/>
  <c r="H81" i="46" s="1"/>
  <c r="C18" i="46"/>
  <c r="G17" i="46"/>
  <c r="L17" i="46"/>
  <c r="J17" i="46" s="1"/>
  <c r="D80" i="46"/>
  <c r="H80" i="46" s="1"/>
  <c r="C17" i="46"/>
  <c r="G16" i="46"/>
  <c r="L16" i="46"/>
  <c r="J16" i="46" s="1"/>
  <c r="D79" i="46"/>
  <c r="H79" i="46" s="1"/>
  <c r="C16" i="46"/>
  <c r="G15" i="46"/>
  <c r="L15" i="46"/>
  <c r="J15" i="46" s="1"/>
  <c r="D78" i="46"/>
  <c r="H78" i="46" s="1"/>
  <c r="C15" i="46"/>
  <c r="G14" i="46"/>
  <c r="L14" i="46"/>
  <c r="C14" i="46"/>
  <c r="G13" i="46"/>
  <c r="L13" i="46"/>
  <c r="D76" i="46"/>
  <c r="C13" i="46"/>
  <c r="G12" i="46"/>
  <c r="L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G11" i="46"/>
  <c r="E53" i="71"/>
  <c r="B55" i="54"/>
  <c r="C9" i="9"/>
  <c r="A5" i="31"/>
  <c r="E15" i="66"/>
  <c r="J25" i="8" s="1"/>
  <c r="F15" i="66"/>
  <c r="H43" i="26"/>
  <c r="D43" i="26" s="1"/>
  <c r="G12" i="26" s="1"/>
  <c r="H12" i="26" s="1"/>
  <c r="F53" i="22"/>
  <c r="D58" i="7"/>
  <c r="D54" i="7"/>
  <c r="F42" i="54"/>
  <c r="F39" i="54"/>
  <c r="F30" i="54"/>
  <c r="G21" i="2"/>
  <c r="J9" i="8"/>
  <c r="A8" i="2"/>
  <c r="A9" i="2" s="1"/>
  <c r="A10" i="2" s="1"/>
  <c r="A11" i="2" s="1"/>
  <c r="K128" i="1"/>
  <c r="J50" i="8" s="1"/>
  <c r="A11" i="7"/>
  <c r="A12" i="7" s="1"/>
  <c r="A13" i="7" s="1"/>
  <c r="A14" i="7" s="1"/>
  <c r="A15" i="7" s="1"/>
  <c r="A16" i="7" s="1"/>
  <c r="K32" i="1"/>
  <c r="I87" i="65"/>
  <c r="I86" i="65"/>
  <c r="I85" i="65"/>
  <c r="I83" i="65"/>
  <c r="A14" i="65"/>
  <c r="A15" i="65" s="1"/>
  <c r="A16" i="65" s="1"/>
  <c r="A17" i="65" s="1"/>
  <c r="A18" i="65" s="1"/>
  <c r="A19" i="65" s="1"/>
  <c r="A20" i="65" s="1"/>
  <c r="A21" i="65" s="1"/>
  <c r="A22" i="65" s="1"/>
  <c r="A23" i="65" s="1"/>
  <c r="G48" i="11"/>
  <c r="G47" i="11"/>
  <c r="G46" i="11"/>
  <c r="E46" i="11" s="1"/>
  <c r="E39" i="12" s="1"/>
  <c r="G60" i="11"/>
  <c r="G62" i="11"/>
  <c r="E70" i="12" s="1"/>
  <c r="G61" i="11"/>
  <c r="E69" i="12" s="1"/>
  <c r="E84" i="11"/>
  <c r="E83" i="11"/>
  <c r="E82" i="11"/>
  <c r="E81" i="11"/>
  <c r="E80" i="11"/>
  <c r="E79" i="11"/>
  <c r="E78" i="11"/>
  <c r="E77" i="11"/>
  <c r="E76" i="11"/>
  <c r="E75" i="11"/>
  <c r="E74" i="11"/>
  <c r="E73" i="11"/>
  <c r="E72" i="11"/>
  <c r="A25" i="12"/>
  <c r="A26" i="12" s="1"/>
  <c r="E231" i="61"/>
  <c r="I212" i="61"/>
  <c r="N187" i="61"/>
  <c r="N184" i="61"/>
  <c r="N182" i="61"/>
  <c r="N179" i="61"/>
  <c r="N178" i="61"/>
  <c r="N173" i="61"/>
  <c r="M173" i="61"/>
  <c r="L173" i="61"/>
  <c r="L220" i="61" s="1"/>
  <c r="E223" i="61" s="1"/>
  <c r="J173" i="61"/>
  <c r="I173" i="61"/>
  <c r="H173" i="61"/>
  <c r="G173" i="61"/>
  <c r="J153" i="61"/>
  <c r="H145" i="61"/>
  <c r="M109" i="61"/>
  <c r="N108" i="61"/>
  <c r="H82" i="61"/>
  <c r="N82" i="61" s="1"/>
  <c r="H81" i="61"/>
  <c r="H50" i="61"/>
  <c r="H70" i="61" s="1"/>
  <c r="G50" i="61"/>
  <c r="J49" i="61"/>
  <c r="M49" i="61" s="1"/>
  <c r="N48" i="61"/>
  <c r="N47" i="61"/>
  <c r="J46" i="61"/>
  <c r="M46" i="61" s="1"/>
  <c r="J45" i="61"/>
  <c r="M45" i="61" s="1"/>
  <c r="J44" i="61"/>
  <c r="M44" i="61" s="1"/>
  <c r="G18" i="61"/>
  <c r="I18" i="61" s="1"/>
  <c r="J17" i="61"/>
  <c r="M17" i="61" s="1"/>
  <c r="N16" i="61"/>
  <c r="J15" i="61"/>
  <c r="M15" i="61" s="1"/>
  <c r="G14" i="61"/>
  <c r="I14" i="61" s="1"/>
  <c r="J13" i="61"/>
  <c r="J12" i="61"/>
  <c r="M12" i="61" s="1"/>
  <c r="J11" i="61"/>
  <c r="J5" i="61"/>
  <c r="M5" i="61" s="1"/>
  <c r="G4" i="61"/>
  <c r="F48" i="11"/>
  <c r="F62" i="11"/>
  <c r="E46" i="71"/>
  <c r="A8" i="17"/>
  <c r="A9" i="17" s="1"/>
  <c r="A10" i="17" s="1"/>
  <c r="A11" i="17" s="1"/>
  <c r="A12" i="17" s="1"/>
  <c r="A13" i="17" s="1"/>
  <c r="A14" i="17" s="1"/>
  <c r="I103"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K12" i="57"/>
  <c r="J12" i="57"/>
  <c r="I12" i="57"/>
  <c r="H12" i="57"/>
  <c r="G12" i="57"/>
  <c r="F11" i="56"/>
  <c r="F10" i="56"/>
  <c r="A9" i="56"/>
  <c r="A10" i="56" s="1"/>
  <c r="F38" i="56"/>
  <c r="F25" i="56"/>
  <c r="F24" i="56"/>
  <c r="F23" i="56"/>
  <c r="F22" i="56"/>
  <c r="F21" i="56"/>
  <c r="F20" i="56"/>
  <c r="K30" i="1"/>
  <c r="K136" i="1"/>
  <c r="J58" i="8" s="1"/>
  <c r="A13" i="32"/>
  <c r="G14" i="32" s="1"/>
  <c r="A7" i="26"/>
  <c r="A8" i="26" s="1"/>
  <c r="A9" i="26" s="1"/>
  <c r="A10" i="26" s="1"/>
  <c r="A27" i="11"/>
  <c r="K102" i="1"/>
  <c r="A7" i="8"/>
  <c r="A8" i="8" s="1"/>
  <c r="A9" i="8" s="1"/>
  <c r="E27" i="32"/>
  <c r="K12" i="1"/>
  <c r="K130" i="1"/>
  <c r="F24" i="26"/>
  <c r="F27" i="12"/>
  <c r="F56" i="12" s="1"/>
  <c r="F26" i="12"/>
  <c r="F55" i="12" s="1"/>
  <c r="F25" i="12"/>
  <c r="F54" i="12" s="1"/>
  <c r="J44" i="8"/>
  <c r="F22" i="31"/>
  <c r="E22" i="31"/>
  <c r="D22" i="31"/>
  <c r="E20" i="26"/>
  <c r="F15" i="56"/>
  <c r="I58" i="61"/>
  <c r="F47" i="11"/>
  <c r="F61" i="11"/>
  <c r="A28" i="11"/>
  <c r="A29" i="11" s="1"/>
  <c r="A30" i="11" s="1"/>
  <c r="A31" i="11" s="1"/>
  <c r="A32" i="11" s="1"/>
  <c r="A33" i="11" s="1"/>
  <c r="A34" i="11" s="1"/>
  <c r="A35" i="11" s="1"/>
  <c r="A36" i="11" s="1"/>
  <c r="A37" i="11" s="1"/>
  <c r="I84" i="65"/>
  <c r="I88" i="65"/>
  <c r="L11" i="46"/>
  <c r="J11" i="46" s="1"/>
  <c r="D97" i="46"/>
  <c r="D99" i="46"/>
  <c r="L52" i="46"/>
  <c r="H64" i="44"/>
  <c r="A10" i="1"/>
  <c r="F53" i="71" l="1"/>
  <c r="C58" i="46"/>
  <c r="L58" i="46"/>
  <c r="E96" i="46"/>
  <c r="J33" i="46"/>
  <c r="C96" i="46" s="1"/>
  <c r="E103" i="46"/>
  <c r="I103" i="46" s="1"/>
  <c r="J40" i="46"/>
  <c r="E87" i="46"/>
  <c r="I87" i="46" s="1"/>
  <c r="J24" i="46"/>
  <c r="E88" i="46"/>
  <c r="I88" i="46" s="1"/>
  <c r="J25" i="46"/>
  <c r="E95" i="46"/>
  <c r="J32" i="46"/>
  <c r="C95" i="46" s="1"/>
  <c r="E100" i="46"/>
  <c r="I100" i="46" s="1"/>
  <c r="J37" i="46"/>
  <c r="C100" i="46" s="1"/>
  <c r="E101" i="46"/>
  <c r="I101" i="46" s="1"/>
  <c r="J38" i="46"/>
  <c r="E76" i="46"/>
  <c r="I76" i="46" s="1"/>
  <c r="J13" i="46"/>
  <c r="C76" i="46" s="1"/>
  <c r="E102" i="46"/>
  <c r="J39" i="46"/>
  <c r="C102" i="46" s="1"/>
  <c r="E86" i="46"/>
  <c r="I86" i="46" s="1"/>
  <c r="J23" i="46"/>
  <c r="C86" i="46" s="1"/>
  <c r="E93" i="46"/>
  <c r="J30" i="46"/>
  <c r="E94" i="46"/>
  <c r="J31" i="46"/>
  <c r="C94" i="46" s="1"/>
  <c r="E98" i="46"/>
  <c r="I98" i="46" s="1"/>
  <c r="J35" i="46"/>
  <c r="E99" i="46"/>
  <c r="I99" i="46" s="1"/>
  <c r="J36" i="46"/>
  <c r="C99" i="46" s="1"/>
  <c r="E75" i="46"/>
  <c r="I75" i="46" s="1"/>
  <c r="J12" i="46"/>
  <c r="E77" i="46"/>
  <c r="I77" i="46" s="1"/>
  <c r="J14" i="46"/>
  <c r="E89" i="46"/>
  <c r="I89" i="46" s="1"/>
  <c r="J26" i="46"/>
  <c r="C89" i="46" s="1"/>
  <c r="E90" i="46"/>
  <c r="I90" i="46" s="1"/>
  <c r="J27" i="46"/>
  <c r="C90" i="46" s="1"/>
  <c r="E91" i="46"/>
  <c r="J28" i="46"/>
  <c r="E97" i="46"/>
  <c r="I97" i="46" s="1"/>
  <c r="J34" i="46"/>
  <c r="H136" i="61"/>
  <c r="D119" i="46"/>
  <c r="H119" i="46" s="1"/>
  <c r="G119" i="46" s="1"/>
  <c r="J56" i="46"/>
  <c r="C119" i="46" s="1"/>
  <c r="E74" i="46"/>
  <c r="L43" i="46"/>
  <c r="C43" i="46"/>
  <c r="C60" i="46" s="1"/>
  <c r="E85" i="11"/>
  <c r="I81" i="61"/>
  <c r="I136" i="61" s="1"/>
  <c r="I145" i="61"/>
  <c r="H163" i="61"/>
  <c r="G82" i="61"/>
  <c r="M153" i="61"/>
  <c r="J163" i="61"/>
  <c r="I19" i="61"/>
  <c r="J14" i="61"/>
  <c r="M14" i="61" s="1"/>
  <c r="G16" i="61"/>
  <c r="I16" i="61" s="1"/>
  <c r="I12" i="61"/>
  <c r="J16" i="61"/>
  <c r="M16" i="61" s="1"/>
  <c r="J41" i="61"/>
  <c r="G15" i="61"/>
  <c r="I15" i="61" s="1"/>
  <c r="N12" i="61"/>
  <c r="I209" i="61"/>
  <c r="J52" i="8"/>
  <c r="N185" i="61"/>
  <c r="A41" i="46"/>
  <c r="A42" i="46" s="1"/>
  <c r="A43" i="46" s="1"/>
  <c r="E10" i="2"/>
  <c r="A24" i="65"/>
  <c r="F47" i="71"/>
  <c r="E54" i="7"/>
  <c r="A29" i="57"/>
  <c r="M108" i="61"/>
  <c r="J47" i="61"/>
  <c r="M47" i="61" s="1"/>
  <c r="E228" i="61" s="1"/>
  <c r="M54" i="61"/>
  <c r="N46" i="61"/>
  <c r="F40" i="56"/>
  <c r="M11" i="61"/>
  <c r="G20" i="2"/>
  <c r="A11" i="1"/>
  <c r="A12" i="1" s="1"/>
  <c r="A15" i="1" s="1"/>
  <c r="A16" i="1" s="1"/>
  <c r="A17" i="1" s="1"/>
  <c r="H14" i="8" s="1"/>
  <c r="E61" i="11"/>
  <c r="E55" i="12" s="1"/>
  <c r="I60" i="46"/>
  <c r="F42" i="56"/>
  <c r="F17" i="56"/>
  <c r="K20" i="57"/>
  <c r="E31" i="57" s="1"/>
  <c r="G152" i="61"/>
  <c r="N15" i="61"/>
  <c r="G45" i="61"/>
  <c r="I45" i="61" s="1"/>
  <c r="G11" i="61"/>
  <c r="N189" i="61"/>
  <c r="N5" i="61"/>
  <c r="M56" i="61"/>
  <c r="I53" i="61"/>
  <c r="G46" i="61"/>
  <c r="I46" i="61" s="1"/>
  <c r="M48" i="61"/>
  <c r="D86" i="46"/>
  <c r="H86" i="46" s="1"/>
  <c r="G86" i="46" s="1"/>
  <c r="F41" i="12"/>
  <c r="F39" i="12"/>
  <c r="F26" i="56"/>
  <c r="H24" i="8"/>
  <c r="I28" i="1"/>
  <c r="E62" i="11"/>
  <c r="E56" i="12" s="1"/>
  <c r="F40" i="12"/>
  <c r="E47" i="11"/>
  <c r="E40" i="12" s="1"/>
  <c r="E21" i="32"/>
  <c r="G20" i="57"/>
  <c r="C26" i="57" s="1"/>
  <c r="D96" i="46"/>
  <c r="N17" i="61"/>
  <c r="N14" i="61"/>
  <c r="I210" i="61"/>
  <c r="N18" i="61"/>
  <c r="G5" i="61"/>
  <c r="I5" i="61" s="1"/>
  <c r="N4" i="61"/>
  <c r="N183" i="61"/>
  <c r="N186" i="61"/>
  <c r="J42" i="61"/>
  <c r="M42" i="61" s="1"/>
  <c r="J50" i="61"/>
  <c r="M50" i="61" s="1"/>
  <c r="N13" i="61"/>
  <c r="N109" i="61"/>
  <c r="N136" i="61" s="1"/>
  <c r="G17" i="61"/>
  <c r="I17" i="61" s="1"/>
  <c r="G13" i="61"/>
  <c r="I13" i="61" s="1"/>
  <c r="N180" i="61"/>
  <c r="M144" i="61"/>
  <c r="N11" i="61"/>
  <c r="N181" i="61"/>
  <c r="N45" i="61"/>
  <c r="M57" i="61"/>
  <c r="M55" i="61"/>
  <c r="M53" i="61"/>
  <c r="G44" i="61"/>
  <c r="N50" i="61"/>
  <c r="N188" i="61"/>
  <c r="G47" i="61"/>
  <c r="I47" i="61" s="1"/>
  <c r="J4" i="61"/>
  <c r="J8" i="61" s="1"/>
  <c r="J52" i="61"/>
  <c r="M52" i="61" s="1"/>
  <c r="I89" i="65"/>
  <c r="F12" i="56"/>
  <c r="E13" i="32"/>
  <c r="H20" i="57"/>
  <c r="D26" i="57" s="1"/>
  <c r="E224" i="61"/>
  <c r="J55" i="46"/>
  <c r="C118" i="46" s="1"/>
  <c r="J53" i="46"/>
  <c r="C116" i="46" s="1"/>
  <c r="J54" i="46"/>
  <c r="C117" i="46" s="1"/>
  <c r="G90" i="46"/>
  <c r="C101" i="46"/>
  <c r="C98" i="46"/>
  <c r="C103" i="46"/>
  <c r="E48" i="11"/>
  <c r="E24" i="71"/>
  <c r="A12" i="2"/>
  <c r="A13" i="2" s="1"/>
  <c r="J20" i="57"/>
  <c r="D27" i="57" s="1"/>
  <c r="D28" i="57" s="1"/>
  <c r="I20" i="57"/>
  <c r="C27" i="57" s="1"/>
  <c r="D103" i="46"/>
  <c r="H103" i="46" s="1"/>
  <c r="G103" i="46" s="1"/>
  <c r="G24" i="26"/>
  <c r="A11" i="26"/>
  <c r="A12" i="26" s="1"/>
  <c r="A13" i="26" s="1"/>
  <c r="A14" i="26" s="1"/>
  <c r="A15" i="26" s="1"/>
  <c r="A16" i="26" s="1"/>
  <c r="A17" i="26" s="1"/>
  <c r="A18" i="26" s="1"/>
  <c r="A19" i="26" s="1"/>
  <c r="A20" i="26" s="1"/>
  <c r="J27" i="8"/>
  <c r="G13" i="2"/>
  <c r="G14" i="2" s="1"/>
  <c r="D101" i="46"/>
  <c r="H101" i="46" s="1"/>
  <c r="G101" i="46" s="1"/>
  <c r="M13" i="61"/>
  <c r="I50" i="61"/>
  <c r="M43" i="61"/>
  <c r="I4" i="61"/>
  <c r="K28" i="1"/>
  <c r="F20" i="17"/>
  <c r="K103" i="1"/>
  <c r="K104" i="1" s="1"/>
  <c r="E60" i="11"/>
  <c r="E54" i="12" s="1"/>
  <c r="E68" i="12"/>
  <c r="D24" i="71"/>
  <c r="C88" i="46"/>
  <c r="H20" i="26"/>
  <c r="F23" i="26" s="1"/>
  <c r="F25" i="26" s="1"/>
  <c r="H43" i="44"/>
  <c r="A15" i="17"/>
  <c r="A16" i="17" s="1"/>
  <c r="A17" i="17" s="1"/>
  <c r="A18" i="17" s="1"/>
  <c r="A19" i="17" s="1"/>
  <c r="A20" i="17" s="1"/>
  <c r="A21" i="17" s="1"/>
  <c r="A22" i="17" s="1"/>
  <c r="A23" i="17" s="1"/>
  <c r="C97" i="46"/>
  <c r="C91" i="46"/>
  <c r="H99" i="46"/>
  <c r="G99" i="46" s="1"/>
  <c r="H100" i="46"/>
  <c r="J52" i="46"/>
  <c r="C115" i="46" s="1"/>
  <c r="D74" i="46"/>
  <c r="H97" i="46"/>
  <c r="G97" i="46" s="1"/>
  <c r="H88" i="46"/>
  <c r="G88" i="46" s="1"/>
  <c r="H76" i="46"/>
  <c r="D60" i="46"/>
  <c r="C145" i="46" s="1"/>
  <c r="H57" i="46" s="1"/>
  <c r="H58" i="46" s="1"/>
  <c r="A17" i="7"/>
  <c r="A18" i="7" s="1"/>
  <c r="A19" i="7" s="1"/>
  <c r="A20" i="7" s="1"/>
  <c r="A21" i="7" s="1"/>
  <c r="A22" i="7" s="1"/>
  <c r="A23" i="7" s="1"/>
  <c r="A24" i="7" s="1"/>
  <c r="A25" i="7" s="1"/>
  <c r="G20" i="71"/>
  <c r="A20" i="71"/>
  <c r="B191" i="71" s="1"/>
  <c r="D75" i="46"/>
  <c r="C75" i="46"/>
  <c r="E78" i="46"/>
  <c r="C78" i="46"/>
  <c r="E79" i="46"/>
  <c r="I79" i="46" s="1"/>
  <c r="G79" i="46" s="1"/>
  <c r="C79" i="46"/>
  <c r="E80" i="46"/>
  <c r="C80" i="46"/>
  <c r="E81" i="46"/>
  <c r="I81" i="46" s="1"/>
  <c r="G81" i="46" s="1"/>
  <c r="C81" i="46"/>
  <c r="E82" i="46"/>
  <c r="C82" i="46"/>
  <c r="E83" i="46"/>
  <c r="I83" i="46" s="1"/>
  <c r="G83" i="46" s="1"/>
  <c r="C83" i="46"/>
  <c r="E84" i="46"/>
  <c r="C84" i="46"/>
  <c r="D89" i="46"/>
  <c r="D93" i="46"/>
  <c r="C93" i="46"/>
  <c r="D77" i="46"/>
  <c r="C77" i="46"/>
  <c r="E85" i="46"/>
  <c r="C85" i="46"/>
  <c r="D87" i="46"/>
  <c r="C87" i="46"/>
  <c r="D95" i="46"/>
  <c r="G98" i="46"/>
  <c r="I18" i="1"/>
  <c r="G77" i="44"/>
  <c r="A31" i="44"/>
  <c r="A46" i="11"/>
  <c r="H39" i="12" s="1"/>
  <c r="A12" i="8"/>
  <c r="A11" i="56"/>
  <c r="A12" i="56" s="1"/>
  <c r="E115" i="46"/>
  <c r="E141" i="71"/>
  <c r="E140" i="71"/>
  <c r="E69" i="8"/>
  <c r="A23" i="22"/>
  <c r="A14" i="32"/>
  <c r="A20" i="32" s="1"/>
  <c r="A27" i="12"/>
  <c r="D47" i="71"/>
  <c r="E47" i="71"/>
  <c r="E54" i="71"/>
  <c r="D54" i="71"/>
  <c r="A6" i="31"/>
  <c r="A7" i="31" s="1"/>
  <c r="A8" i="31" s="1"/>
  <c r="B39" i="31" s="1"/>
  <c r="E26" i="57" l="1"/>
  <c r="C28" i="57"/>
  <c r="E27" i="57"/>
  <c r="G100" i="46"/>
  <c r="M32" i="61"/>
  <c r="L60" i="46"/>
  <c r="A25" i="65"/>
  <c r="B8" i="65" s="1"/>
  <c r="J32" i="61"/>
  <c r="N8" i="61"/>
  <c r="E226" i="61"/>
  <c r="E227" i="61" s="1"/>
  <c r="M136" i="61"/>
  <c r="N70" i="61"/>
  <c r="I44" i="61"/>
  <c r="I70" i="61" s="1"/>
  <c r="M41" i="61"/>
  <c r="M70" i="61" s="1"/>
  <c r="J70" i="61"/>
  <c r="N32" i="61"/>
  <c r="G32" i="61"/>
  <c r="I8" i="61"/>
  <c r="G8" i="61"/>
  <c r="C74" i="46"/>
  <c r="E106" i="46"/>
  <c r="F22" i="17"/>
  <c r="F23" i="17" s="1"/>
  <c r="H220" i="61"/>
  <c r="I216" i="61"/>
  <c r="I152" i="61"/>
  <c r="I163" i="61" s="1"/>
  <c r="G163" i="61"/>
  <c r="N204" i="61"/>
  <c r="M163" i="61"/>
  <c r="N163" i="61"/>
  <c r="I11" i="61"/>
  <c r="I32" i="61" s="1"/>
  <c r="E51" i="11"/>
  <c r="A44" i="46"/>
  <c r="A52" i="46" s="1"/>
  <c r="A53" i="46" s="1"/>
  <c r="A54" i="46" s="1"/>
  <c r="A55" i="46" s="1"/>
  <c r="E62" i="46"/>
  <c r="A30" i="57"/>
  <c r="A31" i="57" s="1"/>
  <c r="G31" i="57"/>
  <c r="C77" i="26"/>
  <c r="F54" i="71"/>
  <c r="E58" i="7"/>
  <c r="A18" i="1"/>
  <c r="A21" i="1" s="1"/>
  <c r="E229" i="61"/>
  <c r="M4" i="61"/>
  <c r="M8" i="61" s="1"/>
  <c r="E41" i="12"/>
  <c r="E31" i="71"/>
  <c r="F28" i="56"/>
  <c r="E65" i="11"/>
  <c r="A23" i="26"/>
  <c r="A24" i="26" s="1"/>
  <c r="A25" i="26" s="1"/>
  <c r="G23" i="26"/>
  <c r="D31" i="71"/>
  <c r="G76" i="46"/>
  <c r="F112" i="71"/>
  <c r="G41" i="44"/>
  <c r="E25" i="7"/>
  <c r="E13" i="2"/>
  <c r="E14" i="2"/>
  <c r="A14" i="2"/>
  <c r="D33" i="71"/>
  <c r="E33" i="71"/>
  <c r="D23" i="7"/>
  <c r="H56" i="44"/>
  <c r="H57" i="44" s="1"/>
  <c r="H59" i="44" s="1"/>
  <c r="G16" i="12"/>
  <c r="J57" i="8"/>
  <c r="J43" i="8"/>
  <c r="C144" i="46"/>
  <c r="H42" i="46" s="1"/>
  <c r="K57" i="46"/>
  <c r="G57" i="46"/>
  <c r="G58" i="46" s="1"/>
  <c r="H89" i="46"/>
  <c r="G89" i="46" s="1"/>
  <c r="I84" i="46"/>
  <c r="G84" i="46" s="1"/>
  <c r="I82" i="46"/>
  <c r="G82" i="46" s="1"/>
  <c r="I80" i="46"/>
  <c r="G80" i="46" s="1"/>
  <c r="I78" i="46"/>
  <c r="G78" i="46" s="1"/>
  <c r="H75" i="46"/>
  <c r="G75" i="46" s="1"/>
  <c r="H87" i="46"/>
  <c r="G87" i="46" s="1"/>
  <c r="I85" i="46"/>
  <c r="G85" i="46" s="1"/>
  <c r="H77" i="46"/>
  <c r="G77" i="46" s="1"/>
  <c r="F20" i="71"/>
  <c r="E111" i="71" s="1"/>
  <c r="A24" i="71"/>
  <c r="F111" i="71"/>
  <c r="F31" i="71"/>
  <c r="F24" i="71"/>
  <c r="A9" i="31"/>
  <c r="H22" i="31"/>
  <c r="A28" i="12"/>
  <c r="A29" i="12" s="1"/>
  <c r="A39" i="12" s="1"/>
  <c r="A40" i="12" s="1"/>
  <c r="A41" i="12" s="1"/>
  <c r="A42" i="12" s="1"/>
  <c r="A43" i="12" s="1"/>
  <c r="A44" i="12" s="1"/>
  <c r="I137" i="1" s="1"/>
  <c r="E83" i="7"/>
  <c r="E47" i="7"/>
  <c r="A26" i="7"/>
  <c r="A27" i="7" s="1"/>
  <c r="A28" i="7" s="1"/>
  <c r="A29" i="7" s="1"/>
  <c r="A30" i="7" s="1"/>
  <c r="A31" i="7" s="1"/>
  <c r="A32" i="7" s="1"/>
  <c r="A33" i="7" s="1"/>
  <c r="A34" i="7" s="1"/>
  <c r="A35" i="7" s="1"/>
  <c r="A36" i="7" s="1"/>
  <c r="E121" i="46"/>
  <c r="D12" i="56"/>
  <c r="J24" i="8"/>
  <c r="A24" i="22"/>
  <c r="G27" i="22" s="1"/>
  <c r="A13" i="56"/>
  <c r="A14" i="56" s="1"/>
  <c r="A15" i="56" s="1"/>
  <c r="A16" i="56" s="1"/>
  <c r="A17" i="56" s="1"/>
  <c r="A13" i="8"/>
  <c r="A14" i="8" s="1"/>
  <c r="A15" i="8" s="1"/>
  <c r="A47" i="11"/>
  <c r="H40" i="12" s="1"/>
  <c r="A32" i="44"/>
  <c r="G55" i="44"/>
  <c r="E28" i="57" l="1"/>
  <c r="C29" i="57"/>
  <c r="C31" i="57" s="1"/>
  <c r="C33" i="57" s="1"/>
  <c r="C40" i="57" s="1"/>
  <c r="C43" i="57" s="1"/>
  <c r="A26" i="65"/>
  <c r="A27" i="65" s="1"/>
  <c r="A28" i="65" s="1"/>
  <c r="A29" i="65" s="1"/>
  <c r="A30" i="65" s="1"/>
  <c r="A31" i="65" s="1"/>
  <c r="A32" i="65" s="1"/>
  <c r="A33" i="65" s="1"/>
  <c r="A34" i="65" s="1"/>
  <c r="A35" i="65" s="1"/>
  <c r="A36" i="65" s="1"/>
  <c r="B103" i="65"/>
  <c r="B98" i="65"/>
  <c r="B116" i="65"/>
  <c r="D17" i="56"/>
  <c r="K42" i="46"/>
  <c r="K43" i="46" s="1"/>
  <c r="H43" i="46"/>
  <c r="H60" i="46" s="1"/>
  <c r="K58" i="46"/>
  <c r="J57" i="46"/>
  <c r="J58" i="46" s="1"/>
  <c r="M220" i="61"/>
  <c r="J220" i="61"/>
  <c r="N220" i="61"/>
  <c r="F91" i="12"/>
  <c r="A56" i="46"/>
  <c r="A57" i="46" s="1"/>
  <c r="A58" i="46" s="1"/>
  <c r="A32" i="57"/>
  <c r="A33" i="57" s="1"/>
  <c r="E124" i="46"/>
  <c r="E230" i="61"/>
  <c r="I93" i="46"/>
  <c r="H96" i="46"/>
  <c r="I95" i="46"/>
  <c r="I94" i="46"/>
  <c r="H94" i="46"/>
  <c r="K85" i="1"/>
  <c r="E15" i="2"/>
  <c r="A15" i="2"/>
  <c r="H15" i="8"/>
  <c r="A26" i="26"/>
  <c r="A27" i="26" s="1"/>
  <c r="A28" i="26" s="1"/>
  <c r="G25" i="26"/>
  <c r="H78" i="44"/>
  <c r="H65" i="44"/>
  <c r="G42" i="46"/>
  <c r="G43" i="46" s="1"/>
  <c r="D120" i="46"/>
  <c r="A25" i="71"/>
  <c r="A26" i="71" s="1"/>
  <c r="A33" i="44"/>
  <c r="B48" i="44" s="1"/>
  <c r="G64" i="44"/>
  <c r="A18" i="8"/>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1" i="32"/>
  <c r="A22" i="32" s="1"/>
  <c r="A26" i="32" s="1"/>
  <c r="E33" i="57" l="1"/>
  <c r="E40" i="57" s="1"/>
  <c r="E43" i="57" s="1"/>
  <c r="D29" i="57"/>
  <c r="D31" i="57" s="1"/>
  <c r="D33" i="57" s="1"/>
  <c r="D40" i="57" s="1"/>
  <c r="D43" i="57" s="1"/>
  <c r="A38" i="65"/>
  <c r="A39" i="65" s="1"/>
  <c r="A40" i="65" s="1"/>
  <c r="F40" i="65"/>
  <c r="B9" i="65"/>
  <c r="B7" i="65"/>
  <c r="B94" i="65"/>
  <c r="D105" i="46"/>
  <c r="D106" i="46" s="1"/>
  <c r="H66" i="44"/>
  <c r="H79" i="44" s="1"/>
  <c r="J42" i="46"/>
  <c r="J43" i="46" s="1"/>
  <c r="J60" i="46" s="1"/>
  <c r="G60" i="46"/>
  <c r="E232" i="61"/>
  <c r="E233" i="61" s="1"/>
  <c r="E236" i="61" s="1"/>
  <c r="K132" i="1" s="1"/>
  <c r="G52" i="21"/>
  <c r="G59" i="21"/>
  <c r="G63" i="4"/>
  <c r="G58" i="4"/>
  <c r="A59" i="46"/>
  <c r="A60" i="46" s="1"/>
  <c r="E63" i="46"/>
  <c r="A41" i="65"/>
  <c r="A34" i="57"/>
  <c r="A35" i="57" s="1"/>
  <c r="A36" i="57" s="1"/>
  <c r="A37" i="57" s="1"/>
  <c r="A38" i="57" s="1"/>
  <c r="A39" i="57" s="1"/>
  <c r="A40" i="57" s="1"/>
  <c r="A41" i="57" s="1"/>
  <c r="A42" i="57" s="1"/>
  <c r="A43" i="57" s="1"/>
  <c r="A44" i="57" s="1"/>
  <c r="A45" i="57" s="1"/>
  <c r="G40" i="57"/>
  <c r="G33" i="57"/>
  <c r="G73" i="44"/>
  <c r="I85" i="64"/>
  <c r="H93" i="46"/>
  <c r="G93" i="46" s="1"/>
  <c r="H95" i="46"/>
  <c r="G95" i="46" s="1"/>
  <c r="I96" i="46"/>
  <c r="G96" i="46" s="1"/>
  <c r="G94" i="46"/>
  <c r="K82" i="1"/>
  <c r="A47" i="7"/>
  <c r="A48" i="7" s="1"/>
  <c r="A49" i="7" s="1"/>
  <c r="A50" i="7" s="1"/>
  <c r="A51" i="7" s="1"/>
  <c r="A52" i="7" s="1"/>
  <c r="A53" i="7" s="1"/>
  <c r="A54" i="7" s="1"/>
  <c r="A55" i="7" s="1"/>
  <c r="G26" i="26"/>
  <c r="G50" i="22"/>
  <c r="F29" i="54"/>
  <c r="G54" i="22"/>
  <c r="G24" i="22"/>
  <c r="I55" i="1"/>
  <c r="A16" i="2"/>
  <c r="A17" i="2" s="1"/>
  <c r="A18" i="2" s="1"/>
  <c r="A19" i="2" s="1"/>
  <c r="A20" i="2" s="1"/>
  <c r="A21" i="2" s="1"/>
  <c r="A22" i="2" s="1"/>
  <c r="K60" i="46"/>
  <c r="G22" i="32"/>
  <c r="G27" i="26"/>
  <c r="A55" i="12"/>
  <c r="A56" i="12" s="1"/>
  <c r="A57" i="12" s="1"/>
  <c r="A58" i="12" s="1"/>
  <c r="A59" i="12" s="1"/>
  <c r="H61" i="8" s="1"/>
  <c r="B185" i="71"/>
  <c r="B188" i="71"/>
  <c r="F26" i="71"/>
  <c r="D121" i="46"/>
  <c r="H120" i="46"/>
  <c r="G120" i="46" s="1"/>
  <c r="C120" i="46"/>
  <c r="C121" i="46" s="1"/>
  <c r="F64" i="71"/>
  <c r="A31" i="71"/>
  <c r="A32" i="71" s="1"/>
  <c r="A27" i="22"/>
  <c r="H12" i="8" s="1"/>
  <c r="A26" i="1"/>
  <c r="A27" i="32"/>
  <c r="A28" i="32" s="1"/>
  <c r="A21" i="56"/>
  <c r="A22" i="56" s="1"/>
  <c r="A23" i="56" s="1"/>
  <c r="A24" i="56" s="1"/>
  <c r="A25" i="56" s="1"/>
  <c r="A26" i="56" s="1"/>
  <c r="A49" i="11"/>
  <c r="A50" i="11" s="1"/>
  <c r="A51" i="11" s="1"/>
  <c r="A60" i="11" s="1"/>
  <c r="I24" i="1"/>
  <c r="B41" i="31"/>
  <c r="B36" i="31"/>
  <c r="A18" i="31"/>
  <c r="E40" i="7"/>
  <c r="A19" i="8"/>
  <c r="A20" i="8" s="1"/>
  <c r="A21" i="8" s="1"/>
  <c r="A34" i="44"/>
  <c r="G80" i="44"/>
  <c r="A29" i="26"/>
  <c r="G29" i="26"/>
  <c r="G43" i="57" l="1"/>
  <c r="G45" i="57"/>
  <c r="D45" i="57"/>
  <c r="B10" i="31" s="1"/>
  <c r="C45" i="57"/>
  <c r="B9" i="31" s="1"/>
  <c r="D124" i="46"/>
  <c r="A42" i="65"/>
  <c r="B95" i="65"/>
  <c r="F42" i="65"/>
  <c r="C105" i="46"/>
  <c r="C106" i="46" s="1"/>
  <c r="C124" i="46" s="1"/>
  <c r="J54" i="8"/>
  <c r="D144"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D145" i="46"/>
  <c r="A33" i="71"/>
  <c r="A34" i="71" s="1"/>
  <c r="F65" i="71" s="1"/>
  <c r="A46" i="57"/>
  <c r="A47" i="57" s="1"/>
  <c r="G9" i="31"/>
  <c r="G10" i="31"/>
  <c r="A28" i="1"/>
  <c r="A30" i="1" s="1"/>
  <c r="H54" i="12"/>
  <c r="F68" i="12"/>
  <c r="E48" i="7"/>
  <c r="E23" i="2"/>
  <c r="A23" i="2"/>
  <c r="B109" i="12"/>
  <c r="A68" i="12"/>
  <c r="K92" i="1"/>
  <c r="K81" i="1"/>
  <c r="K80" i="1" s="1"/>
  <c r="A19" i="31"/>
  <c r="A20" i="31" s="1"/>
  <c r="A22" i="31" s="1"/>
  <c r="A24" i="31" s="1"/>
  <c r="A27" i="31" s="1"/>
  <c r="A56" i="7"/>
  <c r="A57" i="7" s="1"/>
  <c r="A58" i="7" s="1"/>
  <c r="A59" i="7" s="1"/>
  <c r="A60" i="7" s="1"/>
  <c r="A61" i="7" s="1"/>
  <c r="E55" i="7" s="1"/>
  <c r="A35" i="71"/>
  <c r="A36" i="71" s="1"/>
  <c r="A23" i="8"/>
  <c r="H29" i="8"/>
  <c r="A30" i="26"/>
  <c r="I127" i="1" s="1"/>
  <c r="G30" i="26"/>
  <c r="H21" i="8"/>
  <c r="D26" i="56"/>
  <c r="G28" i="32"/>
  <c r="A34" i="22"/>
  <c r="A41" i="44"/>
  <c r="A42" i="44" s="1"/>
  <c r="A61" i="11"/>
  <c r="A27" i="56"/>
  <c r="A28" i="56" s="1"/>
  <c r="D28" i="56"/>
  <c r="C36" i="71" l="1"/>
  <c r="K91" i="1"/>
  <c r="K90" i="1"/>
  <c r="E95" i="8" s="1"/>
  <c r="B186" i="71"/>
  <c r="B189" i="71"/>
  <c r="A43" i="65"/>
  <c r="A44" i="65" s="1"/>
  <c r="F44" i="65"/>
  <c r="F43" i="65"/>
  <c r="A31" i="1"/>
  <c r="A32" i="1" s="1"/>
  <c r="A34" i="1" s="1"/>
  <c r="I117" i="1" s="1"/>
  <c r="A104" i="46"/>
  <c r="A105" i="46" s="1"/>
  <c r="A106" i="46" s="1"/>
  <c r="A107" i="46" s="1"/>
  <c r="A115" i="46" s="1"/>
  <c r="A116" i="46" s="1"/>
  <c r="A117" i="46" s="1"/>
  <c r="A118" i="46" s="1"/>
  <c r="A119" i="46" s="1"/>
  <c r="A120" i="46" s="1"/>
  <c r="A121" i="46" s="1"/>
  <c r="A122" i="46" s="1"/>
  <c r="A123" i="46" s="1"/>
  <c r="A124" i="46" s="1"/>
  <c r="A125" i="46" s="1"/>
  <c r="G12" i="32"/>
  <c r="G26" i="32"/>
  <c r="G20" i="32"/>
  <c r="E20" i="2"/>
  <c r="A37" i="71"/>
  <c r="A38" i="71" s="1"/>
  <c r="A41" i="71" s="1"/>
  <c r="A46" i="71" s="1"/>
  <c r="A47" i="71" s="1"/>
  <c r="A48" i="71" s="1"/>
  <c r="F34" i="71"/>
  <c r="H55" i="12"/>
  <c r="F69" i="12"/>
  <c r="F93" i="12"/>
  <c r="E97" i="8"/>
  <c r="A35" i="22"/>
  <c r="A36" i="22" s="1"/>
  <c r="A37" i="22" s="1"/>
  <c r="A38" i="22" s="1"/>
  <c r="A39" i="22" s="1"/>
  <c r="A40" i="22" s="1"/>
  <c r="A41" i="22" s="1"/>
  <c r="A42" i="22" s="1"/>
  <c r="A43" i="22" s="1"/>
  <c r="A44" i="22" s="1"/>
  <c r="A45" i="22" s="1"/>
  <c r="A46" i="22" s="1"/>
  <c r="G49" i="22" s="1"/>
  <c r="A24" i="2"/>
  <c r="I102" i="46"/>
  <c r="H102" i="46"/>
  <c r="A34" i="56"/>
  <c r="A35" i="56" s="1"/>
  <c r="A36" i="56" s="1"/>
  <c r="A37" i="56" s="1"/>
  <c r="A38" i="56" s="1"/>
  <c r="E63" i="7"/>
  <c r="A69" i="12"/>
  <c r="A70" i="12" s="1"/>
  <c r="A71" i="12" s="1"/>
  <c r="A81" i="12" s="1"/>
  <c r="A82" i="12" s="1"/>
  <c r="A83" i="12" s="1"/>
  <c r="A84" i="12" s="1"/>
  <c r="A85" i="12" s="1"/>
  <c r="A86" i="12" s="1"/>
  <c r="B38" i="31"/>
  <c r="H27" i="31"/>
  <c r="G15" i="12"/>
  <c r="G17" i="12" s="1"/>
  <c r="K83" i="1"/>
  <c r="A62" i="7"/>
  <c r="A63" i="7" s="1"/>
  <c r="E59" i="7"/>
  <c r="B98" i="44"/>
  <c r="A43" i="44"/>
  <c r="A37" i="26"/>
  <c r="G78" i="26" s="1"/>
  <c r="A62" i="11"/>
  <c r="B99" i="44"/>
  <c r="A24" i="8"/>
  <c r="G91" i="12" s="1"/>
  <c r="D21" i="7" l="1"/>
  <c r="K93" i="1"/>
  <c r="E96" i="8"/>
  <c r="E103" i="8" s="1"/>
  <c r="J42" i="8" s="1"/>
  <c r="K95" i="1"/>
  <c r="D32" i="71" s="1"/>
  <c r="D34" i="71" s="1"/>
  <c r="E86" i="71" s="1"/>
  <c r="A45" i="65"/>
  <c r="A46" i="65" s="1"/>
  <c r="A47" i="65" s="1"/>
  <c r="A48" i="65" s="1"/>
  <c r="A49" i="65" s="1"/>
  <c r="A50" i="65" s="1"/>
  <c r="A51" i="65" s="1"/>
  <c r="A52" i="65" s="1"/>
  <c r="A53" i="65" s="1"/>
  <c r="A54" i="65" s="1"/>
  <c r="F41" i="65"/>
  <c r="I151" i="1"/>
  <c r="E98" i="8"/>
  <c r="J33" i="8" s="1"/>
  <c r="A39" i="1"/>
  <c r="A40" i="1" s="1"/>
  <c r="A41" i="1" s="1"/>
  <c r="I35" i="1"/>
  <c r="B125" i="46"/>
  <c r="H56" i="12"/>
  <c r="F70" i="12"/>
  <c r="E64" i="7"/>
  <c r="E69" i="7"/>
  <c r="E25" i="2"/>
  <c r="A25" i="2"/>
  <c r="G102" i="46"/>
  <c r="A25" i="8"/>
  <c r="G53" i="22"/>
  <c r="A64" i="7"/>
  <c r="A65" i="7" s="1"/>
  <c r="B110" i="12"/>
  <c r="A90" i="12"/>
  <c r="E83" i="12"/>
  <c r="F83" i="12" s="1"/>
  <c r="E82" i="12"/>
  <c r="F82" i="12" s="1"/>
  <c r="E81" i="12"/>
  <c r="F81" i="12" s="1"/>
  <c r="D25" i="71"/>
  <c r="D26" i="71" s="1"/>
  <c r="E25" i="71"/>
  <c r="E26" i="71" s="1"/>
  <c r="D103" i="71" s="1"/>
  <c r="D51" i="7"/>
  <c r="D59" i="7" s="1"/>
  <c r="G39" i="12"/>
  <c r="G40" i="12"/>
  <c r="G41" i="12"/>
  <c r="D41" i="71"/>
  <c r="G55" i="12"/>
  <c r="G56" i="12"/>
  <c r="G54" i="12"/>
  <c r="A53" i="71"/>
  <c r="A54" i="71" s="1"/>
  <c r="A55" i="71" s="1"/>
  <c r="F66" i="71"/>
  <c r="G44" i="44"/>
  <c r="A44" i="44"/>
  <c r="A43" i="1"/>
  <c r="A44" i="1" s="1"/>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79" i="26" s="1"/>
  <c r="A39" i="56"/>
  <c r="A40" i="56" s="1"/>
  <c r="A55" i="65" l="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D86" i="71"/>
  <c r="D160" i="71" s="1"/>
  <c r="D77" i="71"/>
  <c r="G59" i="12"/>
  <c r="J61" i="8" s="1"/>
  <c r="J62" i="8" s="1"/>
  <c r="G44" i="12"/>
  <c r="K137" i="1" s="1"/>
  <c r="K138" i="1" s="1"/>
  <c r="F86" i="12"/>
  <c r="I41" i="1"/>
  <c r="A26" i="8"/>
  <c r="A27" i="8" s="1"/>
  <c r="A29" i="8" s="1"/>
  <c r="I126" i="1"/>
  <c r="E7" i="2"/>
  <c r="A26" i="2"/>
  <c r="A27" i="2" s="1"/>
  <c r="A28" i="2" s="1"/>
  <c r="E65" i="7"/>
  <c r="D40" i="56"/>
  <c r="A66" i="7"/>
  <c r="A67" i="7" s="1"/>
  <c r="A68" i="7" s="1"/>
  <c r="A69" i="7" s="1"/>
  <c r="A70" i="7" s="1"/>
  <c r="A50" i="22"/>
  <c r="A51" i="22" s="1"/>
  <c r="H13" i="8" s="1"/>
  <c r="A91" i="12"/>
  <c r="A92" i="12" s="1"/>
  <c r="H46" i="11"/>
  <c r="H47" i="11"/>
  <c r="H48" i="11"/>
  <c r="D22" i="7"/>
  <c r="E32" i="71"/>
  <c r="E34" i="71" s="1"/>
  <c r="D48" i="71"/>
  <c r="E55" i="71"/>
  <c r="E48" i="71"/>
  <c r="D55" i="71"/>
  <c r="D55" i="7"/>
  <c r="E83" i="71"/>
  <c r="E77" i="71"/>
  <c r="E82" i="71"/>
  <c r="D65" i="71"/>
  <c r="E84" i="71"/>
  <c r="E85" i="71"/>
  <c r="E81" i="71"/>
  <c r="E79" i="71"/>
  <c r="E80" i="71"/>
  <c r="E78" i="71"/>
  <c r="D101" i="71"/>
  <c r="D96" i="71"/>
  <c r="E64" i="71"/>
  <c r="D94" i="71"/>
  <c r="D95" i="71"/>
  <c r="D98" i="71"/>
  <c r="D97" i="71"/>
  <c r="D99" i="71"/>
  <c r="D100" i="71"/>
  <c r="D102" i="71"/>
  <c r="D81" i="71"/>
  <c r="D82" i="71"/>
  <c r="D83" i="71"/>
  <c r="D80" i="71"/>
  <c r="D64" i="71"/>
  <c r="D85" i="71"/>
  <c r="D78" i="71"/>
  <c r="D79" i="71"/>
  <c r="D84" i="71"/>
  <c r="A56" i="71"/>
  <c r="A57" i="71" s="1"/>
  <c r="F67" i="71"/>
  <c r="A41" i="56"/>
  <c r="A42" i="56" s="1"/>
  <c r="E21" i="2" s="1"/>
  <c r="D42" i="56"/>
  <c r="A85" i="11"/>
  <c r="G87" i="44"/>
  <c r="A55" i="44"/>
  <c r="A44" i="26"/>
  <c r="A45" i="1"/>
  <c r="B115" i="65" l="1"/>
  <c r="A53" i="22"/>
  <c r="G86" i="71"/>
  <c r="H86" i="71" s="1"/>
  <c r="A78" i="65"/>
  <c r="A79" i="65" s="1"/>
  <c r="A80" i="65" s="1"/>
  <c r="A81" i="65" s="1"/>
  <c r="A82" i="65" s="1"/>
  <c r="A83" i="65" s="1"/>
  <c r="A84" i="65" s="1"/>
  <c r="A85" i="65" s="1"/>
  <c r="A86" i="65" s="1"/>
  <c r="A87" i="65" s="1"/>
  <c r="A88" i="65" s="1"/>
  <c r="A89" i="65" s="1"/>
  <c r="A90" i="65" s="1"/>
  <c r="A91" i="65" s="1"/>
  <c r="B109" i="65" s="1"/>
  <c r="D178" i="71"/>
  <c r="D25" i="7"/>
  <c r="E112" i="71" s="1"/>
  <c r="E113" i="71" s="1"/>
  <c r="E114" i="71" s="1"/>
  <c r="E95" i="71"/>
  <c r="E103" i="71"/>
  <c r="G103" i="71" s="1"/>
  <c r="H103" i="71" s="1"/>
  <c r="G90" i="12"/>
  <c r="H41" i="8"/>
  <c r="A33" i="8"/>
  <c r="H30" i="8"/>
  <c r="I131" i="15"/>
  <c r="I90" i="15"/>
  <c r="I70" i="15"/>
  <c r="A64" i="71"/>
  <c r="F48" i="71"/>
  <c r="F55" i="71"/>
  <c r="E101" i="71"/>
  <c r="E97" i="71"/>
  <c r="E99" i="71"/>
  <c r="E94" i="71"/>
  <c r="E96" i="71"/>
  <c r="E100" i="71"/>
  <c r="E102" i="71"/>
  <c r="E65" i="71"/>
  <c r="E98" i="71"/>
  <c r="E28" i="2"/>
  <c r="A29" i="2"/>
  <c r="A30" i="2" s="1"/>
  <c r="A31" i="2" s="1"/>
  <c r="A32" i="2" s="1"/>
  <c r="I40" i="1"/>
  <c r="G28" i="26"/>
  <c r="G92" i="12"/>
  <c r="A71" i="7"/>
  <c r="E71" i="7"/>
  <c r="A45" i="26"/>
  <c r="A46" i="26" s="1"/>
  <c r="A47" i="26" s="1"/>
  <c r="A48" i="26" s="1"/>
  <c r="A49" i="26" s="1"/>
  <c r="A50" i="26" s="1"/>
  <c r="C73" i="26"/>
  <c r="A54" i="22"/>
  <c r="A55" i="22" s="1"/>
  <c r="I16" i="1" s="1"/>
  <c r="G51" i="22"/>
  <c r="A93" i="12"/>
  <c r="A94" i="12" s="1"/>
  <c r="G98" i="12" s="1"/>
  <c r="A94" i="11"/>
  <c r="A95" i="11" s="1"/>
  <c r="A96" i="11" s="1"/>
  <c r="A97" i="11" s="1"/>
  <c r="A98" i="11" s="1"/>
  <c r="A99" i="11" s="1"/>
  <c r="A100" i="11" s="1"/>
  <c r="A101" i="11" s="1"/>
  <c r="A102" i="11" s="1"/>
  <c r="A103" i="11" s="1"/>
  <c r="A104" i="11" s="1"/>
  <c r="A105" i="11" s="1"/>
  <c r="A106" i="11" s="1"/>
  <c r="A107" i="11" s="1"/>
  <c r="A117" i="11" s="1"/>
  <c r="H61" i="11"/>
  <c r="H60" i="11"/>
  <c r="H62" i="11"/>
  <c r="D176" i="71"/>
  <c r="D158" i="71"/>
  <c r="D159" i="71"/>
  <c r="D177" i="71"/>
  <c r="D172" i="71"/>
  <c r="D154" i="71"/>
  <c r="D174" i="71"/>
  <c r="D156" i="71"/>
  <c r="D153" i="71"/>
  <c r="D171" i="71"/>
  <c r="D157" i="71"/>
  <c r="D175" i="71"/>
  <c r="D155" i="71"/>
  <c r="D173" i="71"/>
  <c r="G84" i="71"/>
  <c r="H84" i="71" s="1"/>
  <c r="G85" i="71"/>
  <c r="H85" i="71" s="1"/>
  <c r="G80" i="71"/>
  <c r="H80" i="71" s="1"/>
  <c r="G82" i="71"/>
  <c r="H82" i="71" s="1"/>
  <c r="G79" i="71"/>
  <c r="H79" i="71" s="1"/>
  <c r="G83" i="71"/>
  <c r="H83" i="71" s="1"/>
  <c r="G81" i="71"/>
  <c r="H81" i="71" s="1"/>
  <c r="A65" i="71"/>
  <c r="D105" i="71"/>
  <c r="E88" i="71"/>
  <c r="F78" i="71"/>
  <c r="D170" i="71" s="1"/>
  <c r="D67" i="71"/>
  <c r="F95" i="71"/>
  <c r="E67" i="71"/>
  <c r="D88" i="71"/>
  <c r="F94" i="71"/>
  <c r="E66" i="71"/>
  <c r="F77" i="71"/>
  <c r="G77" i="71" s="1"/>
  <c r="D66" i="71"/>
  <c r="A56" i="44"/>
  <c r="A57" i="44" s="1"/>
  <c r="G59" i="44" s="1"/>
  <c r="A46" i="1"/>
  <c r="A47" i="1" s="1"/>
  <c r="A48" i="1" s="1"/>
  <c r="B119" i="65" l="1"/>
  <c r="B108" i="65"/>
  <c r="E68" i="71"/>
  <c r="E69" i="71" s="1"/>
  <c r="D68" i="71"/>
  <c r="D69" i="71" s="1"/>
  <c r="D169" i="71"/>
  <c r="D180" i="71" s="1"/>
  <c r="G95" i="71"/>
  <c r="H41" i="44"/>
  <c r="D47" i="7"/>
  <c r="D48" i="7" s="1"/>
  <c r="D63" i="7" s="1"/>
  <c r="D64" i="7" s="1"/>
  <c r="D83" i="7"/>
  <c r="D84" i="7" s="1"/>
  <c r="D129" i="71"/>
  <c r="E138" i="71"/>
  <c r="E115" i="71"/>
  <c r="E129" i="71" s="1"/>
  <c r="D126" i="71"/>
  <c r="E175" i="71" s="1"/>
  <c r="F175" i="71" s="1"/>
  <c r="G175" i="71" s="1"/>
  <c r="D122" i="71"/>
  <c r="E153" i="71" s="1"/>
  <c r="F153" i="71" s="1"/>
  <c r="G153" i="71" s="1"/>
  <c r="D127" i="71"/>
  <c r="E158" i="71" s="1"/>
  <c r="D128" i="71"/>
  <c r="E159" i="71" s="1"/>
  <c r="F159" i="71" s="1"/>
  <c r="G159" i="71" s="1"/>
  <c r="D124" i="71"/>
  <c r="E155" i="71" s="1"/>
  <c r="F155" i="71" s="1"/>
  <c r="G155" i="71" s="1"/>
  <c r="D121" i="71"/>
  <c r="E152" i="71" s="1"/>
  <c r="D120" i="71"/>
  <c r="E169" i="71" s="1"/>
  <c r="D123" i="71"/>
  <c r="E172" i="71" s="1"/>
  <c r="F172" i="71" s="1"/>
  <c r="G172" i="71" s="1"/>
  <c r="D125" i="71"/>
  <c r="E156" i="71" s="1"/>
  <c r="F156" i="71" s="1"/>
  <c r="H34" i="8"/>
  <c r="A34" i="8"/>
  <c r="G94" i="71"/>
  <c r="H94" i="71" s="1"/>
  <c r="G102" i="71"/>
  <c r="H102" i="71" s="1"/>
  <c r="G99" i="71"/>
  <c r="H99" i="71" s="1"/>
  <c r="G100" i="71"/>
  <c r="H100" i="71" s="1"/>
  <c r="G97" i="71"/>
  <c r="H97" i="71" s="1"/>
  <c r="G98" i="71"/>
  <c r="H98" i="71" s="1"/>
  <c r="G96" i="71"/>
  <c r="H96" i="71" s="1"/>
  <c r="G101" i="71"/>
  <c r="H101" i="71" s="1"/>
  <c r="C22" i="17"/>
  <c r="A72" i="7"/>
  <c r="A73" i="7" s="1"/>
  <c r="A74" i="7" s="1"/>
  <c r="A75" i="7" s="1"/>
  <c r="A76" i="7" s="1"/>
  <c r="A77" i="7" s="1"/>
  <c r="A78" i="7" s="1"/>
  <c r="A79" i="7" s="1"/>
  <c r="A80" i="7" s="1"/>
  <c r="A81" i="7" s="1"/>
  <c r="A82" i="7" s="1"/>
  <c r="A83" i="7" s="1"/>
  <c r="A84" i="7" s="1"/>
  <c r="A85" i="7" s="1"/>
  <c r="A86" i="7" s="1"/>
  <c r="E88" i="7" s="1"/>
  <c r="A118" i="11"/>
  <c r="A119" i="11" s="1"/>
  <c r="A120" i="11" s="1"/>
  <c r="A121" i="11" s="1"/>
  <c r="A122" i="11" s="1"/>
  <c r="A123" i="11" s="1"/>
  <c r="A124" i="11" s="1"/>
  <c r="A125" i="11" s="1"/>
  <c r="A126" i="11" s="1"/>
  <c r="A127" i="11" s="1"/>
  <c r="A128" i="11" s="1"/>
  <c r="A129" i="11" s="1"/>
  <c r="F69" i="11" s="1"/>
  <c r="E105" i="71"/>
  <c r="A87" i="7"/>
  <c r="A88" i="7" s="1"/>
  <c r="A89" i="7" s="1"/>
  <c r="C23" i="17"/>
  <c r="I53" i="1"/>
  <c r="G55" i="22"/>
  <c r="A98" i="12"/>
  <c r="G94" i="12"/>
  <c r="E137" i="71"/>
  <c r="A66" i="71"/>
  <c r="D151" i="71"/>
  <c r="D152" i="71"/>
  <c r="H77" i="71"/>
  <c r="G78" i="71"/>
  <c r="G88" i="71" s="1"/>
  <c r="F88" i="71"/>
  <c r="F105" i="71"/>
  <c r="I44" i="1"/>
  <c r="A58" i="44"/>
  <c r="A59" i="44" s="1"/>
  <c r="G65" i="44"/>
  <c r="A49" i="1"/>
  <c r="A50" i="1" s="1"/>
  <c r="A51" i="1" s="1"/>
  <c r="A52" i="1" s="1"/>
  <c r="C20" i="17" s="1"/>
  <c r="E73" i="7" l="1"/>
  <c r="E174" i="71"/>
  <c r="F174" i="71" s="1"/>
  <c r="G174" i="71" s="1"/>
  <c r="E157" i="71"/>
  <c r="F157" i="71" s="1"/>
  <c r="G157" i="71" s="1"/>
  <c r="H44" i="44"/>
  <c r="H87" i="44" s="1"/>
  <c r="E151" i="71"/>
  <c r="F151" i="71" s="1"/>
  <c r="E121" i="71"/>
  <c r="E176" i="71"/>
  <c r="F176" i="71" s="1"/>
  <c r="G176" i="71" s="1"/>
  <c r="E127" i="71"/>
  <c r="E154" i="71"/>
  <c r="F154" i="71" s="1"/>
  <c r="E126" i="71"/>
  <c r="D131" i="71"/>
  <c r="E128" i="71"/>
  <c r="E171" i="71"/>
  <c r="F171" i="71" s="1"/>
  <c r="G171" i="71" s="1"/>
  <c r="E170" i="71"/>
  <c r="F170" i="71" s="1"/>
  <c r="E120" i="71"/>
  <c r="E173" i="71"/>
  <c r="F173" i="71" s="1"/>
  <c r="G173" i="71" s="1"/>
  <c r="E123" i="71"/>
  <c r="E122" i="71"/>
  <c r="E177" i="71"/>
  <c r="F177" i="71" s="1"/>
  <c r="G177" i="71" s="1"/>
  <c r="E125" i="71"/>
  <c r="E124" i="71"/>
  <c r="E178" i="71"/>
  <c r="F178" i="71" s="1"/>
  <c r="G178" i="71" s="1"/>
  <c r="E160" i="71"/>
  <c r="F160" i="71" s="1"/>
  <c r="G160" i="71" s="1"/>
  <c r="A38" i="8"/>
  <c r="H55" i="8"/>
  <c r="E89" i="7"/>
  <c r="E79" i="7"/>
  <c r="A137" i="11"/>
  <c r="A138" i="11" s="1"/>
  <c r="A139" i="11" s="1"/>
  <c r="A140" i="11" s="1"/>
  <c r="A141" i="11" s="1"/>
  <c r="A142" i="11" s="1"/>
  <c r="A143" i="11" s="1"/>
  <c r="A144" i="11" s="1"/>
  <c r="A145" i="11" s="1"/>
  <c r="A146" i="11" s="1"/>
  <c r="A147" i="11" s="1"/>
  <c r="A148" i="11" s="1"/>
  <c r="A149" i="11" s="1"/>
  <c r="A157" i="11" s="1"/>
  <c r="D69" i="7"/>
  <c r="G105" i="71"/>
  <c r="D65" i="7"/>
  <c r="A90" i="7"/>
  <c r="A91" i="7" s="1"/>
  <c r="I150" i="1" s="1"/>
  <c r="G90" i="44"/>
  <c r="A99" i="12"/>
  <c r="A100" i="12" s="1"/>
  <c r="A101" i="12" s="1"/>
  <c r="A53" i="1"/>
  <c r="A54" i="1" s="1"/>
  <c r="I52" i="1"/>
  <c r="E139" i="71"/>
  <c r="E143" i="71" s="1"/>
  <c r="F158" i="71"/>
  <c r="G158" i="71" s="1"/>
  <c r="G156" i="71"/>
  <c r="F169" i="71"/>
  <c r="F152" i="71"/>
  <c r="G152" i="71" s="1"/>
  <c r="A67" i="71"/>
  <c r="B187" i="71" s="1"/>
  <c r="H78" i="71"/>
  <c r="H88" i="71" s="1"/>
  <c r="H95" i="71"/>
  <c r="H105" i="71" s="1"/>
  <c r="E91" i="7"/>
  <c r="E80" i="7"/>
  <c r="E86" i="7"/>
  <c r="E84" i="7"/>
  <c r="G78" i="44"/>
  <c r="A64" i="44"/>
  <c r="B183" i="71" l="1"/>
  <c r="B184" i="71"/>
  <c r="B190" i="71"/>
  <c r="E180" i="71"/>
  <c r="F180" i="71"/>
  <c r="G169" i="71"/>
  <c r="F162" i="71"/>
  <c r="G154" i="71"/>
  <c r="G170" i="71"/>
  <c r="E131" i="71"/>
  <c r="E162" i="71"/>
  <c r="H56" i="8"/>
  <c r="A41" i="8"/>
  <c r="A42" i="8" s="1"/>
  <c r="A43" i="8" s="1"/>
  <c r="A44" i="8" s="1"/>
  <c r="A45" i="8" s="1"/>
  <c r="A48" i="8" s="1"/>
  <c r="H69" i="1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I54" i="1"/>
  <c r="G101" i="12"/>
  <c r="A55" i="1"/>
  <c r="A56" i="1" s="1"/>
  <c r="A58" i="1" s="1"/>
  <c r="E142" i="71"/>
  <c r="E144" i="71" s="1"/>
  <c r="F137" i="71"/>
  <c r="A68" i="71"/>
  <c r="G151" i="71"/>
  <c r="D162" i="71"/>
  <c r="A65" i="44"/>
  <c r="A66" i="44" s="1"/>
  <c r="A67" i="44" s="1"/>
  <c r="A68" i="44" s="1"/>
  <c r="A69" i="44" s="1"/>
  <c r="A70" i="44" s="1"/>
  <c r="G180" i="71" l="1"/>
  <c r="A309" i="11"/>
  <c r="A310" i="11" s="1"/>
  <c r="A311" i="11" s="1"/>
  <c r="A312" i="11" s="1"/>
  <c r="A313" i="11" s="1"/>
  <c r="A314" i="11" s="1"/>
  <c r="A315" i="11" s="1"/>
  <c r="A316" i="11" s="1"/>
  <c r="A317" i="11" s="1"/>
  <c r="A318" i="11" s="1"/>
  <c r="A319" i="11" s="1"/>
  <c r="A320" i="11" s="1"/>
  <c r="A321" i="11" s="1"/>
  <c r="A49" i="8"/>
  <c r="A50" i="8" s="1"/>
  <c r="A51" i="8" s="1"/>
  <c r="A52" i="8" s="1"/>
  <c r="A53" i="8" s="1"/>
  <c r="A54" i="8" s="1"/>
  <c r="A55" i="8" s="1"/>
  <c r="A56" i="8" s="1"/>
  <c r="A57" i="8" s="1"/>
  <c r="A58" i="8" s="1"/>
  <c r="A59" i="8" s="1"/>
  <c r="H64" i="8" s="1"/>
  <c r="G69" i="11"/>
  <c r="A71" i="44"/>
  <c r="A72" i="44" s="1"/>
  <c r="G66" i="44"/>
  <c r="I58" i="1"/>
  <c r="I56" i="1"/>
  <c r="E145" i="71"/>
  <c r="D19" i="31" s="1"/>
  <c r="A69" i="71"/>
  <c r="A77" i="71" s="1"/>
  <c r="F69" i="71"/>
  <c r="G162" i="71"/>
  <c r="G79" i="44"/>
  <c r="I131" i="1"/>
  <c r="A63" i="1"/>
  <c r="A328" i="11" l="1"/>
  <c r="A329" i="11" s="1"/>
  <c r="A330" i="11" s="1"/>
  <c r="A331" i="11" s="1"/>
  <c r="A332" i="11" s="1"/>
  <c r="A333" i="11" s="1"/>
  <c r="A334" i="11" s="1"/>
  <c r="A335" i="11" s="1"/>
  <c r="A336" i="11" s="1"/>
  <c r="A337" i="11" s="1"/>
  <c r="A338" i="11" s="1"/>
  <c r="A339" i="11" s="1"/>
  <c r="A340" i="11" s="1"/>
  <c r="A345" i="11" s="1"/>
  <c r="A346" i="11" s="1"/>
  <c r="G72" i="44"/>
  <c r="H59" i="8"/>
  <c r="A61" i="8"/>
  <c r="A64" i="8" s="1"/>
  <c r="A73" i="44"/>
  <c r="A74" i="44" s="1"/>
  <c r="E19" i="31"/>
  <c r="A78" i="71"/>
  <c r="A79" i="71" s="1"/>
  <c r="A80" i="71" s="1"/>
  <c r="A81" i="71" s="1"/>
  <c r="A82" i="71" s="1"/>
  <c r="A83" i="71" s="1"/>
  <c r="A84" i="71" s="1"/>
  <c r="A85" i="71" s="1"/>
  <c r="A86" i="71" s="1"/>
  <c r="A87" i="71" s="1"/>
  <c r="I88" i="71" s="1"/>
  <c r="A64" i="1"/>
  <c r="G25" i="12" l="1"/>
  <c r="A347" i="11"/>
  <c r="A350" i="11" s="1"/>
  <c r="A351" i="11" s="1"/>
  <c r="G26" i="12" s="1"/>
  <c r="A352" i="11"/>
  <c r="A355" i="11" s="1"/>
  <c r="A356" i="11" s="1"/>
  <c r="G27" i="12" s="1"/>
  <c r="A68" i="8"/>
  <c r="G68" i="8"/>
  <c r="G74" i="44"/>
  <c r="G81" i="44"/>
  <c r="A77" i="44"/>
  <c r="A78" i="44" s="1"/>
  <c r="A79" i="44" s="1"/>
  <c r="A80" i="44" s="1"/>
  <c r="A81" i="44" s="1"/>
  <c r="A82" i="44" s="1"/>
  <c r="A83" i="44" s="1"/>
  <c r="A33" i="2"/>
  <c r="A88" i="71"/>
  <c r="A94" i="71" s="1"/>
  <c r="B192" i="71"/>
  <c r="A65" i="1"/>
  <c r="A357" i="11" l="1"/>
  <c r="A358" i="11" s="1"/>
  <c r="A361" i="11" s="1"/>
  <c r="A362" i="11" s="1"/>
  <c r="A363" i="11" s="1"/>
  <c r="A364" i="11" s="1"/>
  <c r="A365" i="11" s="1"/>
  <c r="A368" i="11" s="1"/>
  <c r="A369" i="11" s="1"/>
  <c r="A370" i="11" s="1"/>
  <c r="A373" i="11" s="1"/>
  <c r="A374" i="11" s="1"/>
  <c r="A375" i="11" s="1"/>
  <c r="A378" i="11" s="1"/>
  <c r="A379" i="11" s="1"/>
  <c r="A380" i="11" s="1"/>
  <c r="A383" i="11" s="1"/>
  <c r="A384" i="11" s="1"/>
  <c r="A385" i="11" s="1"/>
  <c r="A388" i="11" s="1"/>
  <c r="A389" i="11" s="1"/>
  <c r="A390" i="11" s="1"/>
  <c r="A393" i="11" s="1"/>
  <c r="A394" i="11" s="1"/>
  <c r="A395" i="11" s="1"/>
  <c r="A398" i="11" s="1"/>
  <c r="A399" i="11" s="1"/>
  <c r="A400" i="11" s="1"/>
  <c r="A403" i="11" s="1"/>
  <c r="A404" i="11" s="1"/>
  <c r="A405" i="11" s="1"/>
  <c r="A408" i="11" s="1"/>
  <c r="A409" i="11" s="1"/>
  <c r="A410" i="11" s="1"/>
  <c r="A69" i="8"/>
  <c r="A70" i="8" s="1"/>
  <c r="G70" i="8"/>
  <c r="G88" i="44"/>
  <c r="A87" i="44"/>
  <c r="A88" i="44" s="1"/>
  <c r="A89" i="44" s="1"/>
  <c r="A90" i="44" s="1"/>
  <c r="A91" i="44" s="1"/>
  <c r="A92" i="44" s="1"/>
  <c r="A93" i="44" s="1"/>
  <c r="I158" i="1" s="1"/>
  <c r="A34" i="2"/>
  <c r="A35" i="2" s="1"/>
  <c r="A36" i="2" s="1"/>
  <c r="A95" i="71"/>
  <c r="A96" i="71" s="1"/>
  <c r="A97" i="71" s="1"/>
  <c r="A98" i="71" s="1"/>
  <c r="A99" i="71" s="1"/>
  <c r="A100" i="71" s="1"/>
  <c r="A101" i="71" s="1"/>
  <c r="A102" i="71" s="1"/>
  <c r="A103" i="71" s="1"/>
  <c r="A104" i="71" s="1"/>
  <c r="A105" i="71" s="1"/>
  <c r="A111" i="71" s="1"/>
  <c r="A68" i="1"/>
  <c r="I85" i="1"/>
  <c r="A71" i="8" l="1"/>
  <c r="B101" i="44"/>
  <c r="G93" i="44"/>
  <c r="G91" i="44"/>
  <c r="E36" i="2"/>
  <c r="E35" i="2"/>
  <c r="A37" i="2"/>
  <c r="A38" i="2" s="1"/>
  <c r="A39" i="2" s="1"/>
  <c r="I105" i="71"/>
  <c r="A112" i="71"/>
  <c r="A113" i="71" s="1"/>
  <c r="F114" i="71" s="1"/>
  <c r="A69" i="1"/>
  <c r="A70" i="1" s="1"/>
  <c r="A72" i="8" l="1"/>
  <c r="G72" i="8"/>
  <c r="A73" i="8"/>
  <c r="H14" i="65" s="1"/>
  <c r="G73" i="8"/>
  <c r="A40" i="2"/>
  <c r="A41" i="2" s="1"/>
  <c r="A42" i="2" s="1"/>
  <c r="F113" i="71"/>
  <c r="A114" i="71"/>
  <c r="A115" i="71" s="1"/>
  <c r="A120" i="71" s="1"/>
  <c r="F138" i="71"/>
  <c r="A73" i="1"/>
  <c r="I86" i="1"/>
  <c r="I75" i="1" l="1"/>
  <c r="E41" i="2"/>
  <c r="E42" i="2"/>
  <c r="A43" i="2"/>
  <c r="F115" i="71"/>
  <c r="A121" i="71"/>
  <c r="A122" i="71" s="1"/>
  <c r="A123" i="71" s="1"/>
  <c r="A124" i="71" s="1"/>
  <c r="A125" i="71" s="1"/>
  <c r="A126" i="71" s="1"/>
  <c r="A127" i="71" s="1"/>
  <c r="A128" i="71" s="1"/>
  <c r="A129" i="71" s="1"/>
  <c r="A130" i="71" s="1"/>
  <c r="A131" i="71" s="1"/>
  <c r="A137" i="71" s="1"/>
  <c r="A75" i="1"/>
  <c r="I81" i="1" l="1"/>
  <c r="A80" i="1"/>
  <c r="I82" i="1"/>
  <c r="A44" i="2"/>
  <c r="A45" i="2" s="1"/>
  <c r="A46" i="2" s="1"/>
  <c r="A47" i="2" s="1"/>
  <c r="A48" i="2" s="1"/>
  <c r="A49" i="2" s="1"/>
  <c r="A138" i="71"/>
  <c r="A139" i="71" s="1"/>
  <c r="F131" i="71"/>
  <c r="B193" i="71"/>
  <c r="A50" i="2" l="1"/>
  <c r="A51" i="2" s="1"/>
  <c r="A52" i="2" s="1"/>
  <c r="A53" i="2" s="1"/>
  <c r="A54" i="2" s="1"/>
  <c r="F139" i="71"/>
  <c r="A140" i="71"/>
  <c r="A141" i="71" s="1"/>
  <c r="A142" i="71" s="1"/>
  <c r="A143" i="71" s="1"/>
  <c r="A144" i="71" s="1"/>
  <c r="A145" i="71" s="1"/>
  <c r="B37" i="31" s="1"/>
  <c r="A81" i="1"/>
  <c r="I90"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2" i="1"/>
  <c r="F97" i="8" s="1"/>
  <c r="I91" i="1"/>
  <c r="I80" i="1" l="1"/>
  <c r="G93" i="12"/>
  <c r="I15" i="12"/>
  <c r="A85" i="1"/>
  <c r="A86" i="1" s="1"/>
  <c r="A87" i="1" s="1"/>
  <c r="I83" i="1"/>
  <c r="G100" i="12" l="1"/>
  <c r="I92" i="1"/>
  <c r="A90" i="1"/>
  <c r="A91" i="1" s="1"/>
  <c r="F96" i="8" s="1"/>
  <c r="E21" i="7" l="1"/>
  <c r="F95" i="8"/>
  <c r="A92" i="1"/>
  <c r="I95" i="1" s="1"/>
  <c r="I93" i="1" l="1"/>
  <c r="A93" i="1"/>
  <c r="F25" i="71" l="1"/>
  <c r="A95" i="1"/>
  <c r="I97" i="1"/>
  <c r="F32" i="71" l="1"/>
  <c r="E22" i="7"/>
  <c r="I118" i="1"/>
  <c r="A97" i="1"/>
  <c r="A102" i="1" l="1"/>
  <c r="I133" i="1"/>
  <c r="A103" i="1" l="1"/>
  <c r="A104" i="1" s="1"/>
  <c r="F33" i="71" l="1"/>
  <c r="I16" i="12"/>
  <c r="H43" i="8"/>
  <c r="E23" i="7"/>
  <c r="G56" i="44"/>
  <c r="I119" i="1"/>
  <c r="E48" i="2"/>
  <c r="E47" i="2"/>
  <c r="I104" i="1"/>
  <c r="A107" i="1"/>
  <c r="A108" i="1" l="1"/>
  <c r="A109" i="1" s="1"/>
  <c r="A110" i="1" s="1"/>
  <c r="A112" i="1" s="1"/>
  <c r="A114" i="1" s="1"/>
  <c r="H45" i="8" s="1"/>
  <c r="H44" i="8"/>
  <c r="I120" i="1" l="1"/>
  <c r="I110" i="1"/>
  <c r="I134" i="1"/>
  <c r="A126" i="1"/>
  <c r="I139" i="1" s="1"/>
  <c r="I112" i="1"/>
  <c r="A127" i="1" l="1"/>
  <c r="H49" i="8" s="1"/>
  <c r="H48" i="8"/>
  <c r="A128" i="1" l="1"/>
  <c r="H50" i="8" s="1"/>
  <c r="E72" i="7"/>
  <c r="I17" i="1"/>
  <c r="A129" i="1"/>
  <c r="H51" i="8" s="1"/>
  <c r="A130" i="1" l="1"/>
  <c r="H52" i="8" s="1"/>
  <c r="A131" i="1" l="1"/>
  <c r="H53" i="8" s="1"/>
  <c r="A132" i="1" l="1"/>
  <c r="H54" i="8" s="1"/>
  <c r="A133" i="1" l="1"/>
  <c r="A134" i="1" l="1"/>
  <c r="A135" i="1" s="1"/>
  <c r="A136" i="1" s="1"/>
  <c r="A137" i="1" s="1"/>
  <c r="A139" i="1" s="1"/>
  <c r="H58" i="8"/>
  <c r="H57" i="8" l="1"/>
  <c r="A141" i="1"/>
  <c r="A142" i="1" s="1"/>
  <c r="G89" i="44" s="1"/>
  <c r="E54" i="2"/>
  <c r="E53" i="2"/>
  <c r="I144" i="1" l="1"/>
  <c r="A144" i="1"/>
  <c r="I149" i="1" s="1"/>
  <c r="I142" i="1"/>
  <c r="I141" i="1"/>
  <c r="E70" i="7"/>
  <c r="A149" i="1"/>
  <c r="A150" i="1" s="1"/>
  <c r="A151" i="1" s="1"/>
  <c r="A152" i="1" l="1"/>
  <c r="A154" i="1" s="1"/>
  <c r="A157" i="1" l="1"/>
  <c r="A158" i="1" s="1"/>
  <c r="A159" i="1" s="1"/>
  <c r="G4" i="31" s="1"/>
  <c r="I157" i="1"/>
  <c r="I154" i="1"/>
  <c r="I159" i="1" l="1"/>
  <c r="K53" i="1" l="1"/>
  <c r="K54" i="1" s="1"/>
  <c r="I92" i="46"/>
  <c r="I91" i="46"/>
  <c r="I74" i="46"/>
  <c r="I106" i="46" l="1"/>
  <c r="H74" i="46"/>
  <c r="G74" i="46" s="1"/>
  <c r="H91" i="46"/>
  <c r="G91" i="46" s="1"/>
  <c r="H92" i="46"/>
  <c r="G92" i="46" s="1"/>
  <c r="C149" i="46" l="1"/>
  <c r="H105" i="46" l="1"/>
  <c r="G105" i="46" l="1"/>
  <c r="G106" i="46" s="1"/>
  <c r="H106" i="46"/>
  <c r="I118" i="46"/>
  <c r="I117" i="46"/>
  <c r="I116" i="46"/>
  <c r="I115" i="46"/>
  <c r="I121" i="46" l="1"/>
  <c r="I124" i="46" s="1"/>
  <c r="H118" i="46"/>
  <c r="G118" i="46" s="1"/>
  <c r="H115" i="46"/>
  <c r="G115" i="46" s="1"/>
  <c r="H116" i="46"/>
  <c r="G116" i="46" s="1"/>
  <c r="H117" i="46"/>
  <c r="G117" i="46" s="1"/>
  <c r="G121" i="46" l="1"/>
  <c r="G124" i="46" s="1"/>
  <c r="H121" i="46"/>
  <c r="H124" i="46" s="1"/>
  <c r="K126" i="1" l="1"/>
  <c r="G7" i="2"/>
  <c r="G15" i="2" s="1"/>
  <c r="F24" i="22" l="1"/>
  <c r="G26" i="79"/>
  <c r="G27" i="79" s="1"/>
  <c r="F54" i="22"/>
  <c r="F55" i="22" s="1"/>
  <c r="K16" i="1" s="1"/>
  <c r="D29" i="54"/>
  <c r="F50" i="22"/>
  <c r="F52" i="21"/>
  <c r="F59" i="21"/>
  <c r="F63" i="4"/>
  <c r="F58" i="4"/>
  <c r="H85" i="64"/>
  <c r="H73" i="44"/>
  <c r="H74" i="44" s="1"/>
  <c r="G31" i="79"/>
  <c r="G32" i="79" s="1"/>
  <c r="I26" i="79"/>
  <c r="I27" i="79" s="1"/>
  <c r="G38" i="79"/>
  <c r="G39" i="79" s="1"/>
  <c r="I38" i="79"/>
  <c r="I39" i="79" s="1"/>
  <c r="I31" i="79"/>
  <c r="I32" i="79" s="1"/>
  <c r="H131" i="15"/>
  <c r="H132" i="15" s="1"/>
  <c r="H70" i="15"/>
  <c r="H71" i="15" s="1"/>
  <c r="H90" i="15"/>
  <c r="H91" i="15" s="1"/>
  <c r="G25" i="2"/>
  <c r="F26" i="26"/>
  <c r="F27" i="26" s="1"/>
  <c r="K55" i="1"/>
  <c r="K56" i="1" s="1"/>
  <c r="E29" i="54"/>
  <c r="G23" i="2"/>
  <c r="J48" i="8"/>
  <c r="G28" i="2" l="1"/>
  <c r="K27" i="79"/>
  <c r="K39" i="79"/>
  <c r="F51" i="22"/>
  <c r="J13" i="8" s="1"/>
  <c r="F59" i="4"/>
  <c r="J7" i="8" s="1"/>
  <c r="F53" i="21"/>
  <c r="J20" i="8" s="1"/>
  <c r="K32" i="79"/>
  <c r="F64" i="4"/>
  <c r="K10" i="1" s="1"/>
  <c r="H86" i="64"/>
  <c r="F93" i="64" s="1"/>
  <c r="E30" i="54"/>
  <c r="E39" i="54" s="1"/>
  <c r="K11" i="1" s="1"/>
  <c r="D30" i="54"/>
  <c r="D39" i="54" s="1"/>
  <c r="F60" i="21"/>
  <c r="K23" i="1" s="1"/>
  <c r="K24" i="1" s="1"/>
  <c r="I18" i="79"/>
  <c r="G19" i="79"/>
  <c r="G17" i="79"/>
  <c r="G18" i="79"/>
  <c r="H81" i="44"/>
  <c r="H83" i="44" s="1"/>
  <c r="F27" i="22"/>
  <c r="J12" i="8" s="1"/>
  <c r="F26" i="22"/>
  <c r="K15" i="1" s="1"/>
  <c r="G70" i="15" l="1"/>
  <c r="G71" i="15" s="1"/>
  <c r="D71" i="15" s="1"/>
  <c r="D10" i="15" s="1"/>
  <c r="G90" i="15"/>
  <c r="G91" i="15" s="1"/>
  <c r="D91" i="15" s="1"/>
  <c r="D42" i="54"/>
  <c r="J8" i="8" s="1"/>
  <c r="G20" i="79"/>
  <c r="H88" i="44"/>
  <c r="I19" i="79"/>
  <c r="K19" i="79" s="1"/>
  <c r="K18" i="79"/>
  <c r="I17" i="79"/>
  <c r="G131" i="15"/>
  <c r="G132" i="15" s="1"/>
  <c r="D132" i="15" s="1"/>
  <c r="K40" i="1"/>
  <c r="K41" i="1" s="1"/>
  <c r="K58" i="1" s="1"/>
  <c r="F28" i="26"/>
  <c r="F29" i="26" s="1"/>
  <c r="H92" i="44" l="1"/>
  <c r="F30" i="26"/>
  <c r="K127" i="1" s="1"/>
  <c r="I20" i="79"/>
  <c r="K9" i="79" s="1"/>
  <c r="K31" i="1" s="1"/>
  <c r="D11" i="15"/>
  <c r="K17" i="79"/>
  <c r="D12" i="15"/>
  <c r="D14" i="15" l="1"/>
  <c r="D24" i="15" s="1"/>
  <c r="K17" i="1"/>
  <c r="K18" i="1" s="1"/>
  <c r="D72" i="7"/>
  <c r="J49" i="8"/>
  <c r="K20" i="79"/>
  <c r="K10" i="79" s="1"/>
  <c r="J26" i="8" s="1"/>
  <c r="J14" i="8" l="1"/>
  <c r="J15" i="8" s="1"/>
  <c r="K131" i="1"/>
  <c r="J53" i="8" l="1"/>
  <c r="C13" i="64"/>
  <c r="C49" i="64" l="1"/>
  <c r="K26" i="1"/>
  <c r="C14" i="64"/>
  <c r="D71" i="21" l="1"/>
  <c r="C50" i="64"/>
  <c r="C15" i="64"/>
  <c r="D72" i="21" l="1"/>
  <c r="C51" i="64"/>
  <c r="J23" i="8"/>
  <c r="C16" i="64"/>
  <c r="D73" i="21" l="1"/>
  <c r="C52" i="64"/>
  <c r="C17" i="64"/>
  <c r="D74" i="21" l="1"/>
  <c r="C53" i="64"/>
  <c r="C18" i="64"/>
  <c r="D75" i="21" l="1"/>
  <c r="C54" i="64"/>
  <c r="C19" i="64"/>
  <c r="D76" i="21" l="1"/>
  <c r="C55" i="64"/>
  <c r="C20" i="64"/>
  <c r="D77" i="21" l="1"/>
  <c r="C56" i="64"/>
  <c r="C21" i="64"/>
  <c r="D78" i="21" l="1"/>
  <c r="C57" i="64"/>
  <c r="C22" i="64"/>
  <c r="D79" i="21" l="1"/>
  <c r="C58" i="64"/>
  <c r="C23" i="64"/>
  <c r="D80" i="21" l="1"/>
  <c r="C59" i="64"/>
  <c r="D81" i="21" l="1"/>
  <c r="D82" i="21" s="1"/>
  <c r="D109" i="21" s="1"/>
  <c r="C60" i="64"/>
  <c r="D13" i="64"/>
  <c r="D49" i="64" l="1"/>
  <c r="D112" i="21"/>
  <c r="D14" i="64"/>
  <c r="E71" i="21" l="1"/>
  <c r="D50" i="64"/>
  <c r="D129" i="21"/>
  <c r="D121" i="21"/>
  <c r="D123" i="21"/>
  <c r="D122" i="21"/>
  <c r="D124" i="21"/>
  <c r="D127" i="21"/>
  <c r="D119" i="21"/>
  <c r="D126" i="21"/>
  <c r="D128" i="21"/>
  <c r="D130" i="21"/>
  <c r="D125" i="21"/>
  <c r="D120" i="21"/>
  <c r="D15" i="64"/>
  <c r="E72" i="21" l="1"/>
  <c r="D51" i="64"/>
  <c r="D131" i="21"/>
  <c r="D13" i="21"/>
  <c r="D16" i="64"/>
  <c r="E73" i="21" l="1"/>
  <c r="D52" i="64"/>
  <c r="D14" i="21"/>
  <c r="D17" i="64"/>
  <c r="E74" i="21" l="1"/>
  <c r="D53" i="64"/>
  <c r="D15" i="21"/>
  <c r="D18" i="64"/>
  <c r="E75" i="21" l="1"/>
  <c r="D54" i="64"/>
  <c r="D16" i="21"/>
  <c r="D19" i="64"/>
  <c r="E76" i="21" l="1"/>
  <c r="D55" i="64"/>
  <c r="D17" i="21"/>
  <c r="D20" i="64"/>
  <c r="E77" i="21" l="1"/>
  <c r="D56" i="64"/>
  <c r="D18" i="21"/>
  <c r="D21" i="64"/>
  <c r="E78" i="21" l="1"/>
  <c r="D57" i="64"/>
  <c r="D19" i="21"/>
  <c r="D22" i="64"/>
  <c r="E79" i="21" l="1"/>
  <c r="D58" i="64"/>
  <c r="D20" i="21"/>
  <c r="D23" i="64"/>
  <c r="D25" i="4"/>
  <c r="E80" i="21" l="1"/>
  <c r="D59" i="64"/>
  <c r="D21" i="21"/>
  <c r="E81" i="21" l="1"/>
  <c r="E82" i="21" s="1"/>
  <c r="D60" i="64"/>
  <c r="D22" i="21"/>
  <c r="E109" i="21"/>
  <c r="I24" i="64"/>
  <c r="C125" i="48" s="1"/>
  <c r="E125" i="48" s="1"/>
  <c r="F24" i="64"/>
  <c r="C122" i="48" s="1"/>
  <c r="E122" i="48" s="1"/>
  <c r="G24" i="64"/>
  <c r="C123" i="48" s="1"/>
  <c r="E123" i="48" s="1"/>
  <c r="L183" i="4"/>
  <c r="L191" i="4" s="1"/>
  <c r="L24" i="64"/>
  <c r="C128" i="48" s="1"/>
  <c r="E128" i="48" s="1"/>
  <c r="F183" i="4"/>
  <c r="F191" i="4" s="1"/>
  <c r="G183" i="4"/>
  <c r="G191" i="4" s="1"/>
  <c r="G198" i="4" s="1"/>
  <c r="K183" i="4"/>
  <c r="K191" i="4" s="1"/>
  <c r="K203" i="4" s="1"/>
  <c r="K24" i="64"/>
  <c r="C127" i="48" s="1"/>
  <c r="E127" i="48" s="1"/>
  <c r="J24" i="64"/>
  <c r="C126" i="48" s="1"/>
  <c r="E126" i="48" s="1"/>
  <c r="J183" i="4"/>
  <c r="J191" i="4" s="1"/>
  <c r="J209" i="4" s="1"/>
  <c r="M24" i="4"/>
  <c r="H183" i="4"/>
  <c r="H191" i="4" s="1"/>
  <c r="H24" i="64"/>
  <c r="C124" i="48" s="1"/>
  <c r="E124" i="48" s="1"/>
  <c r="E183" i="4"/>
  <c r="E191" i="4" s="1"/>
  <c r="E24" i="64"/>
  <c r="C121" i="48" s="1"/>
  <c r="I183" i="4"/>
  <c r="I191" i="4" s="1"/>
  <c r="E121" i="48" l="1"/>
  <c r="E130" i="48" s="1"/>
  <c r="E131" i="48"/>
  <c r="G13" i="4"/>
  <c r="M24" i="64"/>
  <c r="M183" i="4"/>
  <c r="M191" i="4" s="1"/>
  <c r="K209" i="4"/>
  <c r="E201" i="4"/>
  <c r="E207" i="4"/>
  <c r="E200" i="4"/>
  <c r="D36" i="7"/>
  <c r="D40" i="7" s="1"/>
  <c r="D23" i="21"/>
  <c r="E112" i="21"/>
  <c r="J206" i="4"/>
  <c r="J204" i="4"/>
  <c r="J202" i="4"/>
  <c r="J207" i="4"/>
  <c r="J199" i="4"/>
  <c r="J201" i="4"/>
  <c r="J200" i="4"/>
  <c r="J205" i="4"/>
  <c r="J198" i="4"/>
  <c r="J208" i="4"/>
  <c r="J203" i="4"/>
  <c r="G200" i="4"/>
  <c r="G202" i="4"/>
  <c r="G207" i="4"/>
  <c r="G204" i="4"/>
  <c r="G199" i="4"/>
  <c r="G205" i="4"/>
  <c r="G208" i="4"/>
  <c r="G203" i="4"/>
  <c r="G206" i="4"/>
  <c r="G209" i="4"/>
  <c r="G201" i="4"/>
  <c r="L201" i="4"/>
  <c r="L199" i="4"/>
  <c r="L208" i="4"/>
  <c r="L205" i="4"/>
  <c r="L203" i="4"/>
  <c r="L200" i="4"/>
  <c r="L202" i="4"/>
  <c r="L207" i="4"/>
  <c r="L209" i="4"/>
  <c r="L204" i="4"/>
  <c r="L198" i="4"/>
  <c r="L206" i="4"/>
  <c r="I201" i="4"/>
  <c r="I205" i="4"/>
  <c r="I204" i="4"/>
  <c r="I206" i="4"/>
  <c r="I199" i="4"/>
  <c r="I202" i="4"/>
  <c r="I198" i="4"/>
  <c r="I200" i="4"/>
  <c r="I209" i="4"/>
  <c r="I207" i="4"/>
  <c r="I208" i="4"/>
  <c r="I203" i="4"/>
  <c r="H202" i="4"/>
  <c r="H207" i="4"/>
  <c r="H199" i="4"/>
  <c r="H205" i="4"/>
  <c r="H200" i="4"/>
  <c r="H206" i="4"/>
  <c r="H209" i="4"/>
  <c r="H198" i="4"/>
  <c r="H208" i="4"/>
  <c r="H204" i="4"/>
  <c r="H203" i="4"/>
  <c r="H201" i="4"/>
  <c r="F207" i="4"/>
  <c r="F203" i="4"/>
  <c r="F204" i="4"/>
  <c r="F206" i="4"/>
  <c r="F199" i="4"/>
  <c r="F201" i="4"/>
  <c r="F208" i="4"/>
  <c r="F205" i="4"/>
  <c r="F200" i="4"/>
  <c r="F202" i="4"/>
  <c r="F198" i="4"/>
  <c r="F209" i="4"/>
  <c r="K204" i="4"/>
  <c r="K206" i="4"/>
  <c r="K200" i="4"/>
  <c r="K208" i="4"/>
  <c r="K205" i="4"/>
  <c r="K199" i="4"/>
  <c r="K207" i="4"/>
  <c r="K202" i="4"/>
  <c r="K201" i="4"/>
  <c r="K198" i="4"/>
  <c r="E209" i="4"/>
  <c r="D44" i="4"/>
  <c r="K9" i="1" s="1"/>
  <c r="K34" i="1" s="1"/>
  <c r="E204" i="4"/>
  <c r="E205" i="4"/>
  <c r="E206" i="4"/>
  <c r="E202" i="4"/>
  <c r="E198" i="4"/>
  <c r="E203" i="4"/>
  <c r="E199" i="4"/>
  <c r="E208" i="4"/>
  <c r="M203" i="4" l="1"/>
  <c r="G210" i="4"/>
  <c r="E133" i="48"/>
  <c r="M206" i="4"/>
  <c r="M209" i="4"/>
  <c r="F13" i="4"/>
  <c r="F14" i="4" s="1"/>
  <c r="F15" i="4" s="1"/>
  <c r="F16" i="4" s="1"/>
  <c r="F17" i="4" s="1"/>
  <c r="F18" i="4" s="1"/>
  <c r="F19" i="4" s="1"/>
  <c r="F20" i="4" s="1"/>
  <c r="F21" i="4" s="1"/>
  <c r="F22" i="4" s="1"/>
  <c r="F23" i="4" s="1"/>
  <c r="F210" i="4"/>
  <c r="I13" i="4"/>
  <c r="I14" i="4" s="1"/>
  <c r="I15" i="4" s="1"/>
  <c r="I16" i="4" s="1"/>
  <c r="I17" i="4" s="1"/>
  <c r="I18" i="4" s="1"/>
  <c r="I19" i="4" s="1"/>
  <c r="I20" i="4" s="1"/>
  <c r="I21" i="4" s="1"/>
  <c r="I22" i="4" s="1"/>
  <c r="I23" i="4" s="1"/>
  <c r="I210" i="4"/>
  <c r="L13" i="4"/>
  <c r="L210" i="4"/>
  <c r="J13" i="4"/>
  <c r="J14" i="4" s="1"/>
  <c r="J15" i="4" s="1"/>
  <c r="J16" i="4" s="1"/>
  <c r="J17" i="4" s="1"/>
  <c r="J18" i="4" s="1"/>
  <c r="J19" i="4" s="1"/>
  <c r="J20" i="4" s="1"/>
  <c r="J21" i="4" s="1"/>
  <c r="J22" i="4" s="1"/>
  <c r="J23" i="4" s="1"/>
  <c r="J210" i="4"/>
  <c r="M200" i="4"/>
  <c r="E13" i="4"/>
  <c r="E210" i="4"/>
  <c r="M198" i="4"/>
  <c r="M205" i="4"/>
  <c r="K13" i="4"/>
  <c r="K14" i="4" s="1"/>
  <c r="K15" i="4" s="1"/>
  <c r="K16" i="4" s="1"/>
  <c r="K17" i="4" s="1"/>
  <c r="K18" i="4" s="1"/>
  <c r="K19" i="4" s="1"/>
  <c r="K20" i="4" s="1"/>
  <c r="K21" i="4" s="1"/>
  <c r="K22" i="4" s="1"/>
  <c r="K23" i="4" s="1"/>
  <c r="K210" i="4"/>
  <c r="M207" i="4"/>
  <c r="M208" i="4"/>
  <c r="M204" i="4"/>
  <c r="M201" i="4"/>
  <c r="M199" i="4"/>
  <c r="M202" i="4"/>
  <c r="H13" i="4"/>
  <c r="H14" i="4" s="1"/>
  <c r="H15" i="4" s="1"/>
  <c r="H16" i="4" s="1"/>
  <c r="H17" i="4" s="1"/>
  <c r="H18" i="4" s="1"/>
  <c r="H19" i="4" s="1"/>
  <c r="H20" i="4" s="1"/>
  <c r="H21" i="4" s="1"/>
  <c r="H22" i="4" s="1"/>
  <c r="H23" i="4" s="1"/>
  <c r="H210" i="4"/>
  <c r="D25" i="21"/>
  <c r="L14" i="4"/>
  <c r="L15" i="4" s="1"/>
  <c r="L16" i="4" s="1"/>
  <c r="L17" i="4" s="1"/>
  <c r="L18" i="4" s="1"/>
  <c r="L19" i="4" s="1"/>
  <c r="L20" i="4" s="1"/>
  <c r="L21" i="4" s="1"/>
  <c r="L22" i="4" s="1"/>
  <c r="L23" i="4" s="1"/>
  <c r="G14" i="4"/>
  <c r="G15" i="4" s="1"/>
  <c r="G16" i="4" s="1"/>
  <c r="G17" i="4" s="1"/>
  <c r="G18" i="4" s="1"/>
  <c r="G19" i="4" s="1"/>
  <c r="G20" i="4" s="1"/>
  <c r="G21" i="4" s="1"/>
  <c r="G22" i="4" s="1"/>
  <c r="G23" i="4" s="1"/>
  <c r="E119" i="21"/>
  <c r="E13" i="21" s="1"/>
  <c r="E129" i="21"/>
  <c r="E120" i="21"/>
  <c r="E127" i="21"/>
  <c r="E121" i="21"/>
  <c r="E130" i="21"/>
  <c r="E124" i="21"/>
  <c r="E125" i="21"/>
  <c r="E126" i="21"/>
  <c r="E123" i="21"/>
  <c r="E122" i="21"/>
  <c r="E128" i="21"/>
  <c r="G13" i="64"/>
  <c r="K112" i="1"/>
  <c r="K97" i="1"/>
  <c r="L47" i="48" l="1"/>
  <c r="L48" i="48"/>
  <c r="L49" i="48"/>
  <c r="L78" i="48"/>
  <c r="L79" i="48"/>
  <c r="L50" i="48"/>
  <c r="L18" i="48" s="1"/>
  <c r="L51" i="48"/>
  <c r="L19" i="48" s="1"/>
  <c r="L80" i="48"/>
  <c r="L81" i="48"/>
  <c r="L52" i="48"/>
  <c r="L53" i="48"/>
  <c r="L82" i="48"/>
  <c r="L54" i="48"/>
  <c r="L22" i="48" s="1"/>
  <c r="L83" i="48"/>
  <c r="L55" i="48"/>
  <c r="L23" i="48" s="1"/>
  <c r="L84" i="48"/>
  <c r="L85" i="48"/>
  <c r="L56" i="48"/>
  <c r="L86" i="48"/>
  <c r="L57" i="48"/>
  <c r="L87" i="48"/>
  <c r="L58" i="48"/>
  <c r="L26" i="48" s="1"/>
  <c r="L88" i="48"/>
  <c r="L59" i="48"/>
  <c r="L27" i="48" s="1"/>
  <c r="L89" i="48"/>
  <c r="L60" i="48"/>
  <c r="L90" i="48"/>
  <c r="L61" i="48"/>
  <c r="L62" i="48"/>
  <c r="L30" i="48" s="1"/>
  <c r="L91" i="48"/>
  <c r="L63" i="48"/>
  <c r="L31" i="48" s="1"/>
  <c r="L92" i="48"/>
  <c r="L64" i="48"/>
  <c r="L93" i="48"/>
  <c r="L94" i="48"/>
  <c r="L65" i="48"/>
  <c r="L66" i="48"/>
  <c r="L34" i="48" s="1"/>
  <c r="L95" i="48"/>
  <c r="L67" i="48"/>
  <c r="L35" i="48" s="1"/>
  <c r="L96" i="48"/>
  <c r="L68" i="48"/>
  <c r="L97" i="48"/>
  <c r="L98" i="48"/>
  <c r="L99" i="48"/>
  <c r="E14" i="4"/>
  <c r="M13" i="4"/>
  <c r="M210" i="4"/>
  <c r="G49" i="64"/>
  <c r="L46" i="48"/>
  <c r="M46" i="48" s="1"/>
  <c r="N46" i="48" s="1"/>
  <c r="L77" i="48"/>
  <c r="M77" i="48" s="1"/>
  <c r="N77" i="48" s="1"/>
  <c r="G16" i="64"/>
  <c r="G17" i="64"/>
  <c r="H14" i="64"/>
  <c r="G15" i="64"/>
  <c r="L14" i="64"/>
  <c r="G14" i="64"/>
  <c r="K133" i="1"/>
  <c r="K134" i="1"/>
  <c r="E131" i="21"/>
  <c r="J14" i="64"/>
  <c r="E14" i="64"/>
  <c r="I14" i="64"/>
  <c r="F13" i="64"/>
  <c r="K13" i="64"/>
  <c r="L13" i="64"/>
  <c r="I13" i="64"/>
  <c r="J13" i="64"/>
  <c r="E13" i="64"/>
  <c r="H13" i="64"/>
  <c r="L29" i="48" l="1"/>
  <c r="L25" i="48"/>
  <c r="M78" i="48"/>
  <c r="L21" i="48"/>
  <c r="L17" i="48"/>
  <c r="L28" i="48"/>
  <c r="L24" i="48"/>
  <c r="L20" i="48"/>
  <c r="L16" i="48"/>
  <c r="L33" i="48"/>
  <c r="N14" i="48"/>
  <c r="L36" i="48"/>
  <c r="L32" i="48"/>
  <c r="L15" i="48"/>
  <c r="E15" i="4"/>
  <c r="E16" i="4" s="1"/>
  <c r="E17" i="4" s="1"/>
  <c r="E18" i="4" s="1"/>
  <c r="E19" i="4" s="1"/>
  <c r="E20" i="4" s="1"/>
  <c r="M14" i="4"/>
  <c r="M14" i="64" s="1"/>
  <c r="H71" i="21"/>
  <c r="H49" i="64"/>
  <c r="I49" i="64"/>
  <c r="F49" i="64"/>
  <c r="G50" i="64"/>
  <c r="G53" i="64"/>
  <c r="E49" i="64"/>
  <c r="I50" i="64"/>
  <c r="L50" i="64"/>
  <c r="G52" i="64"/>
  <c r="L49" i="64"/>
  <c r="E50" i="64"/>
  <c r="G51" i="64"/>
  <c r="J49" i="64"/>
  <c r="K49" i="64"/>
  <c r="J50" i="64"/>
  <c r="H50" i="64"/>
  <c r="M47" i="48"/>
  <c r="M15" i="48" s="1"/>
  <c r="L14" i="48"/>
  <c r="E14" i="21"/>
  <c r="L15" i="64"/>
  <c r="H15" i="64"/>
  <c r="G18" i="64"/>
  <c r="K14" i="64"/>
  <c r="I15" i="64"/>
  <c r="J15" i="64"/>
  <c r="F14" i="64"/>
  <c r="M13" i="64"/>
  <c r="E15" i="64"/>
  <c r="M15" i="4"/>
  <c r="M15" i="64" s="1"/>
  <c r="M79" i="48" l="1"/>
  <c r="N78" i="48"/>
  <c r="M48" i="48"/>
  <c r="M16" i="48" s="1"/>
  <c r="N47" i="48"/>
  <c r="N15" i="48" s="1"/>
  <c r="E21" i="4"/>
  <c r="E22" i="4" s="1"/>
  <c r="E23" i="4" s="1"/>
  <c r="E20" i="64"/>
  <c r="E56" i="64" s="1"/>
  <c r="K71" i="21"/>
  <c r="H74" i="21"/>
  <c r="H75" i="21"/>
  <c r="I72" i="21"/>
  <c r="H73" i="21"/>
  <c r="M72" i="21"/>
  <c r="H72" i="21"/>
  <c r="K72" i="21"/>
  <c r="F72" i="21"/>
  <c r="J72" i="21"/>
  <c r="G71" i="21"/>
  <c r="L71" i="21"/>
  <c r="J71" i="21"/>
  <c r="M14" i="48"/>
  <c r="M49" i="64"/>
  <c r="E51" i="64"/>
  <c r="J51" i="64"/>
  <c r="G54" i="64"/>
  <c r="I51" i="64"/>
  <c r="H51" i="64"/>
  <c r="M71" i="21"/>
  <c r="F71" i="21"/>
  <c r="L51" i="64"/>
  <c r="F50" i="64"/>
  <c r="K50" i="64"/>
  <c r="I71" i="21"/>
  <c r="E15" i="21"/>
  <c r="H16" i="64"/>
  <c r="K15" i="64"/>
  <c r="G19" i="64"/>
  <c r="L16" i="64"/>
  <c r="E16" i="64"/>
  <c r="M16" i="4"/>
  <c r="M16" i="64" s="1"/>
  <c r="F15" i="64"/>
  <c r="J16" i="64"/>
  <c r="I16" i="64"/>
  <c r="N79" i="48" l="1"/>
  <c r="M80" i="48"/>
  <c r="M49" i="48"/>
  <c r="M17" i="48" s="1"/>
  <c r="N48" i="48"/>
  <c r="N16" i="48" s="1"/>
  <c r="L72" i="21"/>
  <c r="K73" i="21"/>
  <c r="I73" i="21"/>
  <c r="J73" i="21"/>
  <c r="G72" i="21"/>
  <c r="F73" i="21"/>
  <c r="M73" i="21"/>
  <c r="H76" i="21"/>
  <c r="J52" i="64"/>
  <c r="K51" i="64"/>
  <c r="F51" i="64"/>
  <c r="E52" i="64"/>
  <c r="M50" i="64"/>
  <c r="L52" i="64"/>
  <c r="I52" i="64"/>
  <c r="G55" i="64"/>
  <c r="H52" i="64"/>
  <c r="N71" i="21"/>
  <c r="E16" i="21"/>
  <c r="F16" i="64"/>
  <c r="G20" i="64"/>
  <c r="L17" i="64"/>
  <c r="K16" i="64"/>
  <c r="I17" i="64"/>
  <c r="J17" i="64"/>
  <c r="M17" i="4"/>
  <c r="M17" i="64" s="1"/>
  <c r="E17" i="64"/>
  <c r="H17" i="64"/>
  <c r="N80" i="48" l="1"/>
  <c r="M81" i="48"/>
  <c r="N72" i="21"/>
  <c r="M50" i="48"/>
  <c r="M18" i="48" s="1"/>
  <c r="N49" i="48"/>
  <c r="N17" i="48" s="1"/>
  <c r="F74" i="21"/>
  <c r="M74" i="21"/>
  <c r="H77" i="21"/>
  <c r="J74" i="21"/>
  <c r="L73" i="21"/>
  <c r="K74" i="21"/>
  <c r="M51" i="64"/>
  <c r="H53" i="64"/>
  <c r="K52" i="64"/>
  <c r="F52" i="64"/>
  <c r="L53" i="64"/>
  <c r="E53" i="64"/>
  <c r="J53" i="64"/>
  <c r="G56" i="64"/>
  <c r="I74" i="21"/>
  <c r="G73" i="21"/>
  <c r="N73" i="21" s="1"/>
  <c r="I53" i="64"/>
  <c r="E17" i="21"/>
  <c r="E18" i="64"/>
  <c r="G21" i="64"/>
  <c r="I18" i="64"/>
  <c r="L18" i="64"/>
  <c r="F17" i="64"/>
  <c r="M18" i="4"/>
  <c r="J18" i="64"/>
  <c r="K17" i="64"/>
  <c r="H18" i="64"/>
  <c r="N81" i="48" l="1"/>
  <c r="M82" i="48"/>
  <c r="M51" i="48"/>
  <c r="M19" i="48" s="1"/>
  <c r="N50" i="48"/>
  <c r="N18" i="48" s="1"/>
  <c r="K75" i="21"/>
  <c r="F75" i="21"/>
  <c r="I75" i="21"/>
  <c r="H78" i="21"/>
  <c r="J75" i="21"/>
  <c r="M75" i="21"/>
  <c r="G74" i="21"/>
  <c r="M52" i="64"/>
  <c r="K53" i="64"/>
  <c r="L54" i="64"/>
  <c r="J54" i="64"/>
  <c r="I54" i="64"/>
  <c r="L74" i="21"/>
  <c r="E54" i="64"/>
  <c r="H54" i="64"/>
  <c r="F53" i="64"/>
  <c r="G57" i="64"/>
  <c r="E18" i="21"/>
  <c r="M18" i="64"/>
  <c r="H19" i="64"/>
  <c r="I19" i="64"/>
  <c r="K18" i="64"/>
  <c r="J19" i="64"/>
  <c r="L19" i="64"/>
  <c r="F18" i="64"/>
  <c r="F54" i="64" s="1"/>
  <c r="G22" i="64"/>
  <c r="M19" i="4"/>
  <c r="M19" i="64" s="1"/>
  <c r="E19" i="64"/>
  <c r="N82" i="48" l="1"/>
  <c r="M83" i="48"/>
  <c r="M52" i="48"/>
  <c r="M20" i="48" s="1"/>
  <c r="N51" i="48"/>
  <c r="N19" i="48" s="1"/>
  <c r="N74" i="21"/>
  <c r="K76" i="21"/>
  <c r="I76" i="21"/>
  <c r="F76" i="21"/>
  <c r="H79" i="21"/>
  <c r="L75" i="21"/>
  <c r="M76" i="21"/>
  <c r="J76" i="21"/>
  <c r="M53" i="64"/>
  <c r="G58" i="64"/>
  <c r="J55" i="64"/>
  <c r="K54" i="64"/>
  <c r="H55" i="64"/>
  <c r="G75" i="21"/>
  <c r="N75" i="21" s="1"/>
  <c r="E55" i="64"/>
  <c r="I55" i="64"/>
  <c r="L55" i="64"/>
  <c r="G76" i="21"/>
  <c r="E19" i="21"/>
  <c r="L20" i="64"/>
  <c r="G23" i="64"/>
  <c r="G25" i="4"/>
  <c r="F19" i="64"/>
  <c r="M20" i="4"/>
  <c r="M20" i="64" s="1"/>
  <c r="F78" i="21"/>
  <c r="J20" i="64"/>
  <c r="H20" i="64"/>
  <c r="K19" i="64"/>
  <c r="I20" i="64"/>
  <c r="N83" i="48" l="1"/>
  <c r="M84" i="48"/>
  <c r="M53" i="48"/>
  <c r="M21" i="48" s="1"/>
  <c r="N52" i="48"/>
  <c r="N20" i="48" s="1"/>
  <c r="H80" i="21"/>
  <c r="M77" i="21"/>
  <c r="J77" i="21"/>
  <c r="L76" i="21"/>
  <c r="N76" i="21" s="1"/>
  <c r="I77" i="21"/>
  <c r="F77" i="21"/>
  <c r="K77" i="21"/>
  <c r="J56" i="64"/>
  <c r="L56" i="64"/>
  <c r="I56" i="64"/>
  <c r="F55" i="64"/>
  <c r="K55" i="64"/>
  <c r="H56" i="64"/>
  <c r="G59" i="64"/>
  <c r="M54" i="64"/>
  <c r="E20" i="21"/>
  <c r="I21" i="64"/>
  <c r="K20" i="64"/>
  <c r="H21" i="64"/>
  <c r="F20" i="64"/>
  <c r="J21" i="64"/>
  <c r="M21" i="4"/>
  <c r="M21" i="64" s="1"/>
  <c r="E21" i="64"/>
  <c r="L21" i="64"/>
  <c r="N84" i="48" l="1"/>
  <c r="M85" i="48"/>
  <c r="M54" i="48"/>
  <c r="M22" i="48" s="1"/>
  <c r="N53" i="48"/>
  <c r="N21" i="48" s="1"/>
  <c r="M78" i="21"/>
  <c r="K78" i="21"/>
  <c r="G77" i="21"/>
  <c r="I78" i="21"/>
  <c r="H81" i="21"/>
  <c r="H82" i="21" s="1"/>
  <c r="H109" i="21" s="1"/>
  <c r="H112" i="21" s="1"/>
  <c r="J78" i="21"/>
  <c r="M55" i="64"/>
  <c r="G60" i="64"/>
  <c r="E57" i="64"/>
  <c r="I57" i="64"/>
  <c r="J57" i="64"/>
  <c r="H57" i="64"/>
  <c r="L77" i="21"/>
  <c r="L57" i="64"/>
  <c r="F56" i="64"/>
  <c r="K56" i="64"/>
  <c r="H119" i="21"/>
  <c r="H13" i="21" s="1"/>
  <c r="H120" i="21"/>
  <c r="H122" i="21"/>
  <c r="H129" i="21"/>
  <c r="H130" i="21"/>
  <c r="H127" i="21"/>
  <c r="H125" i="21"/>
  <c r="H128" i="21"/>
  <c r="H123" i="21"/>
  <c r="H121" i="21"/>
  <c r="H124" i="21"/>
  <c r="H126" i="21"/>
  <c r="E21" i="21"/>
  <c r="E22" i="64"/>
  <c r="E25" i="4"/>
  <c r="K21" i="64"/>
  <c r="H22" i="64"/>
  <c r="L22" i="64"/>
  <c r="J22" i="64"/>
  <c r="F21" i="64"/>
  <c r="I22" i="64"/>
  <c r="N85" i="48" l="1"/>
  <c r="M86" i="48"/>
  <c r="M55" i="48"/>
  <c r="M23" i="48" s="1"/>
  <c r="N54" i="48"/>
  <c r="N22" i="48" s="1"/>
  <c r="N77" i="21"/>
  <c r="J79" i="21"/>
  <c r="F79" i="21"/>
  <c r="I79" i="21"/>
  <c r="M79" i="21"/>
  <c r="L78" i="21"/>
  <c r="G78" i="21"/>
  <c r="N78" i="21" s="1"/>
  <c r="K79" i="21"/>
  <c r="M56" i="64"/>
  <c r="J58" i="64"/>
  <c r="L58" i="64"/>
  <c r="K57" i="64"/>
  <c r="E58" i="64"/>
  <c r="I58" i="64"/>
  <c r="H58" i="64"/>
  <c r="H131" i="21"/>
  <c r="F57" i="64"/>
  <c r="E22" i="21"/>
  <c r="H14" i="21"/>
  <c r="H15" i="21" s="1"/>
  <c r="H16" i="21" s="1"/>
  <c r="H17" i="21" s="1"/>
  <c r="H18" i="21" s="1"/>
  <c r="H19" i="21" s="1"/>
  <c r="H20" i="21" s="1"/>
  <c r="H21" i="21" s="1"/>
  <c r="H22" i="21" s="1"/>
  <c r="H23" i="21" s="1"/>
  <c r="F22" i="64"/>
  <c r="H23" i="64"/>
  <c r="H25" i="4"/>
  <c r="E23" i="64"/>
  <c r="K22" i="64"/>
  <c r="M23" i="4"/>
  <c r="I23" i="64"/>
  <c r="I25" i="4"/>
  <c r="J23" i="64"/>
  <c r="J25" i="4"/>
  <c r="L23" i="64"/>
  <c r="L25" i="4"/>
  <c r="M22" i="4"/>
  <c r="M22" i="64" s="1"/>
  <c r="N86" i="48" l="1"/>
  <c r="M87" i="48"/>
  <c r="M56" i="48"/>
  <c r="M24" i="48" s="1"/>
  <c r="N55" i="48"/>
  <c r="N23" i="48" s="1"/>
  <c r="L79" i="21"/>
  <c r="G79" i="21"/>
  <c r="I80" i="21"/>
  <c r="M80" i="21"/>
  <c r="F80" i="21"/>
  <c r="J80" i="21"/>
  <c r="K80" i="21"/>
  <c r="H59" i="64"/>
  <c r="M57" i="64"/>
  <c r="J59" i="64"/>
  <c r="K58" i="64"/>
  <c r="F58" i="64"/>
  <c r="E59" i="64"/>
  <c r="L59" i="64"/>
  <c r="I59" i="64"/>
  <c r="H25" i="21"/>
  <c r="E23" i="21"/>
  <c r="M23" i="64"/>
  <c r="M25" i="4"/>
  <c r="D43" i="4" s="1"/>
  <c r="J6" i="8" s="1"/>
  <c r="F23" i="64"/>
  <c r="F25" i="4"/>
  <c r="K23" i="64"/>
  <c r="K25" i="4"/>
  <c r="N87" i="48" l="1"/>
  <c r="M88" i="48"/>
  <c r="M57" i="48"/>
  <c r="M25" i="48" s="1"/>
  <c r="N56" i="48"/>
  <c r="N24" i="48" s="1"/>
  <c r="N79" i="21"/>
  <c r="L60" i="64"/>
  <c r="F81" i="21"/>
  <c r="F82" i="21" s="1"/>
  <c r="F109" i="21" s="1"/>
  <c r="K81" i="21"/>
  <c r="K82" i="21" s="1"/>
  <c r="K109" i="21" s="1"/>
  <c r="K112" i="21" s="1"/>
  <c r="K120" i="21" s="1"/>
  <c r="G80" i="21"/>
  <c r="H60" i="64"/>
  <c r="I60" i="64"/>
  <c r="L80" i="21"/>
  <c r="N80" i="21" s="1"/>
  <c r="M81" i="21"/>
  <c r="M82" i="21" s="1"/>
  <c r="M109" i="21" s="1"/>
  <c r="M112" i="21" s="1"/>
  <c r="M129" i="21" s="1"/>
  <c r="J60" i="64"/>
  <c r="K59" i="64"/>
  <c r="M58" i="64"/>
  <c r="E60" i="64"/>
  <c r="F59" i="64"/>
  <c r="J81" i="21"/>
  <c r="J82" i="21" s="1"/>
  <c r="J109" i="21" s="1"/>
  <c r="J112" i="21" s="1"/>
  <c r="J123" i="21" s="1"/>
  <c r="I81" i="21"/>
  <c r="I82" i="21" s="1"/>
  <c r="I109" i="21" s="1"/>
  <c r="I112" i="21" s="1"/>
  <c r="I123" i="21" s="1"/>
  <c r="E25" i="21"/>
  <c r="M120" i="21" l="1"/>
  <c r="N88" i="48"/>
  <c r="M89" i="48"/>
  <c r="M58" i="48"/>
  <c r="M26" i="48" s="1"/>
  <c r="N57" i="48"/>
  <c r="N25" i="48" s="1"/>
  <c r="K127" i="21"/>
  <c r="K124" i="21"/>
  <c r="K126" i="21"/>
  <c r="K123" i="21"/>
  <c r="K130" i="21"/>
  <c r="K128" i="21"/>
  <c r="K125" i="21"/>
  <c r="K119" i="21"/>
  <c r="K13" i="21" s="1"/>
  <c r="K14" i="21" s="1"/>
  <c r="K121" i="21"/>
  <c r="K129" i="21"/>
  <c r="K122" i="21"/>
  <c r="M122" i="21"/>
  <c r="L81" i="21"/>
  <c r="L82" i="21" s="1"/>
  <c r="L109" i="21" s="1"/>
  <c r="L112" i="21" s="1"/>
  <c r="L125" i="21" s="1"/>
  <c r="G81" i="21"/>
  <c r="G82" i="21" s="1"/>
  <c r="M126" i="21"/>
  <c r="M125" i="21"/>
  <c r="M119" i="21"/>
  <c r="M13" i="21" s="1"/>
  <c r="M14" i="21" s="1"/>
  <c r="M123" i="21"/>
  <c r="M121" i="21"/>
  <c r="M124" i="21"/>
  <c r="M130" i="21"/>
  <c r="M127" i="21"/>
  <c r="M128" i="21"/>
  <c r="F60" i="64"/>
  <c r="I121" i="21"/>
  <c r="J122" i="21"/>
  <c r="K60" i="64"/>
  <c r="J121" i="21"/>
  <c r="I129" i="21"/>
  <c r="J127" i="21"/>
  <c r="J120" i="21"/>
  <c r="M59" i="64"/>
  <c r="M61" i="64" s="1"/>
  <c r="F91" i="64" s="1"/>
  <c r="F94" i="64" s="1"/>
  <c r="K129" i="1" s="1"/>
  <c r="K139" i="1" s="1"/>
  <c r="I124" i="21"/>
  <c r="J126" i="21"/>
  <c r="J129" i="21"/>
  <c r="I128" i="21"/>
  <c r="I127" i="21"/>
  <c r="I125" i="21"/>
  <c r="I122" i="21"/>
  <c r="I130" i="21"/>
  <c r="I126" i="21"/>
  <c r="J119" i="21"/>
  <c r="J13" i="21" s="1"/>
  <c r="J128" i="21"/>
  <c r="J124" i="21"/>
  <c r="I120" i="21"/>
  <c r="I119" i="21"/>
  <c r="I13" i="21" s="1"/>
  <c r="J125" i="21"/>
  <c r="J130" i="21"/>
  <c r="L130" i="21"/>
  <c r="L127" i="21"/>
  <c r="F112" i="21"/>
  <c r="N89" i="48" l="1"/>
  <c r="M90" i="48"/>
  <c r="K15" i="21"/>
  <c r="K16" i="21" s="1"/>
  <c r="K17" i="21" s="1"/>
  <c r="K18" i="21" s="1"/>
  <c r="K19" i="21" s="1"/>
  <c r="K20" i="21" s="1"/>
  <c r="K21" i="21" s="1"/>
  <c r="K22" i="21" s="1"/>
  <c r="K23" i="21" s="1"/>
  <c r="M59" i="48"/>
  <c r="M27" i="48" s="1"/>
  <c r="N58" i="48"/>
  <c r="N26" i="48" s="1"/>
  <c r="K131" i="21"/>
  <c r="N81" i="21"/>
  <c r="L129" i="21"/>
  <c r="L119" i="21"/>
  <c r="L13" i="21" s="1"/>
  <c r="L123" i="21"/>
  <c r="L120" i="21"/>
  <c r="L124" i="21"/>
  <c r="L128" i="21"/>
  <c r="L121" i="21"/>
  <c r="L122" i="21"/>
  <c r="L126" i="21"/>
  <c r="M131" i="21"/>
  <c r="M15" i="21"/>
  <c r="M16" i="21" s="1"/>
  <c r="M17" i="21" s="1"/>
  <c r="M18" i="21" s="1"/>
  <c r="M19" i="21" s="1"/>
  <c r="M20" i="21" s="1"/>
  <c r="M21" i="21" s="1"/>
  <c r="M22" i="21" s="1"/>
  <c r="M23" i="21" s="1"/>
  <c r="I14" i="21"/>
  <c r="I15" i="21" s="1"/>
  <c r="I16" i="21" s="1"/>
  <c r="I17" i="21" s="1"/>
  <c r="I18" i="21" s="1"/>
  <c r="I19" i="21" s="1"/>
  <c r="I20" i="21" s="1"/>
  <c r="I21" i="21" s="1"/>
  <c r="I22" i="21" s="1"/>
  <c r="I23" i="21" s="1"/>
  <c r="J14" i="21"/>
  <c r="J15" i="21" s="1"/>
  <c r="J16" i="21" s="1"/>
  <c r="J17" i="21" s="1"/>
  <c r="J18" i="21" s="1"/>
  <c r="J19" i="21" s="1"/>
  <c r="J20" i="21" s="1"/>
  <c r="J21" i="21" s="1"/>
  <c r="J22" i="21" s="1"/>
  <c r="J23" i="21" s="1"/>
  <c r="J131" i="21"/>
  <c r="I131" i="21"/>
  <c r="N82" i="21"/>
  <c r="G109" i="21"/>
  <c r="J51" i="8"/>
  <c r="K141" i="1"/>
  <c r="L14" i="21"/>
  <c r="F126" i="21"/>
  <c r="F121" i="21"/>
  <c r="F120" i="21"/>
  <c r="F119" i="21"/>
  <c r="F129" i="21"/>
  <c r="F124" i="21"/>
  <c r="F122" i="21"/>
  <c r="F128" i="21"/>
  <c r="F127" i="21"/>
  <c r="F130" i="21"/>
  <c r="F125" i="21"/>
  <c r="F123" i="21"/>
  <c r="N90" i="48" l="1"/>
  <c r="M91" i="48"/>
  <c r="L131" i="21"/>
  <c r="K25" i="21"/>
  <c r="M60" i="48"/>
  <c r="M28" i="48" s="1"/>
  <c r="N59" i="48"/>
  <c r="N27" i="48" s="1"/>
  <c r="L15" i="21"/>
  <c r="L16" i="21" s="1"/>
  <c r="L17" i="21" s="1"/>
  <c r="L18" i="21" s="1"/>
  <c r="L19" i="21" s="1"/>
  <c r="L20" i="21" s="1"/>
  <c r="L21" i="21" s="1"/>
  <c r="L22" i="21" s="1"/>
  <c r="L23" i="21" s="1"/>
  <c r="M25" i="21"/>
  <c r="I25" i="21"/>
  <c r="J25" i="21"/>
  <c r="G112" i="21"/>
  <c r="N109" i="21"/>
  <c r="D70" i="7"/>
  <c r="D71" i="7" s="1"/>
  <c r="D73" i="7" s="1"/>
  <c r="D79" i="7" s="1"/>
  <c r="K142" i="1"/>
  <c r="H89" i="44" s="1"/>
  <c r="F131" i="21"/>
  <c r="F13" i="21"/>
  <c r="N91" i="48" l="1"/>
  <c r="M92" i="48"/>
  <c r="L25" i="21"/>
  <c r="M61" i="48"/>
  <c r="M29" i="48" s="1"/>
  <c r="N60" i="48"/>
  <c r="N28" i="48" s="1"/>
  <c r="G122" i="21"/>
  <c r="N122" i="21" s="1"/>
  <c r="G120" i="21"/>
  <c r="N120" i="21" s="1"/>
  <c r="G125" i="21"/>
  <c r="N125" i="21" s="1"/>
  <c r="G128" i="21"/>
  <c r="N128" i="21" s="1"/>
  <c r="G126" i="21"/>
  <c r="N126" i="21" s="1"/>
  <c r="G129" i="21"/>
  <c r="N129" i="21" s="1"/>
  <c r="G130" i="21"/>
  <c r="N130" i="21" s="1"/>
  <c r="G127" i="21"/>
  <c r="N127" i="21" s="1"/>
  <c r="G121" i="21"/>
  <c r="N121" i="21" s="1"/>
  <c r="G123" i="21"/>
  <c r="N123" i="21" s="1"/>
  <c r="G119" i="21"/>
  <c r="G124" i="21"/>
  <c r="N124" i="21" s="1"/>
  <c r="N112" i="21"/>
  <c r="K144" i="1"/>
  <c r="C6" i="9" s="1"/>
  <c r="F14" i="21"/>
  <c r="N92" i="48" l="1"/>
  <c r="M93" i="48"/>
  <c r="M62" i="48"/>
  <c r="N61" i="48"/>
  <c r="N29" i="48" s="1"/>
  <c r="G13" i="21"/>
  <c r="G131" i="21"/>
  <c r="N119" i="21"/>
  <c r="N131" i="21" s="1"/>
  <c r="K149" i="1"/>
  <c r="F15" i="21"/>
  <c r="N93" i="48" l="1"/>
  <c r="M94" i="48"/>
  <c r="M30" i="48"/>
  <c r="M63" i="48"/>
  <c r="N62" i="48"/>
  <c r="N30" i="48" s="1"/>
  <c r="G14" i="21"/>
  <c r="N13" i="21"/>
  <c r="F16" i="21"/>
  <c r="N94" i="48" l="1"/>
  <c r="M95" i="48"/>
  <c r="M31" i="48"/>
  <c r="M64" i="48"/>
  <c r="M32" i="48" s="1"/>
  <c r="N63" i="48"/>
  <c r="N31" i="48" s="1"/>
  <c r="G15" i="21"/>
  <c r="N14" i="21"/>
  <c r="F17" i="21"/>
  <c r="N95" i="48" l="1"/>
  <c r="M96" i="48"/>
  <c r="M65" i="48"/>
  <c r="M33" i="48" s="1"/>
  <c r="N64" i="48"/>
  <c r="N32" i="48" s="1"/>
  <c r="G16" i="21"/>
  <c r="N15" i="21"/>
  <c r="F18" i="21"/>
  <c r="N96" i="48" l="1"/>
  <c r="M97" i="48"/>
  <c r="M66" i="48"/>
  <c r="M34" i="48" s="1"/>
  <c r="N65" i="48"/>
  <c r="N33" i="48" s="1"/>
  <c r="G17" i="21"/>
  <c r="N16" i="21"/>
  <c r="F19" i="21"/>
  <c r="N97" i="48" l="1"/>
  <c r="M98" i="48"/>
  <c r="M67" i="48"/>
  <c r="M35" i="48" s="1"/>
  <c r="N66" i="48"/>
  <c r="N34" i="48" s="1"/>
  <c r="G18" i="21"/>
  <c r="N17" i="21"/>
  <c r="F20" i="21"/>
  <c r="N98" i="48" l="1"/>
  <c r="M99" i="48"/>
  <c r="N99" i="48" s="1"/>
  <c r="M68" i="48"/>
  <c r="N67" i="48"/>
  <c r="N35" i="48" s="1"/>
  <c r="G19" i="21"/>
  <c r="N18" i="21"/>
  <c r="F21" i="21"/>
  <c r="N68" i="48" l="1"/>
  <c r="N36" i="48" s="1"/>
  <c r="M36" i="48"/>
  <c r="G20" i="21"/>
  <c r="N19" i="21"/>
  <c r="F22" i="21"/>
  <c r="N37" i="48"/>
  <c r="D78" i="7" s="1"/>
  <c r="D80" i="7" s="1"/>
  <c r="D86" i="7" s="1"/>
  <c r="G21" i="21" l="1"/>
  <c r="N20" i="21"/>
  <c r="F23" i="21"/>
  <c r="D88" i="7"/>
  <c r="D89" i="7"/>
  <c r="H90" i="44" s="1"/>
  <c r="G22" i="21" l="1"/>
  <c r="N21" i="21"/>
  <c r="H91" i="44"/>
  <c r="H93" i="44" s="1"/>
  <c r="K158" i="1" s="1"/>
  <c r="F25" i="21"/>
  <c r="D91" i="7"/>
  <c r="K150" i="1" s="1"/>
  <c r="G23" i="21" l="1"/>
  <c r="N22" i="21"/>
  <c r="C7" i="9"/>
  <c r="N23" i="21" l="1"/>
  <c r="G25" i="21"/>
  <c r="N25" i="21" l="1"/>
  <c r="J18" i="8" s="1"/>
  <c r="J21" i="8" s="1"/>
  <c r="J29" i="8" s="1"/>
  <c r="J41" i="8" l="1"/>
  <c r="F90" i="12"/>
  <c r="F92" i="12" s="1"/>
  <c r="F94" i="12" s="1"/>
  <c r="F98" i="12" s="1"/>
  <c r="F101" i="12" s="1"/>
  <c r="J38" i="8"/>
  <c r="J56" i="8" s="1"/>
  <c r="J34" i="8"/>
  <c r="J55" i="8" s="1"/>
  <c r="J59" i="8" l="1"/>
  <c r="J64" i="8" s="1"/>
  <c r="E68" i="8" s="1"/>
  <c r="E70" i="8" l="1"/>
  <c r="E72" i="8"/>
  <c r="E73" i="8" l="1"/>
  <c r="E14" i="65" s="1"/>
  <c r="E25" i="65" s="1"/>
  <c r="E26" i="65" l="1"/>
  <c r="H26" i="65" s="1"/>
  <c r="H25" i="65"/>
  <c r="J25" i="65" s="1"/>
  <c r="K25" i="65" s="1"/>
  <c r="L25" i="65" s="1"/>
  <c r="E27" i="65"/>
  <c r="H27" i="65" s="1"/>
  <c r="E28" i="65"/>
  <c r="H28" i="65" s="1"/>
  <c r="E30" i="65"/>
  <c r="H30" i="65" s="1"/>
  <c r="E36" i="65"/>
  <c r="H36" i="65" s="1"/>
  <c r="E29" i="65"/>
  <c r="H29" i="65" s="1"/>
  <c r="E31" i="65"/>
  <c r="H31" i="65" s="1"/>
  <c r="E33" i="65"/>
  <c r="H33" i="65" s="1"/>
  <c r="E34" i="65"/>
  <c r="H34" i="65" s="1"/>
  <c r="E35" i="65"/>
  <c r="H35" i="65" s="1"/>
  <c r="E32" i="65"/>
  <c r="H32" i="65" s="1"/>
  <c r="J26" i="65" l="1"/>
  <c r="K26" i="65" s="1"/>
  <c r="L26" i="65" s="1"/>
  <c r="J27" i="65" s="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l="1"/>
  <c r="K36" i="65" s="1"/>
  <c r="L36" i="65" l="1"/>
  <c r="E40" i="65" s="1"/>
  <c r="E42" i="65" l="1"/>
  <c r="E43" i="65" s="1"/>
  <c r="E44" i="65" s="1"/>
  <c r="K151" i="1" s="1"/>
  <c r="K154" i="1" l="1"/>
  <c r="D4" i="53" s="1"/>
  <c r="C8" i="9"/>
  <c r="C10" i="9" s="1"/>
  <c r="D12" i="53" l="1"/>
  <c r="K12" i="53" s="1"/>
  <c r="D15" i="53"/>
  <c r="D13" i="53"/>
  <c r="K13" i="53" s="1"/>
  <c r="M14" i="53" s="1"/>
  <c r="N14" i="53" s="1"/>
  <c r="L14" i="53" s="1"/>
  <c r="K157" i="1"/>
  <c r="K159" i="1" s="1"/>
  <c r="B4" i="31" s="1"/>
  <c r="D18" i="31" s="1"/>
  <c r="D20" i="31" s="1"/>
  <c r="D24" i="53"/>
  <c r="L24" i="53" s="1"/>
  <c r="D22" i="53"/>
  <c r="D23" i="53"/>
  <c r="D25" i="53"/>
  <c r="L25" i="53" s="1"/>
  <c r="D21" i="53"/>
  <c r="D16" i="53"/>
  <c r="L16" i="53" s="1"/>
  <c r="D20" i="53"/>
  <c r="D26" i="53"/>
  <c r="D18" i="53"/>
  <c r="L18" i="53" s="1"/>
  <c r="D17" i="53"/>
  <c r="L17" i="53" s="1"/>
  <c r="D19" i="53"/>
  <c r="E18" i="31" l="1"/>
  <c r="E20" i="31" s="1"/>
  <c r="F18" i="31"/>
  <c r="F20" i="31" s="1"/>
  <c r="C37" i="53"/>
  <c r="E37" i="53" s="1"/>
  <c r="I55" i="53" s="1"/>
  <c r="E55" i="53" s="1"/>
  <c r="L22" i="53"/>
  <c r="L20" i="53"/>
  <c r="H38" i="53"/>
  <c r="J38" i="53" s="1"/>
  <c r="C38" i="53"/>
  <c r="E38" i="53" s="1"/>
  <c r="I56" i="53" s="1"/>
  <c r="E56" i="53" s="1"/>
  <c r="L23" i="53"/>
  <c r="D48" i="53"/>
  <c r="K15" i="53"/>
  <c r="H37" i="53"/>
  <c r="J37" i="53" s="1"/>
  <c r="L19" i="53"/>
  <c r="H36" i="53"/>
  <c r="J36" i="53" s="1"/>
  <c r="C36" i="53"/>
  <c r="E36" i="53" s="1"/>
  <c r="I54" i="53" s="1"/>
  <c r="L21" i="53"/>
  <c r="D46" i="53"/>
  <c r="D28" i="53"/>
  <c r="D59" i="53"/>
  <c r="K26" i="53"/>
  <c r="G46" i="53" l="1"/>
  <c r="C46" i="53"/>
  <c r="D54" i="53"/>
  <c r="D51" i="53"/>
  <c r="H54" i="53"/>
  <c r="D53" i="53"/>
  <c r="M53" i="53" s="1"/>
  <c r="H56" i="53"/>
  <c r="D56" i="53"/>
  <c r="C56" i="53" s="1"/>
  <c r="C48" i="53"/>
  <c r="G48" i="53"/>
  <c r="G59" i="53"/>
  <c r="C59" i="53"/>
  <c r="I50" i="53"/>
  <c r="E50" i="53" s="1"/>
  <c r="D50" i="53" s="1"/>
  <c r="E54" i="53"/>
  <c r="I58" i="53"/>
  <c r="E58" i="53" s="1"/>
  <c r="D58" i="53" s="1"/>
  <c r="I57" i="53"/>
  <c r="I49" i="53"/>
  <c r="E49" i="53" s="1"/>
  <c r="D49" i="53" s="1"/>
  <c r="I47" i="53"/>
  <c r="E47" i="53" s="1"/>
  <c r="H55" i="53"/>
  <c r="D55" i="53"/>
  <c r="C55" i="53" s="1"/>
  <c r="D52" i="53"/>
  <c r="M52" i="53" s="1"/>
  <c r="K57" i="53" l="1"/>
  <c r="E57" i="53"/>
  <c r="D57" i="53" s="1"/>
  <c r="M51" i="53"/>
  <c r="H51" i="53"/>
  <c r="C51" i="53"/>
  <c r="H58" i="53"/>
  <c r="C58" i="53"/>
  <c r="C54" i="53"/>
  <c r="H47" i="53"/>
  <c r="D47" i="53"/>
  <c r="H53" i="53"/>
  <c r="C53" i="53"/>
  <c r="H52" i="53"/>
  <c r="C52" i="53"/>
  <c r="C49" i="53"/>
  <c r="H49" i="53"/>
  <c r="M49" i="53"/>
  <c r="M50" i="53" s="1"/>
  <c r="C50" i="53"/>
  <c r="H50" i="53"/>
  <c r="D61" i="53" l="1"/>
  <c r="E61" i="53"/>
  <c r="B8" i="31" s="1"/>
  <c r="E24" i="31" s="1"/>
  <c r="E27" i="31" s="1"/>
  <c r="M47" i="53"/>
  <c r="C47" i="53"/>
  <c r="G47" i="53"/>
  <c r="C57" i="53"/>
  <c r="H57" i="53"/>
  <c r="J57" i="53" s="1"/>
  <c r="G126" i="61"/>
  <c r="G136" i="61" s="1"/>
  <c r="D24" i="31" l="1"/>
  <c r="D27" i="31" s="1"/>
  <c r="F24" i="31"/>
  <c r="F27" i="31" s="1"/>
  <c r="E12" i="32" s="1"/>
  <c r="E14" i="32" s="1"/>
  <c r="C61" i="53"/>
  <c r="E26" i="32"/>
  <c r="E28" i="32" s="1"/>
  <c r="E20" i="32"/>
  <c r="E22" i="32" s="1"/>
  <c r="G52" i="61"/>
  <c r="I220" i="61"/>
  <c r="G70" i="61" l="1"/>
  <c r="G220" i="61" s="1"/>
</calcChain>
</file>

<file path=xl/sharedStrings.xml><?xml version="1.0" encoding="utf-8"?>
<sst xmlns="http://schemas.openxmlformats.org/spreadsheetml/2006/main" count="6611" uniqueCount="2918">
  <si>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</si>
  <si>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</si>
  <si>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</si>
  <si>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</si>
  <si>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</si>
  <si>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</si>
  <si>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</si>
  <si>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</si>
  <si>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</si>
  <si>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</si>
  <si>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</si>
  <si>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</si>
  <si>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</si>
  <si>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</si>
  <si>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</si>
  <si>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</si>
  <si>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</si>
  <si>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</si>
  <si>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</si>
  <si>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</si>
  <si>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</si>
  <si>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</si>
  <si>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</si>
  <si>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</si>
  <si>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</si>
  <si>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</si>
  <si>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</si>
  <si>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</si>
  <si>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</si>
  <si>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</si>
  <si>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</si>
  <si>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</si>
  <si>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</si>
  <si>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</si>
  <si>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</si>
  <si>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</si>
  <si>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</si>
  <si>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</si>
  <si>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</si>
  <si>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</si>
  <si>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</si>
  <si>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</si>
  <si>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</si>
  <si>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</si>
  <si>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</si>
  <si>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</si>
  <si>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</si>
  <si>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</si>
  <si>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</si>
  <si>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</si>
  <si>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</si>
  <si>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</si>
  <si>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</si>
  <si>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</si>
  <si>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</si>
  <si>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</si>
  <si>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</si>
  <si>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</si>
  <si>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</si>
  <si>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</si>
  <si>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</si>
  <si>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</si>
  <si>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</si>
  <si>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</si>
  <si>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</si>
  <si>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</si>
  <si>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</si>
  <si>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</si>
  <si>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</si>
  <si>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</si>
  <si>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</si>
  <si>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</si>
  <si>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</si>
  <si>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</si>
  <si>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</si>
  <si>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</si>
  <si>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</si>
  <si>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</si>
  <si>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</si>
  <si>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</si>
  <si>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</si>
  <si>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</si>
  <si>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</si>
  <si>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</si>
  <si>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</si>
  <si>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</si>
  <si>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</si>
  <si>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</si>
  <si>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</si>
  <si>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</si>
  <si>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</si>
  <si>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</si>
  <si>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</si>
  <si>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</si>
  <si>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</si>
  <si>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</si>
  <si>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</si>
  <si>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</si>
  <si>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</si>
  <si>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</si>
  <si>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</si>
  <si>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</si>
  <si>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</si>
  <si>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</si>
  <si>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</si>
  <si>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</si>
  <si>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</si>
  <si>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</si>
  <si>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</si>
  <si>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</si>
  <si>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</si>
  <si>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</si>
  <si>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</si>
  <si>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</si>
  <si>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</si>
  <si>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</si>
  <si>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</si>
  <si>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</si>
  <si>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</si>
  <si>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</si>
  <si>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</si>
  <si>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</si>
  <si>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</si>
  <si>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</si>
  <si>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</si>
  <si>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</si>
  <si>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</si>
  <si>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</si>
  <si>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</si>
  <si>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</si>
  <si>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</si>
  <si>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</si>
  <si>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</si>
  <si>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</si>
  <si>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</si>
  <si>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</si>
  <si>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</si>
  <si>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</si>
  <si>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</si>
  <si>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</si>
  <si>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</si>
  <si>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</si>
  <si>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</si>
  <si>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</si>
  <si>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</si>
  <si>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</si>
  <si>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</si>
  <si>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</si>
  <si>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</si>
  <si>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</si>
  <si>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</si>
  <si>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</si>
  <si>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</si>
  <si>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</si>
  <si>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</si>
  <si>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</si>
  <si>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</si>
  <si>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</si>
  <si>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</si>
  <si>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</si>
  <si>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</si>
  <si>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</si>
  <si>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</si>
  <si>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</si>
  <si>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</si>
  <si>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</si>
  <si>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</si>
  <si>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</si>
  <si>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</si>
  <si>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</si>
  <si>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</si>
  <si>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</si>
  <si>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</si>
  <si>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</si>
  <si>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</si>
  <si>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</si>
  <si>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</si>
  <si>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</si>
  <si>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</si>
  <si>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</si>
  <si>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</si>
  <si>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</si>
  <si>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</si>
  <si>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</si>
  <si>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</si>
  <si>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</si>
  <si>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</si>
  <si>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</si>
  <si>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</si>
  <si>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</si>
  <si>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</si>
  <si>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</si>
  <si>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</si>
  <si>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</si>
  <si>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</si>
  <si>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</si>
  <si>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</si>
  <si>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</si>
  <si>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</si>
  <si>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</si>
  <si>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</si>
  <si>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</si>
  <si>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</si>
  <si>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</si>
  <si>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</si>
  <si>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</si>
  <si>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</si>
  <si>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</si>
  <si>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</si>
  <si>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</si>
  <si>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</si>
  <si>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</si>
  <si>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</si>
  <si>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</si>
  <si>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</si>
  <si>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</si>
  <si>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</si>
  <si>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</si>
  <si>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</si>
  <si>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</si>
  <si>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</si>
  <si>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Yes</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</si>
  <si>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</si>
  <si>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</si>
  <si>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</si>
  <si>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</si>
  <si>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</si>
  <si>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</si>
  <si>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</si>
  <si>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</si>
  <si>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</si>
  <si>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</si>
  <si>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</si>
  <si>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</si>
  <si>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</si>
  <si>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</si>
  <si>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</si>
  <si>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</si>
  <si>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</si>
  <si>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</si>
  <si>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</si>
  <si>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</si>
  <si>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</si>
  <si>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</si>
  <si>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</si>
  <si>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</si>
  <si>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</si>
  <si>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</si>
  <si>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</si>
  <si>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</si>
  <si>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</si>
  <si>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</si>
  <si>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</si>
  <si>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</si>
  <si>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</si>
  <si>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</si>
  <si>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</si>
  <si>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</si>
  <si>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</si>
  <si>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</si>
  <si>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</si>
  <si>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</si>
  <si>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</si>
  <si>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</si>
  <si>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</si>
  <si>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</si>
  <si>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</si>
  <si>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</si>
  <si>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</si>
  <si>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</si>
  <si>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</si>
  <si>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</si>
  <si>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</si>
  <si>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</si>
  <si>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</si>
  <si>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</si>
  <si>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</si>
  <si>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</si>
  <si>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</si>
  <si>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</si>
  <si>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</si>
  <si>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</si>
  <si>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</si>
  <si>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</si>
  <si>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</si>
  <si>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</si>
  <si>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</si>
  <si>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</si>
  <si>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</si>
  <si>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</si>
  <si>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</si>
  <si>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</si>
  <si>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</si>
  <si>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</si>
  <si>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</si>
  <si>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</si>
  <si>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</si>
  <si>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</si>
  <si>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</si>
  <si>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</si>
  <si>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</si>
  <si>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</si>
  <si>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</si>
  <si>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</si>
  <si>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</si>
  <si>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</si>
  <si>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</si>
  <si>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</si>
  <si>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</si>
  <si>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</si>
  <si>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</si>
  <si>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</si>
  <si>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</si>
  <si>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</si>
  <si>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</si>
  <si>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</si>
  <si>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</si>
  <si>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</si>
  <si>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</si>
  <si>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</si>
  <si>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</si>
  <si>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</si>
  <si>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</si>
  <si>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</si>
  <si>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</si>
  <si>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</si>
  <si>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</si>
  <si>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</si>
  <si>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</si>
  <si>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</si>
  <si>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</si>
  <si>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</si>
  <si>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Transmission Plant - ISO</t>
  </si>
  <si>
    <t>Distribution Plant - ISO</t>
  </si>
  <si>
    <t>SCE Retail Sales at ISO Grid level:</t>
  </si>
  <si>
    <t>Pump Load forecast:</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</si>
  <si>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</si>
  <si>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</si>
  <si>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</si>
  <si>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</si>
  <si>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</si>
  <si>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</si>
  <si>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</si>
  <si>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</si>
  <si>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</si>
  <si>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</si>
  <si>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</si>
  <si>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</si>
  <si>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</si>
  <si>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</si>
  <si>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</si>
  <si>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</si>
  <si>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</si>
  <si>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</si>
  <si>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</si>
  <si>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</si>
  <si>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</si>
  <si>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</si>
  <si>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</si>
  <si>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</si>
  <si>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</si>
  <si>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</si>
  <si>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</si>
  <si>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</si>
  <si>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</si>
  <si>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</si>
  <si>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</si>
  <si>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</si>
  <si>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</si>
  <si>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</si>
  <si>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</si>
  <si>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</si>
  <si>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</si>
  <si>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</si>
  <si>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</si>
  <si>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</si>
  <si>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</si>
  <si>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</si>
  <si>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</si>
  <si>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</si>
  <si>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</si>
  <si>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</si>
  <si>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</si>
  <si>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</si>
  <si>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</si>
  <si>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</si>
  <si>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</si>
  <si>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</si>
  <si>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</si>
  <si>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</si>
  <si>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</si>
  <si>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</si>
  <si>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</si>
  <si>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</si>
  <si>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</si>
  <si>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</si>
  <si>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</si>
  <si>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</si>
  <si>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</si>
  <si>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</si>
  <si>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</si>
  <si>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</si>
  <si>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</si>
  <si>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</si>
  <si>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</si>
  <si>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</si>
  <si>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</si>
  <si>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</si>
  <si>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</si>
  <si>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</si>
  <si>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</si>
  <si>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</si>
  <si>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</si>
  <si>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</si>
  <si>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</si>
  <si>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</si>
  <si>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</si>
  <si>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</si>
  <si>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</si>
  <si>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</si>
  <si>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</si>
  <si>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</si>
  <si>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</si>
  <si>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</si>
  <si>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</si>
  <si>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</si>
  <si>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</si>
  <si>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</si>
  <si>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</si>
  <si>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</si>
  <si>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</si>
  <si>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</si>
  <si>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</si>
  <si>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</si>
  <si>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</si>
  <si>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</si>
  <si>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</si>
  <si>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</si>
  <si>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</si>
  <si>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</si>
  <si>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</si>
  <si>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</si>
  <si>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</si>
  <si>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</si>
  <si>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</si>
  <si>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</si>
  <si>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</si>
  <si>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</si>
  <si>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</si>
  <si>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</si>
  <si>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</si>
  <si>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</si>
  <si>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</si>
  <si>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</si>
  <si>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</si>
  <si>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</si>
  <si>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</si>
  <si>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</si>
  <si>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</si>
  <si>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</si>
  <si>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</si>
  <si>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</si>
  <si>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</si>
  <si>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</si>
  <si>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</si>
  <si>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</si>
  <si>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</si>
  <si>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</si>
  <si>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</si>
  <si>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</si>
  <si>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</si>
  <si>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</si>
  <si>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</si>
  <si>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</si>
  <si>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</si>
  <si>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</si>
  <si>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</si>
  <si>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</si>
  <si>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</si>
  <si>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</si>
  <si>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</si>
  <si>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</si>
  <si>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</si>
  <si>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</si>
  <si>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</si>
  <si>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</si>
  <si>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</si>
  <si>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</si>
  <si>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</si>
  <si>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</si>
  <si>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</si>
  <si>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</si>
  <si>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</si>
  <si>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</si>
  <si>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</si>
  <si>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</si>
  <si>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</si>
  <si>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</si>
  <si>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</si>
  <si>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</si>
  <si>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</si>
  <si>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</si>
  <si>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</si>
  <si>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</si>
  <si>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</si>
  <si>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</si>
  <si>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</si>
  <si>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</si>
  <si>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</si>
  <si>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</si>
  <si>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</si>
  <si>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</si>
  <si>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</si>
  <si>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</si>
  <si>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</si>
  <si>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</si>
  <si>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</si>
  <si>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</si>
  <si>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</si>
  <si>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</si>
  <si>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</si>
  <si>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</si>
  <si>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</si>
  <si>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</si>
  <si>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</si>
  <si>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</si>
  <si>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</si>
  <si>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</si>
  <si>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</si>
  <si>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</si>
  <si>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</si>
  <si>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</si>
  <si>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</si>
  <si>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</si>
  <si>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</si>
  <si>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</si>
  <si>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</si>
  <si>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</si>
  <si>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</si>
  <si>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</si>
  <si>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</si>
  <si>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</si>
  <si>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</si>
  <si>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</si>
  <si>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</si>
  <si>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</si>
  <si>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</si>
  <si>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</si>
  <si>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</si>
  <si>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</si>
  <si>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</si>
  <si>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</si>
  <si>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</si>
  <si>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</si>
  <si>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</si>
  <si>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</si>
  <si>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</si>
  <si>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</si>
  <si>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</si>
  <si>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</si>
  <si>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</si>
  <si>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</si>
  <si>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</si>
  <si>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</si>
  <si>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</si>
  <si>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</si>
  <si>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</si>
  <si>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</si>
  <si>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</si>
  <si>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</si>
  <si>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</si>
  <si>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</si>
  <si>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</si>
  <si>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</si>
  <si>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</si>
  <si>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</si>
  <si>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</si>
  <si>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</si>
  <si>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</si>
  <si>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</si>
  <si>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</si>
  <si>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</si>
  <si>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</si>
  <si>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</si>
  <si>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</si>
  <si>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</si>
  <si>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</si>
  <si>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</si>
  <si>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</si>
  <si>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</si>
  <si>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</si>
  <si>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</si>
  <si>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</si>
  <si>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</si>
  <si>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</si>
  <si>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</si>
  <si>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</si>
  <si>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</si>
  <si>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</si>
  <si>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</si>
  <si>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</si>
  <si>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</si>
  <si>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</si>
  <si>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</si>
  <si>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</si>
  <si>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</si>
  <si>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</si>
  <si>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</si>
  <si>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</si>
  <si>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</si>
  <si>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</si>
  <si>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</si>
  <si>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</si>
  <si>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</si>
  <si>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</si>
  <si>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</si>
  <si>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</si>
  <si>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</si>
  <si>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</si>
  <si>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</si>
  <si>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</si>
  <si>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</si>
  <si>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</si>
  <si>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</si>
  <si>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</si>
  <si>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</si>
  <si>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</si>
  <si>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</si>
  <si>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</si>
  <si>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</si>
  <si>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</si>
  <si>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</si>
  <si>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</si>
  <si>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</si>
  <si>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</si>
  <si>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</si>
  <si>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</si>
  <si>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</si>
  <si>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</si>
  <si>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</si>
  <si>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</si>
  <si>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</si>
  <si>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</si>
  <si>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</si>
  <si>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</si>
  <si>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</si>
  <si>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</si>
  <si>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</si>
  <si>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</si>
  <si>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</si>
  <si>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</si>
  <si>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</si>
  <si>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</si>
  <si>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</si>
  <si>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</si>
  <si>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</si>
  <si>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</si>
  <si>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</si>
  <si>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</si>
  <si>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</si>
  <si>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</si>
  <si>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</si>
  <si>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</si>
  <si>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</si>
  <si>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</si>
  <si>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</si>
  <si>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</si>
  <si>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</si>
  <si>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</si>
  <si>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</si>
  <si>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</si>
  <si>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</si>
  <si>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</si>
  <si>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</si>
  <si>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</si>
  <si>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</si>
  <si>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</si>
  <si>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</si>
  <si>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</si>
  <si>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</si>
  <si>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</si>
  <si>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</si>
  <si>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</si>
  <si>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</si>
  <si>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</si>
  <si>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</si>
  <si>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</si>
  <si>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</si>
  <si>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</si>
  <si>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</si>
  <si>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</si>
  <si>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</si>
  <si>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</si>
  <si>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</si>
  <si>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</si>
  <si>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</si>
  <si>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</si>
  <si>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</si>
  <si>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</si>
  <si>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</si>
  <si>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</si>
  <si>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</si>
  <si>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</si>
  <si>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</si>
  <si>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</si>
  <si>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</si>
  <si>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</si>
  <si>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</si>
  <si>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</si>
  <si>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</si>
  <si>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</si>
  <si>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</si>
  <si>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</si>
  <si>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</si>
  <si>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</si>
  <si>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</si>
  <si>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</si>
  <si>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</si>
  <si>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</si>
  <si>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</si>
  <si>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</si>
  <si>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</si>
  <si>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</si>
  <si>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</si>
  <si>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</si>
  <si>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</si>
  <si>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</si>
  <si>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</si>
  <si>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</si>
  <si>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</si>
  <si>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</si>
  <si>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</si>
  <si>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</si>
  <si>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</si>
  <si>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</si>
  <si>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</si>
  <si>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</si>
  <si>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</si>
  <si>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</si>
  <si>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</si>
  <si>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</si>
  <si>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</si>
  <si>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</si>
  <si>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</si>
  <si>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</si>
  <si>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</si>
  <si>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</si>
  <si>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</si>
  <si>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</si>
  <si>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</si>
  <si>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</si>
  <si>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</si>
  <si>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</si>
  <si>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</si>
  <si>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</si>
  <si>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</si>
  <si>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</si>
  <si>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</si>
  <si>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</si>
  <si>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</si>
  <si>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</si>
  <si>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</si>
  <si>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</si>
  <si>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</si>
  <si>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</si>
  <si>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</si>
  <si>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</si>
  <si>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</si>
  <si>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</si>
  <si>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</si>
  <si>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</si>
  <si>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</si>
  <si>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</si>
  <si>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</si>
  <si>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</si>
  <si>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</si>
  <si>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</si>
  <si>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</si>
  <si>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</si>
  <si>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</si>
  <si>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</si>
  <si>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</si>
  <si>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</si>
  <si>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</si>
  <si>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</si>
  <si>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</si>
  <si>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</si>
  <si>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</si>
  <si>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</si>
  <si>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</si>
  <si>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</si>
  <si>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</si>
  <si>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</si>
  <si>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</si>
  <si>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</si>
  <si>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</si>
  <si>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</si>
  <si>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</si>
  <si>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</si>
  <si>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</si>
  <si>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</si>
  <si>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</si>
  <si>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</si>
  <si>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</si>
  <si>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</si>
  <si>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</si>
  <si>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</si>
  <si>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</si>
  <si>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</si>
  <si>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</si>
  <si>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</si>
  <si>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</si>
  <si>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</si>
  <si>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</si>
  <si>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</si>
  <si>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</si>
  <si>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</si>
  <si>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</si>
  <si>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</si>
  <si>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</si>
  <si>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</si>
  <si>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</si>
  <si>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</si>
  <si>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</si>
  <si>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</si>
  <si>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</si>
  <si>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</si>
  <si>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</si>
  <si>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</si>
  <si>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</si>
  <si>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</si>
  <si>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</si>
  <si>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</si>
  <si>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</si>
  <si>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</si>
  <si>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</si>
  <si>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</si>
  <si>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</si>
  <si>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</si>
  <si>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</si>
  <si>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</si>
  <si>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</si>
  <si>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</si>
  <si>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</si>
  <si>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</si>
  <si>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</si>
  <si>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</si>
  <si>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</si>
  <si>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</si>
  <si>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</si>
  <si>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</si>
  <si>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</si>
  <si>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</si>
  <si>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</si>
  <si>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</si>
  <si>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</si>
  <si>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</si>
  <si>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</si>
  <si>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</si>
  <si>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</si>
  <si>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</si>
  <si>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</si>
  <si>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</si>
  <si>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</si>
  <si>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</si>
  <si>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</si>
  <si>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</si>
  <si>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</si>
  <si>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18a</t>
  </si>
  <si>
    <t>457.1 Total</t>
  </si>
  <si>
    <t>21a</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</si>
  <si>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</si>
  <si>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</si>
  <si>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</si>
  <si>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</si>
  <si>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</si>
  <si>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</si>
  <si>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</si>
  <si>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</si>
  <si>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</si>
  <si>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</si>
  <si>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</si>
  <si>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</si>
  <si>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</si>
  <si>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</si>
  <si>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</si>
  <si>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</si>
  <si>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</si>
  <si>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</si>
  <si>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</si>
  <si>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</si>
  <si>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</si>
  <si>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</si>
  <si>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</si>
  <si>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</si>
  <si>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</si>
  <si>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</si>
  <si>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</si>
  <si>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</si>
  <si>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</si>
  <si>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</si>
  <si>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</si>
  <si>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</si>
  <si>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</si>
  <si>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</si>
  <si>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</si>
  <si>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</si>
  <si>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</si>
  <si>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</si>
  <si>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</si>
  <si>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</si>
  <si>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</si>
  <si>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</si>
  <si>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</si>
  <si>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</si>
  <si>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</si>
  <si>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</si>
  <si>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</si>
  <si>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</si>
  <si>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</si>
  <si>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</si>
  <si>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</si>
  <si>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</si>
  <si>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</si>
  <si>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</si>
  <si>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</si>
  <si>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</si>
  <si>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</si>
  <si>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</si>
  <si>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</si>
  <si>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</si>
  <si>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</si>
  <si>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</si>
  <si>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</si>
  <si>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</si>
  <si>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</si>
  <si>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</si>
  <si>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</si>
  <si>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</si>
  <si>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</si>
  <si>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</si>
  <si>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</si>
  <si>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</si>
  <si>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</si>
  <si>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</si>
  <si>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</si>
  <si>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</si>
  <si>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</si>
  <si>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</si>
  <si>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</si>
  <si>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</si>
  <si>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</si>
  <si>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</si>
  <si>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</si>
  <si>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</si>
  <si>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</si>
  <si>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</si>
  <si>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</si>
  <si>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</si>
  <si>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</si>
  <si>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</si>
  <si>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</si>
  <si>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</si>
  <si>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</si>
  <si>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</si>
  <si>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</si>
  <si>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</si>
  <si>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</si>
  <si>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</si>
  <si>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</si>
  <si>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</si>
  <si>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</si>
  <si>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</si>
  <si>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</si>
  <si>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</si>
  <si>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</si>
  <si>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</si>
  <si>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</si>
  <si>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</si>
  <si>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</si>
  <si>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</si>
  <si>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</si>
  <si>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</si>
  <si>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</si>
  <si>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</si>
  <si>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</si>
  <si>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</si>
  <si>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</si>
  <si>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</si>
  <si>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</si>
  <si>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</si>
  <si>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</si>
  <si>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</si>
  <si>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</si>
  <si>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</si>
  <si>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</si>
  <si>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</si>
  <si>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</si>
  <si>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</si>
  <si>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</si>
  <si>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</si>
  <si>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</si>
  <si>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</si>
  <si>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</si>
  <si>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</si>
  <si>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</si>
  <si>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</si>
  <si>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</si>
  <si>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</si>
  <si>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</si>
  <si>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</si>
  <si>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</si>
  <si>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</si>
  <si>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</si>
  <si>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</si>
  <si>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</si>
  <si>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</si>
  <si>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</si>
  <si>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</si>
  <si>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</si>
  <si>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</si>
  <si>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</si>
  <si>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</si>
  <si>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</si>
  <si>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</si>
  <si>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</si>
  <si>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</si>
  <si>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</si>
  <si>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</si>
  <si>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</si>
  <si>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</si>
  <si>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</si>
  <si>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</si>
  <si>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</si>
  <si>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</si>
  <si>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</si>
  <si>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</si>
  <si>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</si>
  <si>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</si>
  <si>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</si>
  <si>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</si>
  <si>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</si>
  <si>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</si>
  <si>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</si>
  <si>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</si>
  <si>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</si>
  <si>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</si>
  <si>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</si>
  <si>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</si>
  <si>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</si>
  <si>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</si>
  <si>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</si>
  <si>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</si>
  <si>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</si>
  <si>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</si>
  <si>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</si>
  <si>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</si>
  <si>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</si>
  <si>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</si>
  <si>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</si>
  <si>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</si>
  <si>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</si>
  <si>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</si>
  <si>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</si>
  <si>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</si>
  <si>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</si>
  <si>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</si>
  <si>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</si>
  <si>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</si>
  <si>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</si>
  <si>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</si>
  <si>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</si>
  <si>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</si>
  <si>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</si>
  <si>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</si>
  <si>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</si>
  <si>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</si>
  <si>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</si>
  <si>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</si>
  <si>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</si>
  <si>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</si>
  <si>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</si>
  <si>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</si>
  <si>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</si>
  <si>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</si>
  <si>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</si>
  <si>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</si>
  <si>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</si>
  <si>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</si>
  <si>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</si>
  <si>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</si>
  <si>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</si>
  <si>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</si>
  <si>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</si>
  <si>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</si>
  <si>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</si>
  <si>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</si>
  <si>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</si>
  <si>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</si>
  <si>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</si>
  <si>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</si>
  <si>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</si>
  <si>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</si>
  <si>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</si>
  <si>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</si>
  <si>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</si>
  <si>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</si>
  <si>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</si>
  <si>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</si>
  <si>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</si>
  <si>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</si>
  <si>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</si>
  <si>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</si>
  <si>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</si>
  <si>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</si>
  <si>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</si>
  <si>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</si>
  <si>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</si>
  <si>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</si>
  <si>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</si>
  <si>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</si>
  <si>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</si>
  <si>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</si>
  <si>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</si>
  <si>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</si>
  <si>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</si>
  <si>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</si>
  <si>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</si>
  <si>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</si>
  <si>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</si>
  <si>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</si>
  <si>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</si>
  <si>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</si>
  <si>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</si>
  <si>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</si>
  <si>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</si>
  <si>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</si>
  <si>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</si>
  <si>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</si>
  <si>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</si>
  <si>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</si>
  <si>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</si>
  <si>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</si>
  <si>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</si>
  <si>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</si>
  <si>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</si>
  <si>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</si>
  <si>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</si>
  <si>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</si>
  <si>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</si>
  <si>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</si>
  <si>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</si>
  <si>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</si>
  <si>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</si>
  <si>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</si>
  <si>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</si>
  <si>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</si>
  <si>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</si>
  <si>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</si>
  <si>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</si>
  <si>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</si>
  <si>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</si>
  <si>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</si>
  <si>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</si>
  <si>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</si>
  <si>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</si>
  <si>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</si>
  <si>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</si>
  <si>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</si>
  <si>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</si>
  <si>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</si>
  <si>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</si>
  <si>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</si>
  <si>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</si>
  <si>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</si>
  <si>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</si>
  <si>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</si>
  <si>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</si>
  <si>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</si>
  <si>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</si>
  <si>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</si>
  <si>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</si>
  <si>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</si>
  <si>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</si>
  <si>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</si>
  <si>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</si>
  <si>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</si>
  <si>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</si>
  <si>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</si>
  <si>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</si>
  <si>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</si>
  <si>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</si>
  <si>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</si>
  <si>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</si>
  <si>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</si>
  <si>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</si>
  <si>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</si>
  <si>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</si>
  <si>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</si>
  <si>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</si>
  <si>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</si>
  <si>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</si>
  <si>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</si>
  <si>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</si>
  <si>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</si>
  <si>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</si>
  <si>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</si>
  <si>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</si>
  <si>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</si>
  <si>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</si>
  <si>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</si>
  <si>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</si>
  <si>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</si>
  <si>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</si>
  <si>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</si>
  <si>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</si>
  <si>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</si>
  <si>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</si>
  <si>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</si>
  <si>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</si>
  <si>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</si>
  <si>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</si>
  <si>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</si>
  <si>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</si>
  <si>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</si>
  <si>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</si>
  <si>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</si>
  <si>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</si>
  <si>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</si>
  <si>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</si>
  <si>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</si>
  <si>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</si>
  <si>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</si>
  <si>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</si>
  <si>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</si>
  <si>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</si>
  <si>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</si>
  <si>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</si>
  <si>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</si>
  <si>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</si>
  <si>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</si>
  <si>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</si>
  <si>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</si>
  <si>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</si>
  <si>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</si>
  <si>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</si>
  <si>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</si>
  <si>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</si>
  <si>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</si>
  <si>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</si>
  <si>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</si>
  <si>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</si>
  <si>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</si>
  <si>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</si>
  <si>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</si>
  <si>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</si>
  <si>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</si>
  <si>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</si>
  <si>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</si>
  <si>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</si>
  <si>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</si>
  <si>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</si>
  <si>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</si>
  <si>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</si>
  <si>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</si>
  <si>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</si>
  <si>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</si>
  <si>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</si>
  <si>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</si>
  <si>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</si>
  <si>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</si>
  <si>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</si>
  <si>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</si>
  <si>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</si>
  <si>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</si>
  <si>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</si>
  <si>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</si>
  <si>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</si>
  <si>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</si>
  <si>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</si>
  <si>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</si>
  <si>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</si>
  <si>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</si>
  <si>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</si>
  <si>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</si>
  <si>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</si>
  <si>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</si>
  <si>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</si>
  <si>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</si>
  <si>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</si>
  <si>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</si>
  <si>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</si>
  <si>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</si>
  <si>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</si>
  <si>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</si>
  <si>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</si>
  <si>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</si>
  <si>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</si>
  <si>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</si>
  <si>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</si>
  <si>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</si>
  <si>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</si>
  <si>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</si>
  <si>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</si>
  <si>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</si>
  <si>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</si>
  <si>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</si>
  <si>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</si>
  <si>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</si>
  <si>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</si>
  <si>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</si>
  <si>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</si>
  <si>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</si>
  <si>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</si>
  <si>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</si>
  <si>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</si>
  <si>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</si>
  <si>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</si>
  <si>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</si>
  <si>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</si>
  <si>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</si>
  <si>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</si>
  <si>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</si>
  <si>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</si>
  <si>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</si>
  <si>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</si>
  <si>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</si>
  <si>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</si>
  <si>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</si>
  <si>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</si>
  <si>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</si>
  <si>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</si>
  <si>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</si>
  <si>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</si>
  <si>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</si>
  <si>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</si>
  <si>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</si>
  <si>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</si>
  <si>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</si>
  <si>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</si>
  <si>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</si>
  <si>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</si>
  <si>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</si>
  <si>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</si>
  <si>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</si>
  <si>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</si>
  <si>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</si>
  <si>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</si>
  <si>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</si>
  <si>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</si>
  <si>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</si>
  <si>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</si>
  <si>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</si>
  <si>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</si>
  <si>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</si>
  <si>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</si>
  <si>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</si>
  <si>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</si>
  <si>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</si>
  <si>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</si>
  <si>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</si>
  <si>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</si>
  <si>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</si>
  <si>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</si>
  <si>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</si>
  <si>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</si>
  <si>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</si>
  <si>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</si>
  <si>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</si>
  <si>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</si>
  <si>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</si>
  <si>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</si>
  <si>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</si>
  <si>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</si>
  <si>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</si>
  <si>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</si>
  <si>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</si>
  <si>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</si>
  <si>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</si>
  <si>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</si>
  <si>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</si>
  <si>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</si>
  <si>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</si>
  <si>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</si>
  <si>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</si>
  <si>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</si>
  <si>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</si>
  <si>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</si>
  <si>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</si>
  <si>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</si>
  <si>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</si>
  <si>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</si>
  <si>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</si>
  <si>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</si>
  <si>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</si>
  <si>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</si>
  <si>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</si>
  <si>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</si>
  <si>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</si>
  <si>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</si>
  <si>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</si>
  <si>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</si>
  <si>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</si>
  <si>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</si>
  <si>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</si>
  <si>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</si>
  <si>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</si>
  <si>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</si>
  <si>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</si>
  <si>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</si>
  <si>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</si>
  <si>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</si>
  <si>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</si>
  <si>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</si>
  <si>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</si>
  <si>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</si>
  <si>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</si>
  <si>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</si>
  <si>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</si>
  <si>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</si>
  <si>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</si>
  <si>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</si>
  <si>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</si>
  <si>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</si>
  <si>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</si>
  <si>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</si>
  <si>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</si>
  <si>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</si>
  <si>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</si>
  <si>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</si>
  <si>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</si>
  <si>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</si>
  <si>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</si>
  <si>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</si>
  <si>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</si>
  <si>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</si>
  <si>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</si>
  <si>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</si>
  <si>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</si>
  <si>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</si>
  <si>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</si>
  <si>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</si>
  <si>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</si>
  <si>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</si>
  <si>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</si>
  <si>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</si>
  <si>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</si>
  <si>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</si>
  <si>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</si>
  <si>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</si>
  <si>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</si>
  <si>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</si>
  <si>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</si>
  <si>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</si>
  <si>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</si>
  <si>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</si>
  <si>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</si>
  <si>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</si>
  <si>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</si>
  <si>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</si>
  <si>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</si>
  <si>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</si>
  <si>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</si>
  <si>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</si>
  <si>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</si>
  <si>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</si>
  <si>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</si>
  <si>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</si>
  <si>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</si>
  <si>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</si>
  <si>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</si>
  <si>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</si>
  <si>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</si>
  <si>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</si>
  <si>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</si>
  <si>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</si>
  <si>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</si>
  <si>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</si>
  <si>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</si>
  <si>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</si>
  <si>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</si>
  <si>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</si>
  <si>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</si>
  <si>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</si>
  <si>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</si>
  <si>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</si>
  <si>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</si>
  <si>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</si>
  <si>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</si>
  <si>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</si>
  <si>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</si>
  <si>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</si>
  <si>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</si>
  <si>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</si>
  <si>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</si>
  <si>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</si>
  <si>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</si>
  <si>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</si>
  <si>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</si>
  <si>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</si>
  <si>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</si>
  <si>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</si>
  <si>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</si>
  <si>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</si>
  <si>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</si>
  <si>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</si>
  <si>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</si>
  <si>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</si>
  <si>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</si>
  <si>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</si>
  <si>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</si>
  <si>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</si>
  <si>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</si>
  <si>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</si>
  <si>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</si>
  <si>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</si>
  <si>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</si>
  <si>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</si>
  <si>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</si>
  <si>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</si>
  <si>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</si>
  <si>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</si>
  <si>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</si>
  <si>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</si>
  <si>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</si>
  <si>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</si>
  <si>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</si>
  <si>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</si>
  <si>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</si>
  <si>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</si>
  <si>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</si>
  <si>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</si>
  <si>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</si>
  <si>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</si>
  <si>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</si>
  <si>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</si>
  <si>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</si>
  <si>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</si>
  <si>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</si>
  <si>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</si>
  <si>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</si>
  <si>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</si>
  <si>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</si>
  <si>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</si>
  <si>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</si>
  <si>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</si>
  <si>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</si>
  <si>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</si>
  <si>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</si>
  <si>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</si>
  <si>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Related</t>
  </si>
  <si>
    <t>Total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</si>
  <si>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</si>
  <si>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</si>
  <si>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</si>
  <si>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</si>
  <si>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</si>
  <si>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</si>
  <si>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</si>
  <si>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</si>
  <si>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</si>
  <si>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</si>
  <si>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</si>
  <si>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</si>
  <si>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</si>
  <si>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</si>
  <si>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</si>
  <si>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</si>
  <si>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</si>
  <si>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</si>
  <si>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</si>
  <si>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</si>
  <si>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</si>
  <si>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</si>
  <si>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</si>
  <si>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</si>
  <si>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</si>
  <si>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</si>
  <si>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</si>
  <si>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</si>
  <si>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</si>
  <si>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</si>
  <si>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</si>
  <si>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</si>
  <si>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</si>
  <si>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</si>
  <si>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</si>
  <si>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</si>
  <si>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</si>
  <si>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</si>
  <si>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</si>
  <si>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</si>
  <si>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</si>
  <si>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</si>
  <si>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</si>
  <si>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</si>
  <si>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</si>
  <si>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</si>
  <si>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</si>
  <si>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</si>
  <si>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</si>
  <si>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</si>
  <si>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</si>
  <si>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</si>
  <si>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</si>
  <si>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</si>
  <si>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</si>
  <si>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</si>
  <si>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</si>
  <si>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</si>
  <si>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</si>
  <si>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</si>
  <si>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</si>
  <si>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</si>
  <si>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</si>
  <si>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</si>
  <si>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</si>
  <si>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</si>
  <si>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</si>
  <si>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</si>
  <si>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</si>
  <si>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</si>
  <si>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</si>
  <si>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</si>
  <si>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</si>
  <si>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</si>
  <si>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</si>
  <si>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</si>
  <si>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</si>
  <si>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</si>
  <si>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</si>
  <si>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</si>
  <si>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</si>
  <si>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</si>
  <si>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</si>
  <si>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</si>
  <si>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</si>
  <si>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</si>
  <si>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</si>
  <si>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</si>
  <si>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</si>
  <si>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</si>
  <si>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</si>
  <si>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</si>
  <si>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</si>
  <si>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</si>
  <si>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</si>
  <si>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</si>
  <si>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</si>
  <si>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</si>
  <si>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</si>
  <si>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</si>
  <si>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</si>
  <si>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</si>
  <si>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</si>
  <si>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</si>
  <si>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</si>
  <si>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</si>
  <si>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</si>
  <si>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</si>
  <si>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</si>
  <si>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</si>
  <si>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</si>
  <si>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</si>
  <si>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</si>
  <si>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</si>
  <si>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</si>
  <si>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</si>
  <si>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</si>
  <si>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</si>
  <si>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</si>
  <si>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</si>
  <si>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</si>
  <si>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</si>
  <si>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</si>
  <si>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</si>
  <si>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</si>
  <si>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</si>
  <si>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</si>
  <si>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</si>
  <si>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</si>
  <si>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</si>
  <si>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</si>
  <si>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</si>
  <si>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</si>
  <si>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</si>
  <si>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</si>
  <si>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</si>
  <si>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</si>
  <si>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</si>
  <si>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</si>
  <si>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</si>
  <si>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</si>
  <si>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</si>
  <si>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</si>
  <si>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</si>
  <si>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</si>
  <si>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</si>
  <si>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</si>
  <si>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</si>
  <si>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</si>
  <si>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</si>
  <si>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</si>
  <si>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</si>
  <si>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</si>
  <si>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</si>
  <si>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</si>
  <si>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</si>
  <si>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</si>
  <si>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</si>
  <si>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</si>
  <si>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</si>
  <si>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</si>
  <si>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</si>
  <si>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</si>
  <si>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</si>
  <si>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</si>
  <si>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</si>
  <si>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</si>
  <si>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</si>
  <si>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</si>
  <si>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</si>
  <si>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</si>
  <si>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</si>
  <si>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</si>
  <si>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</si>
  <si>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</si>
  <si>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</si>
  <si>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</si>
  <si>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</si>
  <si>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</si>
  <si>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</si>
  <si>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</si>
  <si>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</si>
  <si>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</si>
  <si>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</si>
  <si>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</si>
  <si>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</si>
  <si>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</si>
  <si>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</si>
  <si>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</si>
  <si>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</si>
  <si>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</si>
  <si>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</si>
  <si>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</si>
  <si>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</si>
  <si>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</si>
  <si>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</si>
  <si>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</si>
  <si>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</si>
  <si>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</si>
  <si>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</si>
  <si>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</si>
  <si>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</si>
  <si>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</si>
  <si>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</si>
  <si>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</si>
  <si>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</si>
  <si>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</si>
  <si>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</si>
  <si>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</si>
  <si>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</si>
  <si>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</si>
  <si>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</si>
  <si>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</si>
  <si>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</si>
  <si>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</si>
  <si>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</si>
  <si>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</si>
  <si>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</si>
  <si>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</si>
  <si>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</si>
  <si>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</si>
  <si>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</si>
  <si>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</si>
  <si>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</si>
  <si>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</si>
  <si>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</si>
  <si>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</si>
  <si>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</si>
  <si>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</si>
  <si>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</si>
  <si>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</si>
  <si>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</si>
  <si>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</si>
  <si>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</si>
  <si>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</si>
  <si>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</si>
  <si>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</si>
  <si>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</si>
  <si>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</si>
  <si>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</si>
  <si>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</si>
  <si>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</si>
  <si>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</si>
  <si>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</si>
  <si>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</si>
  <si>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</si>
  <si>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</si>
  <si>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</si>
  <si>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</si>
  <si>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</si>
  <si>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 approving revised ROE:</t>
  </si>
  <si>
    <t>In the event that the Return on Common Equity is revised from the initial value, enter cite to Commission Order approving the revised ROE on following line.</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</si>
  <si>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</si>
  <si>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</si>
  <si>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</si>
  <si>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</si>
  <si>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</si>
  <si>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</si>
  <si>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</si>
  <si>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</si>
  <si>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</si>
  <si>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</si>
  <si>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</si>
  <si>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</si>
  <si>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</si>
  <si>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</si>
  <si>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</si>
  <si>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</si>
  <si>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</si>
  <si>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</si>
  <si>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</si>
  <si>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</si>
  <si>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</si>
  <si>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</si>
  <si>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</si>
  <si>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</si>
  <si>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</si>
  <si>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</si>
  <si>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</si>
  <si>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</si>
  <si>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</si>
  <si>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</si>
  <si>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</si>
  <si>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</si>
  <si>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</si>
  <si>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</si>
  <si>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</si>
  <si>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</si>
  <si>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</si>
  <si>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</si>
  <si>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</si>
  <si>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</si>
  <si>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</si>
  <si>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</si>
  <si>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</si>
  <si>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</si>
  <si>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</si>
  <si>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</si>
  <si>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</si>
  <si>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</si>
  <si>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</si>
  <si>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</si>
  <si>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</si>
  <si>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</si>
  <si>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</si>
  <si>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</si>
  <si>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</si>
  <si>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</si>
  <si>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</si>
  <si>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</si>
  <si>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</si>
  <si>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</si>
  <si>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</si>
  <si>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</si>
  <si>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</si>
  <si>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</si>
  <si>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</si>
  <si>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</si>
  <si>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</si>
  <si>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</si>
  <si>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</si>
  <si>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</si>
  <si>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</si>
  <si>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</si>
  <si>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</si>
  <si>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</si>
  <si>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</si>
  <si>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</si>
  <si>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</si>
  <si>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</si>
  <si>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</si>
  <si>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</si>
  <si>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</si>
  <si>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</si>
  <si>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</si>
  <si>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</si>
  <si>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</si>
  <si>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</si>
  <si>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</si>
  <si>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</si>
  <si>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</si>
  <si>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</si>
  <si>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</si>
  <si>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</si>
  <si>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</si>
  <si>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</si>
  <si>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</si>
  <si>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</si>
  <si>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</si>
  <si>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</si>
  <si>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</si>
  <si>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</si>
  <si>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</si>
  <si>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</si>
  <si>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</si>
  <si>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</si>
  <si>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</si>
  <si>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</si>
  <si>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</si>
  <si>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</si>
  <si>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</si>
  <si>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</si>
  <si>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</si>
  <si>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</si>
  <si>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</si>
  <si>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</si>
  <si>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</si>
  <si>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</si>
  <si>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</si>
  <si>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</si>
  <si>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</si>
  <si>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</si>
  <si>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</si>
  <si>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</si>
  <si>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</si>
  <si>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</si>
  <si>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</si>
  <si>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</si>
  <si>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</si>
  <si>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</si>
  <si>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</si>
  <si>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3c) Project:</t>
  </si>
  <si>
    <t>3d) Project:</t>
  </si>
  <si>
    <t>3e) Project:</t>
  </si>
  <si>
    <t>3f) Project:</t>
  </si>
  <si>
    <t>Unload</t>
  </si>
  <si>
    <t>3g) Project:</t>
  </si>
  <si>
    <t>3h) Project:</t>
  </si>
  <si>
    <t>3i) Project:</t>
  </si>
  <si>
    <t>3j) Project:</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</si>
  <si>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</si>
  <si>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</si>
  <si>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</si>
  <si>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</si>
  <si>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</si>
  <si>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</si>
  <si>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</si>
  <si>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</si>
  <si>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</si>
  <si>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</si>
  <si>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</si>
  <si>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</si>
  <si>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</si>
  <si>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</si>
  <si>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</si>
  <si>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</si>
  <si>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</si>
  <si>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</si>
  <si>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</si>
  <si>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</si>
  <si>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</si>
  <si>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</si>
  <si>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</si>
  <si>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</si>
  <si>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</si>
  <si>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</si>
  <si>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</si>
  <si>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</si>
  <si>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</si>
  <si>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</si>
  <si>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</si>
  <si>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</si>
  <si>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</si>
  <si>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</si>
  <si>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</si>
  <si>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</si>
  <si>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</si>
  <si>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</si>
  <si>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</si>
  <si>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</si>
  <si>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</si>
  <si>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</si>
  <si>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</si>
  <si>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</si>
  <si>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</si>
  <si>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</si>
  <si>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</si>
  <si>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</si>
  <si>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</si>
  <si>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</si>
  <si>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</si>
  <si>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</si>
  <si>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</si>
  <si>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</si>
  <si>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</si>
  <si>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</si>
  <si>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</si>
  <si>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</si>
  <si>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</si>
  <si>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</si>
  <si>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</si>
  <si>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</si>
  <si>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</si>
  <si>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</si>
  <si>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</si>
  <si>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</si>
  <si>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</si>
  <si>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</si>
  <si>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</si>
  <si>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</si>
  <si>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</si>
  <si>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</si>
  <si>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</si>
  <si>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</si>
  <si>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</si>
  <si>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</si>
  <si>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</si>
  <si>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</si>
  <si>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</si>
  <si>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</si>
  <si>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</si>
  <si>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</si>
  <si>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</si>
  <si>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</si>
  <si>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</si>
  <si>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</si>
  <si>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</si>
  <si>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</si>
  <si>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</si>
  <si>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</si>
  <si>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</si>
  <si>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</si>
  <si>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</si>
  <si>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</si>
  <si>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</si>
  <si>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</si>
  <si>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</si>
  <si>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</si>
  <si>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</si>
  <si>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</si>
  <si>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</si>
  <si>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</si>
  <si>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</si>
  <si>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</si>
  <si>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</si>
  <si>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</si>
  <si>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</si>
  <si>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</si>
  <si>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</si>
  <si>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</si>
  <si>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</si>
  <si>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</si>
  <si>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</si>
  <si>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</si>
  <si>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</si>
  <si>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</si>
  <si>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</si>
  <si>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</si>
  <si>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</si>
  <si>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</si>
  <si>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</si>
  <si>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2) Sum of project specific values from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</si>
  <si>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</si>
  <si>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</si>
  <si>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</si>
  <si>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</si>
  <si>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</si>
  <si>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</si>
  <si>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</si>
  <si>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</si>
  <si>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</si>
  <si>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</si>
  <si>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</si>
  <si>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</si>
  <si>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</si>
  <si>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</si>
  <si>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</si>
  <si>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</si>
  <si>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</si>
  <si>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</si>
  <si>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</si>
  <si>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</si>
  <si>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</si>
  <si>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</si>
  <si>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</si>
  <si>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</si>
  <si>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</si>
  <si>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</si>
  <si>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</si>
  <si>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</si>
  <si>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</si>
  <si>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</si>
  <si>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</si>
  <si>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</si>
  <si>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</si>
  <si>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</si>
  <si>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</si>
  <si>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</si>
  <si>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</si>
  <si>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</si>
  <si>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</si>
  <si>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</si>
  <si>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</si>
  <si>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</si>
  <si>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</si>
  <si>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</si>
  <si>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</si>
  <si>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</si>
  <si>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</si>
  <si>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</si>
  <si>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</si>
  <si>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</si>
  <si>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</si>
  <si>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</si>
  <si>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</si>
  <si>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</si>
  <si>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</si>
  <si>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</si>
  <si>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</si>
  <si>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</si>
  <si>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</si>
  <si>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</si>
  <si>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</si>
  <si>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</si>
  <si>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</si>
  <si>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</si>
  <si>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</si>
  <si>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</si>
  <si>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</si>
  <si>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</si>
  <si>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</si>
  <si>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</si>
  <si>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</si>
  <si>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</si>
  <si>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</si>
  <si>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</si>
  <si>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</si>
  <si>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</si>
  <si>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</si>
  <si>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</si>
  <si>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</si>
  <si>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</si>
  <si>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</si>
  <si>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</si>
  <si>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</si>
  <si>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</si>
  <si>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</si>
  <si>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</si>
  <si>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</si>
  <si>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</si>
  <si>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</si>
  <si>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</si>
  <si>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</si>
  <si>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</si>
  <si>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</si>
  <si>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</si>
  <si>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</si>
  <si>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</si>
  <si>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</si>
  <si>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</si>
  <si>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</si>
  <si>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</si>
  <si>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</si>
  <si>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</si>
  <si>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</si>
  <si>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</si>
  <si>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4o</t>
  </si>
  <si>
    <t>Conn-Charge - Residential</t>
  </si>
  <si>
    <t>4p</t>
  </si>
  <si>
    <t>Conn-Charge - Non-Residential</t>
  </si>
  <si>
    <t>4q</t>
  </si>
  <si>
    <t>Conn-Charge - At Pole</t>
  </si>
  <si>
    <t>6-PlantInService Line 15.</t>
  </si>
  <si>
    <t>6-PlantInService Line 16.</t>
  </si>
  <si>
    <t xml:space="preserve"> and the American Reinvestment Recovery Act for the Tehachapi Wind Energy Storage Project.</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</si>
  <si>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</si>
  <si>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</si>
  <si>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</si>
  <si>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</si>
  <si>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</si>
  <si>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</si>
  <si>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</si>
  <si>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</si>
  <si>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</si>
  <si>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</si>
  <si>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</si>
  <si>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</si>
  <si>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</si>
  <si>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</si>
  <si>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</si>
  <si>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</si>
  <si>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</si>
  <si>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</si>
  <si>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</si>
  <si>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</si>
  <si>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</si>
  <si>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</si>
  <si>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</si>
  <si>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</si>
  <si>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</si>
  <si>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</si>
  <si>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</si>
  <si>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</si>
  <si>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</si>
  <si>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</si>
  <si>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</si>
  <si>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</si>
  <si>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</si>
  <si>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</si>
  <si>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</si>
  <si>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</si>
  <si>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</si>
  <si>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</si>
  <si>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</si>
  <si>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</si>
  <si>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</si>
  <si>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</si>
  <si>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</si>
  <si>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</si>
  <si>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</si>
  <si>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</si>
  <si>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</si>
  <si>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</si>
  <si>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</si>
  <si>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</si>
  <si>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</si>
  <si>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</si>
  <si>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</si>
  <si>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</si>
  <si>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</si>
  <si>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</si>
  <si>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</si>
  <si>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t>15)  Applicable to time-of-use schedules within the GS-1 rate group</t>
  </si>
  <si>
    <t>from Line1:Col4</t>
  </si>
  <si>
    <t>= Col 7 + Col 8</t>
  </si>
  <si>
    <t>= Line35:(Col4*Col5/Col6*Col9)</t>
  </si>
  <si>
    <t>= Line35:(Col10 / total of Col10)</t>
  </si>
  <si>
    <t>Note 17</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</si>
  <si>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</si>
  <si>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</si>
  <si>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</si>
  <si>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</si>
  <si>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</si>
  <si>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</si>
  <si>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</si>
  <si>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</si>
  <si>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</si>
  <si>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</si>
  <si>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</si>
  <si>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</si>
  <si>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</si>
  <si>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</si>
  <si>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</si>
  <si>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</si>
  <si>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</si>
  <si>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</si>
  <si>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</si>
  <si>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</si>
  <si>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</si>
  <si>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</si>
  <si>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</si>
  <si>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</si>
  <si>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</si>
  <si>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</si>
  <si>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</si>
  <si>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</si>
  <si>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</si>
  <si>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</si>
  <si>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</si>
  <si>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</si>
  <si>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</si>
  <si>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</si>
  <si>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</si>
  <si>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</si>
  <si>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</si>
  <si>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</si>
  <si>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</si>
  <si>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</si>
  <si>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</si>
  <si>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</si>
  <si>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</si>
  <si>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</si>
  <si>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</si>
  <si>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</si>
  <si>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</si>
  <si>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</si>
  <si>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</si>
  <si>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</si>
  <si>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</si>
  <si>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</si>
  <si>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</si>
  <si>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</si>
  <si>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</si>
  <si>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</si>
  <si>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</si>
  <si>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</si>
  <si>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</si>
  <si>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</si>
  <si>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</si>
  <si>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</si>
  <si>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</si>
  <si>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</si>
  <si>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</si>
  <si>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</si>
  <si>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</si>
  <si>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</si>
  <si>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</si>
  <si>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</si>
  <si>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</si>
  <si>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</si>
  <si>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</si>
  <si>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</si>
  <si>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</si>
  <si>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</si>
  <si>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</si>
  <si>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</si>
  <si>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</si>
  <si>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</si>
  <si>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</si>
  <si>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</si>
  <si>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</si>
  <si>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</si>
  <si>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</si>
  <si>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</si>
  <si>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</si>
  <si>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</si>
  <si>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</si>
  <si>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</si>
  <si>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</si>
  <si>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</si>
  <si>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</si>
  <si>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</si>
  <si>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</si>
  <si>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</si>
  <si>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d) South of Kramer</t>
  </si>
  <si>
    <t>e) West of Devers</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</si>
  <si>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</si>
  <si>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</si>
  <si>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</si>
  <si>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</si>
  <si>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</si>
  <si>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</si>
  <si>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</si>
  <si>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</si>
  <si>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</si>
  <si>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</si>
  <si>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</si>
  <si>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</si>
  <si>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</si>
  <si>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</si>
  <si>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</si>
  <si>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</si>
  <si>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</si>
  <si>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</si>
  <si>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</si>
  <si>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</si>
  <si>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</si>
  <si>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</si>
  <si>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</si>
  <si>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</si>
  <si>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</si>
  <si>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</si>
  <si>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</si>
  <si>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</si>
  <si>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</si>
  <si>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</si>
  <si>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</si>
  <si>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</si>
  <si>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</si>
  <si>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</si>
  <si>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</si>
  <si>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</si>
  <si>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</si>
  <si>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</si>
  <si>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</si>
  <si>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</si>
  <si>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</si>
  <si>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</si>
  <si>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</si>
  <si>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</si>
  <si>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</si>
  <si>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</si>
  <si>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</si>
  <si>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</si>
  <si>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</si>
  <si>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</si>
  <si>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</si>
  <si>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</si>
  <si>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</si>
  <si>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</si>
  <si>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</si>
  <si>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</si>
  <si>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</si>
  <si>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</si>
  <si>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</si>
  <si>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</si>
  <si>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</si>
  <si>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a) Line Miles</t>
  </si>
  <si>
    <t>b) Underground Line Miles</t>
  </si>
  <si>
    <t>c) Circuit Breakers</t>
  </si>
  <si>
    <t>d) Distribution Circuit Breakers</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</si>
  <si>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</si>
  <si>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</si>
  <si>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</si>
  <si>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</si>
  <si>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</si>
  <si>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</si>
  <si>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</si>
  <si>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 xml:space="preserve">to a Section 205 or 206 filing.  </t>
  </si>
  <si>
    <t>100%</t>
  </si>
  <si>
    <t>0%</t>
  </si>
  <si>
    <t>6)  See Column 9 for references to source of each  Percent ISO.</t>
  </si>
  <si>
    <t xml:space="preserve">a filing at the Commission.  Investment Tax Credit Flowed Through amount shall be negative $520,000 through the Prior Year of 2018, </t>
  </si>
  <si>
    <t>negative $183,000 for the Prior Year of 2019, and $0 thereafter.</t>
  </si>
  <si>
    <t>2) For January through December = previous month balance plus amount in Column 2.</t>
  </si>
  <si>
    <t>= Prior Month C9
 - C4 + C8</t>
  </si>
  <si>
    <t>Previous Annual Update:</t>
  </si>
  <si>
    <t>Instruction 3: Classify any ADIT line items relating to refunding and retirement of debt as Plant related (Column 5).</t>
  </si>
  <si>
    <t>a) Depreciation Expense (on Lines 27 to 38) for the same month;</t>
  </si>
  <si>
    <t>1/8 (O&amp;M + A&amp;G)</t>
  </si>
  <si>
    <t>Mesa</t>
  </si>
  <si>
    <t>Alberhill</t>
  </si>
  <si>
    <t>8) Mesa</t>
  </si>
  <si>
    <t>9) Alberhill</t>
  </si>
  <si>
    <t>10) ELM Series Caps</t>
  </si>
  <si>
    <t>ELM Series Caps</t>
  </si>
  <si>
    <t>3k) Project:</t>
  </si>
  <si>
    <t>FF1 322.156b</t>
  </si>
  <si>
    <t>Mesa:</t>
  </si>
  <si>
    <t>Alberhill:</t>
  </si>
  <si>
    <t>ELM Series Caps: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</si>
  <si>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</si>
  <si>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</si>
  <si>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</si>
  <si>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</si>
  <si>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</si>
  <si>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</si>
  <si>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</si>
  <si>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</si>
  <si>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</si>
  <si>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 xml:space="preserve">                                                                                                                                                                                                                                                                                                                </t>
  </si>
  <si>
    <t>12eee</t>
  </si>
  <si>
    <t>Power Quality C&amp;I Customer Program</t>
  </si>
  <si>
    <t xml:space="preserve">calculated by this formula shall be entered as a One Time Adjustment on Schedule 3, ensuring that </t>
  </si>
  <si>
    <r>
      <t>3) No change in the South Georgia Income Tax Adjustment "Credits and Other" term</t>
    </r>
    <r>
      <rPr>
        <sz val="10"/>
        <rFont val="Arial"/>
        <family val="2"/>
      </rPr>
      <t xml:space="preserve"> will be made absent </t>
    </r>
  </si>
  <si>
    <t>Note 1, Note 4</t>
  </si>
  <si>
    <t>Transportation Electrification (TE) Energy Charge - $/kWh</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</si>
  <si>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</si>
  <si>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</si>
  <si>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</si>
  <si>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</si>
  <si>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Note 18</t>
  </si>
  <si>
    <t>Pump Load True-Up:</t>
  </si>
  <si>
    <t>4) The Pump Load True-Up value is equal to actual recorded less forecast Pump Load for the Prior Year.</t>
  </si>
  <si>
    <t>Line 1 + Line 2 + Line 3</t>
  </si>
  <si>
    <t>FF1 117.64c</t>
  </si>
  <si>
    <t>the Formula Rate Spreadsheet in effect during the Prior Year.</t>
  </si>
  <si>
    <t>Depreciation Rates (Percent per year)  See Instruction 1.</t>
  </si>
  <si>
    <t>1) Depreciation rates on lines 17a-17m are input based on the stated values of ISO Transmission Plant depreciation rates from Schedule 18 of</t>
  </si>
  <si>
    <t xml:space="preserve">ISO Transmission Wages and Salaries </t>
  </si>
  <si>
    <t xml:space="preserve">1) Includes any Unfunded Reserves relating to accrued expenses included in Account 925 “Injuries and Damages”, </t>
  </si>
  <si>
    <t>reduced for any expected offsetting payments.</t>
  </si>
  <si>
    <t>Total all Substations (L7 + L8 + L9)</t>
  </si>
  <si>
    <t>Total Transmission Lines (L2 + L3):</t>
  </si>
  <si>
    <r>
      <t>13) For optional time-of-use schedules within the GS-1 rate group (Line16b:Col6), = (Line1b</t>
    </r>
    <r>
      <rPr>
        <vertAlign val="subscript"/>
        <sz val="10"/>
        <rFont val="Arial"/>
        <family val="2"/>
      </rPr>
      <t>2</t>
    </r>
    <r>
      <rPr>
        <sz val="10"/>
        <rFont val="Arial"/>
        <family val="2"/>
      </rPr>
      <t>:Col11 - Line16:Col3) / Line1b:Col12 / 10^3</t>
    </r>
  </si>
  <si>
    <t>State</t>
  </si>
  <si>
    <t>14) For the non TOU-8-Standby rate group, it is the minimum of Line16i:Col7, or the total demand rate in Line1:Col10</t>
  </si>
  <si>
    <t>g) Whirlwind Substation Expansion</t>
  </si>
  <si>
    <t>k) ELM Series Caps</t>
  </si>
  <si>
    <t>FF1 263.1, Row 13, Column i</t>
  </si>
  <si>
    <t>FF1 263, Row 6, Column i</t>
  </si>
  <si>
    <t>FF1 263, Row 7, Column i</t>
  </si>
  <si>
    <t>FF1 263, Row 8, Column i</t>
  </si>
  <si>
    <t>FF1 263, Row 24, Column i</t>
  </si>
  <si>
    <t>FF1 263, Row 9, Column i</t>
  </si>
  <si>
    <t>FF1 263, Row 29, Column i</t>
  </si>
  <si>
    <t>FF1 263, Row 28, Column i</t>
  </si>
  <si>
    <t>Dec 2018</t>
  </si>
  <si>
    <t>NEM 2.0</t>
  </si>
  <si>
    <t>10aa</t>
  </si>
  <si>
    <t xml:space="preserve">Minimum Common Stock Capital Percentage (Docket No. ER19-1553) </t>
  </si>
  <si>
    <t>Prior Year Incentive Adder Reversal</t>
  </si>
  <si>
    <t>39a</t>
  </si>
  <si>
    <t>True Up Incentive Adder Reversal</t>
  </si>
  <si>
    <t>Negative of Line 39, Note 1</t>
  </si>
  <si>
    <t>1) True Up TRR Incentive Adder Reversal backs out the revenue requirement associated with any project-specific Incentive Adders</t>
  </si>
  <si>
    <t>(Line 39) for True Up Years during the term of the settlement of ER19-1553.</t>
  </si>
  <si>
    <t>5) Prior Year Incentive Adder Reversal backs out the revenue requirement associated with any project-specific Incentive Adders</t>
  </si>
  <si>
    <t>Calculation of Cost of Long-Term Debt</t>
  </si>
  <si>
    <t>Interest on Long-Term Debt -- Account 427</t>
  </si>
  <si>
    <t>FF1 117.62c</t>
  </si>
  <si>
    <t>Amortization of Debt Discount and Expense -- Account 428</t>
  </si>
  <si>
    <t>FF1 117.63c</t>
  </si>
  <si>
    <t>Amortization of Loss on Reacquired Debt -- Account 428.1</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</si>
  <si>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</si>
  <si>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</si>
  <si>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</si>
  <si>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</si>
  <si>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</si>
  <si>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</si>
  <si>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</si>
  <si>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</si>
  <si>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Cost of Preferred Stock</t>
  </si>
  <si>
    <t>Cost of Preferred Stock -- Account 437</t>
  </si>
  <si>
    <t xml:space="preserve">Enter positive </t>
  </si>
  <si>
    <t>FF1 118.29c</t>
  </si>
  <si>
    <t>Amortization of Net Gain (Loss)  From Purchases and Tender Offers</t>
  </si>
  <si>
    <t>Amortization Issuance Costs</t>
  </si>
  <si>
    <t xml:space="preserve"> Long Term Debt Advances from Associated Companies (Note 2a):</t>
  </si>
  <si>
    <t>Other Long Term Debt -- Account 224 (Note 3):</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</si>
  <si>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</si>
  <si>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</si>
  <si>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List associated securities, Face Amount, Issuance Date, Issuance Costs, Amortization Period, and Annual Amortization:</t>
  </si>
  <si>
    <t>Amortization</t>
  </si>
  <si>
    <t>Face</t>
  </si>
  <si>
    <t>Issuance</t>
  </si>
  <si>
    <t>Issue</t>
  </si>
  <si>
    <t>Date</t>
  </si>
  <si>
    <t>Costs</t>
  </si>
  <si>
    <t>(Years)</t>
  </si>
  <si>
    <t>Total Annual Amortization (sum of "Issues" listed above)</t>
  </si>
  <si>
    <t>List associated securities and event, Event Date, Amortization Amount, Amortization Period, and Annual Amortization:</t>
  </si>
  <si>
    <t>Event</t>
  </si>
  <si>
    <t>Issue/Event</t>
  </si>
  <si>
    <t>Total Annual Amortization (sum of "Issues/Events" listed above)</t>
  </si>
  <si>
    <t>DDSMS - Five Year</t>
  </si>
  <si>
    <t>Average of Line 5 and Line 10</t>
  </si>
  <si>
    <t>Account 254</t>
  </si>
  <si>
    <t>278.x Reference</t>
  </si>
  <si>
    <t>Account 182.3</t>
  </si>
  <si>
    <t>232.x Reference</t>
  </si>
  <si>
    <t>Enter FF1 Page 214 Line reference here when Line 4 is a non-zero amount:</t>
  </si>
  <si>
    <t>77a</t>
  </si>
  <si>
    <t>Negative of Line 77</t>
  </si>
  <si>
    <t>44a</t>
  </si>
  <si>
    <t>Workpaper:</t>
  </si>
  <si>
    <t>Workpaper for Line 23:</t>
  </si>
  <si>
    <t>Workpaper for Line 12:</t>
  </si>
  <si>
    <t>Workpapers for additional information:</t>
  </si>
  <si>
    <t xml:space="preserve">5) Only exclude if not already excluded in Schedule 20.  </t>
  </si>
  <si>
    <t>6) If appropriate, additional expenses may be excluded from the Wholesale Base TRR</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</si>
  <si>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</si>
  <si>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</si>
  <si>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See Instruction 6</t>
  </si>
  <si>
    <t>2) No Unfunded Reserve shall be included in Schedule 34 associated with any wildfire other than the 2017/18 Wildfire/Mudslide Events.</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</si>
  <si>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</si>
  <si>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</si>
  <si>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</si>
  <si>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Associated costs for other wildfire events are reflected in Schedule 20 "A&amp;G" and recovered on a cash basis (see Instruction 6 of Schedule 20).</t>
  </si>
  <si>
    <t xml:space="preserve">TO2021 Annual Update </t>
  </si>
  <si>
    <t>WP-Schedule 1</t>
  </si>
  <si>
    <t>Dec 2019</t>
  </si>
  <si>
    <t>Jan 2019</t>
  </si>
  <si>
    <t>Feb 2019</t>
  </si>
  <si>
    <t>Mar 2019</t>
  </si>
  <si>
    <t>Apr 2019</t>
  </si>
  <si>
    <t>May 2019</t>
  </si>
  <si>
    <t>Jun 2019</t>
  </si>
  <si>
    <t>Jul 2019</t>
  </si>
  <si>
    <t>Aug 2019</t>
  </si>
  <si>
    <t>Sep 2019</t>
  </si>
  <si>
    <t>Oct 2019</t>
  </si>
  <si>
    <t>Nov 2019</t>
  </si>
  <si>
    <t xml:space="preserve">4) Includes recorded Transmission Plant-In-Service additions, retirements, transfers and adjustments.  Monthly differences from previous matrix. </t>
  </si>
  <si>
    <t xml:space="preserve">6) Monthly differences from previous matrix.  </t>
  </si>
  <si>
    <t>FF1 278.7, Line 6</t>
  </si>
  <si>
    <t>FF1 232.11, Line 31</t>
  </si>
  <si>
    <t>3) Reconciles to BOY and EOY FERC Form 1 (FF1 207, Lines 48-56 , Column g).  Workpaper:</t>
  </si>
  <si>
    <t>Amort of Debt Issuance Cost</t>
  </si>
  <si>
    <t>Executive Incentive Comp</t>
  </si>
  <si>
    <t>Bond Discount Amort</t>
  </si>
  <si>
    <t>Executive Incentive Plan</t>
  </si>
  <si>
    <t>Ins - Inj/Damages Prov</t>
  </si>
  <si>
    <t>Accrued Vacation</t>
  </si>
  <si>
    <t>Amortization of Debt Expense</t>
  </si>
  <si>
    <t>Decommissioning</t>
  </si>
  <si>
    <t>Balancing Accounts</t>
  </si>
  <si>
    <t>Pension &amp; PBOP</t>
  </si>
  <si>
    <t>Property/Non-ISO</t>
  </si>
  <si>
    <t>Regulatory Assets/Liab</t>
  </si>
  <si>
    <t>Temp - Other/Non-ISO</t>
  </si>
  <si>
    <t>Net Operating Losses DTA</t>
  </si>
  <si>
    <t>C: Relates primarily to Regulated Electric Property</t>
  </si>
  <si>
    <t>C: Relates to employees in all functions</t>
  </si>
  <si>
    <t>Relates to Nuclear Decommissioning Costs</t>
  </si>
  <si>
    <t>Relates Entirely to CPUC Balancing Account Recovery</t>
  </si>
  <si>
    <t>Non-Rate Base Property</t>
  </si>
  <si>
    <t xml:space="preserve">Relates to Nonrecovery Balancing Account  </t>
  </si>
  <si>
    <t>Not Component of Rate Base</t>
  </si>
  <si>
    <t xml:space="preserve">NOL/DTA </t>
  </si>
  <si>
    <t>Temp - Other/Non-ISO - Gas</t>
  </si>
  <si>
    <t>Temp - Other/Non-ISO - Other</t>
  </si>
  <si>
    <t>EMS</t>
  </si>
  <si>
    <t>Property/Non-ISO - Gas</t>
  </si>
  <si>
    <t>Property/Non-ISO - Other</t>
  </si>
  <si>
    <t>Gas Related Costs</t>
  </si>
  <si>
    <t>Other Non-ISO Related Costs</t>
  </si>
  <si>
    <t xml:space="preserve">Fully Normalized Deferred Tax </t>
  </si>
  <si>
    <t>Capitalized software</t>
  </si>
  <si>
    <t>Audit Rollforward</t>
  </si>
  <si>
    <t>Property-Related FERC Costs</t>
  </si>
  <si>
    <t>Property-Related CPUC Costs</t>
  </si>
  <si>
    <t>Property-Related CPUC Costs - Cap Software</t>
  </si>
  <si>
    <t xml:space="preserve">Property-Related CPUC Costs - Audit </t>
  </si>
  <si>
    <t>Ad Valorem Lien Date Adj-Electric</t>
  </si>
  <si>
    <t>Refunding &amp; Retirement of Debt</t>
  </si>
  <si>
    <t>Health Care - IBNR</t>
  </si>
  <si>
    <t>Relates Entirely to CPUC Regulated Property</t>
  </si>
  <si>
    <t>Relates Entirely to FERC Regulated Electric Property</t>
  </si>
  <si>
    <t>Non-Rate Base FAS 109 Tax Flow-Thru</t>
  </si>
  <si>
    <t>WP Schedule 9-EDIT and Amortization</t>
  </si>
  <si>
    <t>Internal Revenue Code § 11.b</t>
  </si>
  <si>
    <t>California Rev. &amp; Tax. Cd. § 23151</t>
  </si>
  <si>
    <t>WP Schedule 27 ISO Allocators</t>
  </si>
  <si>
    <t xml:space="preserve">2020 TRBAA </t>
  </si>
  <si>
    <t xml:space="preserve"> ER20-268</t>
  </si>
  <si>
    <t>Line 17, column 3</t>
  </si>
  <si>
    <t>Injuries and Damages - See Note 1 and Note 2</t>
  </si>
  <si>
    <t xml:space="preserve">Alberhill </t>
  </si>
  <si>
    <t>Sub</t>
  </si>
  <si>
    <t xml:space="preserve"> SCE records</t>
  </si>
  <si>
    <t>i) Mesa</t>
  </si>
  <si>
    <t>j) Alberhill</t>
  </si>
  <si>
    <t>A) Rancho Vista Incentives Received:</t>
  </si>
  <si>
    <t>Cite:</t>
  </si>
  <si>
    <t>CWIP:</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</si>
  <si>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</si>
  <si>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</si>
  <si>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</si>
  <si>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</si>
  <si>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</si>
  <si>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</si>
  <si>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</si>
  <si>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</si>
  <si>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</si>
  <si>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</si>
  <si>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</si>
  <si>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</si>
  <si>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</si>
  <si>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</si>
  <si>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</si>
  <si>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</si>
  <si>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</si>
  <si>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</si>
  <si>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</si>
  <si>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</si>
  <si>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</si>
  <si>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</si>
  <si>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</si>
  <si>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</si>
  <si>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</si>
  <si>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</si>
  <si>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</si>
  <si>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</si>
  <si>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</si>
  <si>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 xml:space="preserve">WP Schedule 22 </t>
  </si>
  <si>
    <t>WP - Schedule 28 FFU</t>
  </si>
  <si>
    <t>Present</t>
  </si>
  <si>
    <t>Schedule 28 - Workpaper Line 3</t>
  </si>
  <si>
    <t>Schedule 28 - Workpaper Line 4</t>
  </si>
  <si>
    <t>WP Schedule 5 ROR-2</t>
  </si>
  <si>
    <t>WP Schedule 7</t>
  </si>
  <si>
    <t>WP Schedule 32 Gross Load</t>
  </si>
  <si>
    <t>WP Schedule 6&amp;8</t>
  </si>
  <si>
    <t>WP Schedule 13 Working Capital</t>
  </si>
  <si>
    <t>WP Schedule 19 O&amp;M Cost Detail</t>
  </si>
  <si>
    <t>CPUC D. 19-05-20</t>
  </si>
  <si>
    <t>2018 – 2020</t>
  </si>
  <si>
    <t>WP-Schedule 34 Unfunded Reserves &amp; Wildfire</t>
  </si>
  <si>
    <t>.</t>
  </si>
  <si>
    <t>(Col 1)</t>
  </si>
  <si>
    <t>(Col 2)</t>
  </si>
  <si>
    <t>(Col 3)</t>
  </si>
  <si>
    <t>(Col 4)</t>
  </si>
  <si>
    <t>(Col 5)</t>
  </si>
  <si>
    <t>(Col 6)</t>
  </si>
  <si>
    <t>(Col 7)</t>
  </si>
  <si>
    <t>(Col 8)</t>
  </si>
  <si>
    <t>(Col 9)</t>
  </si>
  <si>
    <t>(Col 10)</t>
  </si>
  <si>
    <t>(Col 11)</t>
  </si>
  <si>
    <t xml:space="preserve"> = (C2) thru (C7)</t>
  </si>
  <si>
    <t>9-ADIT-3  (C8)</t>
  </si>
  <si>
    <t>= (C8) + (C9)</t>
  </si>
  <si>
    <t>`</t>
  </si>
  <si>
    <t>Beginning Deficient Def. Taxes - FERC Acct 182.3</t>
  </si>
  <si>
    <t>Beginning (Excess) Def. Taxes - FERC Acct 254</t>
  </si>
  <si>
    <t>Other Deficient ADIT Adjustments to FERC Acct 182.3</t>
  </si>
  <si>
    <t>Other Excess ADIT Adjustments to FERC Acct 254</t>
  </si>
  <si>
    <t>EDIT Amortization to FERC Acct 410.1</t>
  </si>
  <si>
    <t>EDIT Amortization to FERC Acct 411.1</t>
  </si>
  <si>
    <t>Net (Excess) Deficient Def. Taxes at Current Tax Rate</t>
  </si>
  <si>
    <t>Adjustment for New Tax Rate to FERC Acct 254/182.3</t>
  </si>
  <si>
    <t>Ending Deficient Def. Taxes - FERC Acct 182.3</t>
  </si>
  <si>
    <t>Ending (Excess) Def. Taxes - FERC Acct 254</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</si>
  <si>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</si>
  <si>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</si>
  <si>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</si>
  <si>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</si>
  <si>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</si>
  <si>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</si>
  <si>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</si>
  <si>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</si>
  <si>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</si>
  <si>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</si>
  <si>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</si>
  <si>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</si>
  <si>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</si>
  <si>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</si>
  <si>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</si>
  <si>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</si>
  <si>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</si>
  <si>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</si>
  <si>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</si>
  <si>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</si>
  <si>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</si>
  <si>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</si>
  <si>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</si>
  <si>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</si>
  <si>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</si>
  <si>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</si>
  <si>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</si>
  <si>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</si>
  <si>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</si>
  <si>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</si>
  <si>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</si>
  <si>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</si>
  <si>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</si>
  <si>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</si>
  <si>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3) Amortization subject to pending SCE private letter ruling request and/or IRS guidance developed from IRS Notice 2019-33.</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</si>
  <si>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</si>
  <si>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</si>
  <si>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</si>
  <si>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</si>
  <si>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New Rate:</t>
  </si>
  <si>
    <t>New Tax Rate Adjustment Calculation - Note 5</t>
  </si>
  <si>
    <t>(C3)xNew Rate</t>
  </si>
  <si>
    <t>= (C4) - (C5)</t>
  </si>
  <si>
    <t>9-ADIT-2  (C8)</t>
  </si>
  <si>
    <t>= (C6) - (C7)</t>
  </si>
  <si>
    <t>FERC Acct</t>
  </si>
  <si>
    <t>Accumulated Book-to-Tax Adjustments</t>
  </si>
  <si>
    <t>Accumulated DIT &amp; EDIT Balances</t>
  </si>
  <si>
    <t>Accumulated DIT Balance at New Tax Rate</t>
  </si>
  <si>
    <t>(Excess) Deficient Def. Taxes at New Tax Rate</t>
  </si>
  <si>
    <t>NET (Excess) Deficient Def. Taxes at Prior Tax Rate</t>
  </si>
  <si>
    <t>Adjustment for New Tax Rate</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</si>
  <si>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</si>
  <si>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</si>
  <si>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</si>
  <si>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</si>
  <si>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</si>
  <si>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</si>
  <si>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</si>
  <si>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Protected - Property Related </t>
  </si>
  <si>
    <t>(Excess)/Deficient Deferred Income Taxes - FERC Order 864 Worksheet</t>
  </si>
  <si>
    <t>Accumulated Deferred Income Taxes and Net (Excess)/Deficient Deferred Taxes</t>
  </si>
  <si>
    <t>1) Summary of Accumulated Deferred Income Taxes and Net (Excess)/Deficient Deferred Taxes</t>
  </si>
  <si>
    <t>a) End of Year Accumulated Deferred Income Taxes and Net (Excess)/Deficient Deferred Taxes</t>
  </si>
  <si>
    <t>c) Average of Beginning and End of Year Accumulated Deferred Income Taxes and Net (Excess)/Deficient Deferred Taxes</t>
  </si>
  <si>
    <t>b) Beginning of Year Accumulated Deferred Income Taxes and Net (Excess)/Deficient Deferred Taxes</t>
  </si>
  <si>
    <t>and Net (Excess)/Deficient Deferred Taxes</t>
  </si>
  <si>
    <t>BOY/EOY Average Balance:</t>
  </si>
  <si>
    <t>Net (Excess)/Deficient Deferred Tax Liability/Asset</t>
  </si>
  <si>
    <t>1) The monthly deferred tax amounts are equal to the ending Accumulated Deferred Income Taxes and Net (Excess)/Deficient Deferred Taxes</t>
  </si>
  <si>
    <t>balance minus the beginning Accumulated Deferred Income Taxes and Net (Excess)/Deficient Deferred Taxes balance, divided by 12 months.</t>
  </si>
  <si>
    <t>Amortization of Net (Excess)/Deficient Deferred Tax Liability Asset</t>
  </si>
  <si>
    <t>Accum Net ADIT (Liab)/Asset and Net (Excess)/Deficient ADIT Amounts</t>
  </si>
  <si>
    <t>Any other Base Transmission Revenue or refunds is included in "Other".</t>
  </si>
  <si>
    <t>10bb</t>
  </si>
  <si>
    <t>10cc</t>
  </si>
  <si>
    <t>Joint Pole - Tarriffed - PA Inspect</t>
  </si>
  <si>
    <t>Joint Pole - Non-Tarriff PA Inspect</t>
  </si>
  <si>
    <t>Gas Sales - ERRA</t>
  </si>
  <si>
    <t>Miscellaneous Electric Revenue - ERRA</t>
  </si>
  <si>
    <t>12fff</t>
  </si>
  <si>
    <t>12ggg</t>
  </si>
  <si>
    <t>15u</t>
  </si>
  <si>
    <t>RSR - Non-PTO's - RSBA</t>
  </si>
  <si>
    <t>15v</t>
  </si>
  <si>
    <t>Transmission Sales - ERRA</t>
  </si>
  <si>
    <t>4171022</t>
  </si>
  <si>
    <t>24p</t>
  </si>
  <si>
    <t>ECS - Interstate End User Tax Exempt</t>
  </si>
  <si>
    <t>24q</t>
  </si>
  <si>
    <t>ECS- EU USAC E-Rate</t>
  </si>
  <si>
    <t>3) True Up Adjustment</t>
  </si>
  <si>
    <t>4) Final True Up Adjustment</t>
  </si>
  <si>
    <t>7) Calculation of change in Non-Incentive ISO Plant:</t>
  </si>
  <si>
    <t>8) Other ISO Transmission Activity without Incentive Plant Activity (See Note 12):</t>
  </si>
  <si>
    <t>ELM</t>
  </si>
  <si>
    <t>Series Caps</t>
  </si>
  <si>
    <t>Devers to Colorado River</t>
  </si>
  <si>
    <t>South of Kramer</t>
  </si>
  <si>
    <t>West of Devers</t>
  </si>
  <si>
    <t>Whirlwind Substation Expansion</t>
  </si>
  <si>
    <t>Colorado River Substation Expansion</t>
  </si>
  <si>
    <t>add additional projects below this line (See Instruction 3)</t>
  </si>
  <si>
    <t>2) Enter forecast project specific values on lines 55-79, 81-105, 107-131, 133-157, 159-183, 185-209, 211-235, 237-261, 263-287, 289-313, 315-339 ...</t>
  </si>
  <si>
    <t>l)</t>
  </si>
  <si>
    <t>M) Future Incentive Projects:</t>
  </si>
  <si>
    <t xml:space="preserve">3) The net excess/deficiency is derived from the net difference arising in the asset Account 182.3 offset by the balance in liability Account 254.          </t>
  </si>
  <si>
    <t>Series E 6.250%</t>
  </si>
  <si>
    <t>Series G 5.1%</t>
  </si>
  <si>
    <t>Series H 5.75%</t>
  </si>
  <si>
    <t>Series J 5.375%</t>
  </si>
  <si>
    <t>Series K 5.45%</t>
  </si>
  <si>
    <t>Series L 5.00%</t>
  </si>
  <si>
    <t>Updated 4/11/18 from 120 mos to 360 mos because this is a fixed security.</t>
  </si>
  <si>
    <t>12.000% Preferred, redemption</t>
  </si>
  <si>
    <t>Series B</t>
  </si>
  <si>
    <t>Redeemed by Series G</t>
  </si>
  <si>
    <t>Series C</t>
  </si>
  <si>
    <t>Series D</t>
  </si>
  <si>
    <t>Redeemed by Series K</t>
  </si>
  <si>
    <t>Series F</t>
  </si>
  <si>
    <t>WP Schedule 10</t>
  </si>
  <si>
    <t>WP Schedules 10 &amp; 16</t>
  </si>
  <si>
    <t>24r</t>
  </si>
  <si>
    <t>ECS - Pass Pole Attachments</t>
  </si>
  <si>
    <t>24s</t>
  </si>
  <si>
    <t>24t</t>
  </si>
  <si>
    <t>24u</t>
  </si>
  <si>
    <t>24v</t>
  </si>
  <si>
    <t>ECS - DF EU Interstate</t>
  </si>
  <si>
    <t>ECS - DF EU Intrastate</t>
  </si>
  <si>
    <t>ECS - DF EU Interstate USAC E-Rate</t>
  </si>
  <si>
    <t>ECS - DF EU Interstate CTF</t>
  </si>
  <si>
    <t>24w</t>
  </si>
  <si>
    <t>ECS-Fin Chrg</t>
  </si>
  <si>
    <t>24x</t>
  </si>
  <si>
    <t>24y</t>
  </si>
  <si>
    <t>24z</t>
  </si>
  <si>
    <t>ECS - LIT EU Interstate CTF</t>
  </si>
  <si>
    <t>ECS - LIT EU Interstate USAC E-Rate</t>
  </si>
  <si>
    <t>4r</t>
  </si>
  <si>
    <t>4s</t>
  </si>
  <si>
    <t>4t</t>
  </si>
  <si>
    <t>4184515</t>
  </si>
  <si>
    <t>4184533</t>
  </si>
  <si>
    <t>4186927</t>
  </si>
  <si>
    <t>Rule 21 Fast Track Application Fee</t>
  </si>
  <si>
    <t>AR Service Guarantee</t>
  </si>
  <si>
    <t>12hhh</t>
  </si>
  <si>
    <t>4186119</t>
  </si>
  <si>
    <t>PUCRF Rate Adjustment - Electric</t>
  </si>
  <si>
    <t>12iii</t>
  </si>
  <si>
    <t>4186188</t>
  </si>
  <si>
    <t>Utility Earnings - Mono Power Co</t>
  </si>
  <si>
    <t>4171032</t>
  </si>
  <si>
    <t>15w</t>
  </si>
  <si>
    <t>Transmission Sales - PABA</t>
  </si>
  <si>
    <t>CPUC D. 19-05-020</t>
  </si>
  <si>
    <t xml:space="preserve">FF1 278.x and 232.x, see reference to right and Note 4 </t>
  </si>
  <si>
    <t>Settlement of TO2019A (ER19-1553)</t>
  </si>
  <si>
    <t>169 FERC ¶ 61,177</t>
  </si>
  <si>
    <t>TO2020, Docket No. ER19-1553</t>
  </si>
  <si>
    <t>WP Schedule 20 A&amp;G</t>
  </si>
  <si>
    <t>ER20-1382</t>
  </si>
  <si>
    <t>WP Schedule 25 Wholesale Difference</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</si>
  <si>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</si>
  <si>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</si>
  <si>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</si>
  <si>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</si>
  <si>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</si>
  <si>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</si>
  <si>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4) Amount in Column 2 from FF1 112.3d, amount in Column 14 from FF1 112.3c, amounts in columns 3-13 from SCE internal records. </t>
  </si>
  <si>
    <t>5) Amounts in columns 2-14 are from SCE internal records.</t>
  </si>
  <si>
    <t>6) Amounts in columns 2-14 are from SCE internal records.</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</si>
  <si>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</si>
  <si>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</si>
  <si>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</si>
  <si>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2) Update Notes 5 and 6 as necessary.</t>
  </si>
  <si>
    <t>1) Total annual amortization associated with events listed in Note 6 on 5-ROR-2.</t>
  </si>
  <si>
    <t>2) Total annual amortization associated with preferred equity issues listed in Note 5 on 5-ROR-2.</t>
  </si>
  <si>
    <t>ER19-1553</t>
  </si>
  <si>
    <t>Wildfire Reserve - Pre-2019</t>
  </si>
  <si>
    <t>Wildfire Reserve - Post 2018</t>
  </si>
  <si>
    <t>Follows tax treatment</t>
  </si>
  <si>
    <t>WP Schedule 3 One Time Adjustment - Prior Period</t>
  </si>
  <si>
    <t>WP Schedule 3 One Time Adjustment Transition</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</si>
  <si>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</si>
  <si>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</si>
  <si>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</si>
  <si>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</si>
  <si>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</si>
  <si>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</si>
  <si>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</si>
  <si>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</si>
  <si>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</si>
  <si>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</si>
  <si>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</si>
  <si>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</si>
  <si>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</si>
  <si>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</si>
  <si>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</si>
  <si>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</si>
  <si>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</si>
  <si>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</si>
  <si>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</si>
  <si>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</si>
  <si>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</si>
  <si>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</si>
  <si>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</si>
  <si>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</si>
  <si>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</si>
  <si>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</si>
  <si>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</si>
  <si>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</si>
  <si>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Recorded GWh (Average)</t>
  </si>
  <si>
    <t>107a</t>
  </si>
  <si>
    <t>WP Schedule 14 Incentive Plant</t>
  </si>
  <si>
    <t>WP Schedule 6 Prior Year Corp OH Exp</t>
  </si>
  <si>
    <t>Negative of 9-ADIT-2, Line 500, Column 7</t>
  </si>
  <si>
    <t>Does not include any project-specific ROE adders.  See Schedule 15 at Lines 31-39.</t>
  </si>
  <si>
    <t>(Line 77).  Applicable pursuant to settlement under ER19-1553.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</si>
</sst>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sz val="22"/>
      <name val="Arial"/>
      <family val="2"/>
    </font>
    <font>
      <b/>
      <u/>
      <sz val="10"/>
      <color rgb="FFFF0000"/>
      <name val="Arial"/>
      <family val="2"/>
    </font>
    <font>
      <u/>
      <sz val="10"/>
      <color rgb="FFFF0000"/>
      <name val="Calibri"/>
      <family val="2"/>
      <scheme val="minor"/>
    </font>
    <font>
      <u/>
      <sz val="10"/>
      <color theme="1"/>
      <name val="Calibri"/>
      <family val="2"/>
      <scheme val="minor"/>
    </font>
    <font>
      <b/>
      <sz val="10"/>
      <name val="Calibri"/>
      <family val="2"/>
      <scheme val="minor"/>
    </font>
    <font>
      <b/>
      <u/>
      <sz val="10"/>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9">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53897">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1" fillId="0" borderId="0"/>
    <xf numFmtId="9" fontId="21" fillId="0" borderId="0" applyFont="0" applyFill="0" applyBorder="0" applyAlignment="0" applyProtection="0"/>
    <xf numFmtId="9" fontId="44" fillId="0" borderId="0" applyFont="0" applyFill="0" applyBorder="0" applyAlignment="0" applyProtection="0"/>
    <xf numFmtId="9" fontId="24"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3"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4" fillId="0" borderId="0"/>
    <xf numFmtId="0" fontId="44" fillId="0" borderId="0"/>
    <xf numFmtId="0" fontId="44" fillId="0" borderId="0"/>
    <xf numFmtId="0" fontId="44" fillId="0" borderId="0"/>
    <xf numFmtId="0" fontId="44" fillId="0" borderId="0"/>
    <xf numFmtId="43" fontId="54"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2" fillId="0" borderId="0"/>
    <xf numFmtId="0" fontId="73"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8" fillId="0" borderId="0" applyFont="0" applyFill="0" applyBorder="0" applyAlignment="0" applyProtection="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0" fontId="89" fillId="0" borderId="0"/>
    <xf numFmtId="183" fontId="89" fillId="0" borderId="0"/>
    <xf numFmtId="184" fontId="89" fillId="0" borderId="0"/>
    <xf numFmtId="185" fontId="89" fillId="0" borderId="0"/>
    <xf numFmtId="183" fontId="89" fillId="0" borderId="0"/>
    <xf numFmtId="184" fontId="89" fillId="0" borderId="0"/>
    <xf numFmtId="184" fontId="89" fillId="0" borderId="0"/>
    <xf numFmtId="184" fontId="89" fillId="0" borderId="0"/>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93" fillId="0" borderId="29" applyBorder="0">
      <alignment horizontal="left"/>
    </xf>
    <xf numFmtId="184" fontId="93" fillId="0" borderId="29"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8" fillId="70" borderId="0" applyNumberFormat="0" applyBorder="0" applyAlignment="0" applyProtection="0"/>
    <xf numFmtId="187" fontId="41" fillId="27" borderId="0" applyNumberFormat="0" applyBorder="0" applyAlignment="0" applyProtection="0"/>
    <xf numFmtId="184" fontId="41" fillId="27"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8" fillId="2"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8" fillId="71" borderId="0" applyNumberFormat="0" applyBorder="0" applyAlignment="0" applyProtection="0"/>
    <xf numFmtId="187" fontId="41" fillId="26" borderId="0" applyNumberFormat="0" applyBorder="0" applyAlignment="0" applyProtection="0"/>
    <xf numFmtId="184" fontId="41" fillId="26"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8" fillId="72" borderId="0" applyNumberFormat="0" applyBorder="0" applyAlignment="0" applyProtection="0"/>
    <xf numFmtId="187" fontId="41" fillId="32" borderId="0" applyNumberFormat="0" applyBorder="0" applyAlignment="0" applyProtection="0"/>
    <xf numFmtId="184" fontId="41" fillId="3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8" fillId="73" borderId="0" applyNumberFormat="0" applyBorder="0" applyAlignment="0" applyProtection="0"/>
    <xf numFmtId="187" fontId="41" fillId="3" borderId="0" applyNumberFormat="0" applyBorder="0" applyAlignment="0" applyProtection="0"/>
    <xf numFmtId="184" fontId="41" fillId="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8" fillId="74" borderId="0" applyNumberFormat="0" applyBorder="0" applyAlignment="0" applyProtection="0"/>
    <xf numFmtId="187" fontId="41" fillId="2" borderId="0" applyNumberFormat="0" applyBorder="0" applyAlignment="0" applyProtection="0"/>
    <xf numFmtId="184" fontId="41" fillId="2"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8" fillId="4"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8" fillId="5" borderId="0" applyNumberFormat="0" applyBorder="0" applyAlignment="0" applyProtection="0"/>
    <xf numFmtId="187" fontId="41" fillId="15" borderId="0" applyNumberFormat="0" applyBorder="0" applyAlignment="0" applyProtection="0"/>
    <xf numFmtId="184" fontId="41" fillId="1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8" fillId="72" borderId="0" applyNumberFormat="0" applyBorder="0" applyAlignment="0" applyProtection="0"/>
    <xf numFmtId="187" fontId="41" fillId="75" borderId="0" applyNumberFormat="0" applyBorder="0" applyAlignment="0" applyProtection="0"/>
    <xf numFmtId="184" fontId="41" fillId="75"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8" fillId="6" borderId="0" applyNumberFormat="0" applyBorder="0" applyAlignment="0" applyProtection="0"/>
    <xf numFmtId="187" fontId="41" fillId="74" borderId="0" applyNumberFormat="0" applyBorder="0" applyAlignment="0" applyProtection="0"/>
    <xf numFmtId="184" fontId="41" fillId="74"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0"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7" fontId="94" fillId="31"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184" fontId="94" fillId="31" borderId="0" applyNumberFormat="0" applyBorder="0" applyAlignment="0" applyProtection="0"/>
    <xf numFmtId="0" fontId="39" fillId="76"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9" fillId="76"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5" fontId="88" fillId="48" borderId="0" applyNumberFormat="0" applyBorder="0" applyAlignment="0" applyProtection="0"/>
    <xf numFmtId="183"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184" fontId="88" fillId="48" borderId="0" applyNumberFormat="0" applyBorder="0" applyAlignment="0" applyProtection="0"/>
    <xf numFmtId="0"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48" borderId="0" applyNumberFormat="0" applyBorder="0" applyAlignment="0" applyProtection="0"/>
    <xf numFmtId="182" fontId="88" fillId="48"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0"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0"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7" fontId="94"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94" fillId="4" borderId="0" applyNumberFormat="0" applyBorder="0" applyAlignment="0" applyProtection="0"/>
    <xf numFmtId="0" fontId="39"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9" fillId="4"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5" fontId="88" fillId="52" borderId="0" applyNumberFormat="0" applyBorder="0" applyAlignment="0" applyProtection="0"/>
    <xf numFmtId="183"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184" fontId="88" fillId="52"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94" fillId="4" borderId="0" applyNumberFormat="0" applyBorder="0" applyAlignment="0" applyProtection="0"/>
    <xf numFmtId="183" fontId="94" fillId="4" borderId="0" applyNumberFormat="0" applyBorder="0" applyAlignment="0" applyProtection="0"/>
    <xf numFmtId="184" fontId="94" fillId="4" borderId="0" applyNumberFormat="0" applyBorder="0" applyAlignment="0" applyProtection="0"/>
    <xf numFmtId="184" fontId="94" fillId="4" borderId="0" applyNumberFormat="0" applyBorder="0" applyAlignment="0" applyProtection="0"/>
    <xf numFmtId="184" fontId="88" fillId="52" borderId="0" applyNumberFormat="0" applyBorder="0" applyAlignment="0" applyProtection="0"/>
    <xf numFmtId="182" fontId="88" fillId="52"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0"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0"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7" fontId="94" fillId="15"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184" fontId="94" fillId="15" borderId="0" applyNumberFormat="0" applyBorder="0" applyAlignment="0" applyProtection="0"/>
    <xf numFmtId="0" fontId="39" fillId="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9" fillId="5"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5" fontId="88" fillId="56" borderId="0" applyNumberFormat="0" applyBorder="0" applyAlignment="0" applyProtection="0"/>
    <xf numFmtId="183"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184" fontId="88" fillId="56" borderId="0" applyNumberFormat="0" applyBorder="0" applyAlignment="0" applyProtection="0"/>
    <xf numFmtId="0"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5" fontId="94" fillId="15" borderId="0" applyNumberFormat="0" applyBorder="0" applyAlignment="0" applyProtection="0"/>
    <xf numFmtId="183" fontId="94" fillId="15" borderId="0" applyNumberFormat="0" applyBorder="0" applyAlignment="0" applyProtection="0"/>
    <xf numFmtId="184" fontId="94" fillId="15" borderId="0" applyNumberFormat="0" applyBorder="0" applyAlignment="0" applyProtection="0"/>
    <xf numFmtId="184" fontId="94" fillId="15" borderId="0" applyNumberFormat="0" applyBorder="0" applyAlignment="0" applyProtection="0"/>
    <xf numFmtId="184" fontId="88" fillId="56" borderId="0" applyNumberFormat="0" applyBorder="0" applyAlignment="0" applyProtection="0"/>
    <xf numFmtId="182" fontId="88" fillId="56"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0"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0"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94" fillId="75"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94" fillId="75" borderId="0" applyNumberFormat="0" applyBorder="0" applyAlignment="0" applyProtection="0"/>
    <xf numFmtId="0" fontId="39" fillId="77"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9" fillId="77"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5" fontId="88" fillId="60" borderId="0" applyNumberFormat="0" applyBorder="0" applyAlignment="0" applyProtection="0"/>
    <xf numFmtId="183"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184" fontId="88" fillId="6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94" fillId="75" borderId="0" applyNumberFormat="0" applyBorder="0" applyAlignment="0" applyProtection="0"/>
    <xf numFmtId="183" fontId="94" fillId="75" borderId="0" applyNumberFormat="0" applyBorder="0" applyAlignment="0" applyProtection="0"/>
    <xf numFmtId="184" fontId="94" fillId="75" borderId="0" applyNumberFormat="0" applyBorder="0" applyAlignment="0" applyProtection="0"/>
    <xf numFmtId="184" fontId="94" fillId="75" borderId="0" applyNumberFormat="0" applyBorder="0" applyAlignment="0" applyProtection="0"/>
    <xf numFmtId="184" fontId="88" fillId="60" borderId="0" applyNumberFormat="0" applyBorder="0" applyAlignment="0" applyProtection="0"/>
    <xf numFmtId="182" fontId="88" fillId="60"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0"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0"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94" fillId="3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94" fillId="31" borderId="0" applyNumberFormat="0" applyBorder="0" applyAlignment="0" applyProtection="0"/>
    <xf numFmtId="0" fontId="39" fillId="78"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9" fillId="78"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5" fontId="88" fillId="64" borderId="0" applyNumberFormat="0" applyBorder="0" applyAlignment="0" applyProtection="0"/>
    <xf numFmtId="183"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184" fontId="88" fillId="64"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94" fillId="31" borderId="0" applyNumberFormat="0" applyBorder="0" applyAlignment="0" applyProtection="0"/>
    <xf numFmtId="183" fontId="94" fillId="31" borderId="0" applyNumberFormat="0" applyBorder="0" applyAlignment="0" applyProtection="0"/>
    <xf numFmtId="184" fontId="94" fillId="31" borderId="0" applyNumberFormat="0" applyBorder="0" applyAlignment="0" applyProtection="0"/>
    <xf numFmtId="184" fontId="94" fillId="31" borderId="0" applyNumberFormat="0" applyBorder="0" applyAlignment="0" applyProtection="0"/>
    <xf numFmtId="184" fontId="88" fillId="64" borderId="0" applyNumberFormat="0" applyBorder="0" applyAlignment="0" applyProtection="0"/>
    <xf numFmtId="182" fontId="88" fillId="6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0"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0"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7" fontId="94" fillId="7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184" fontId="94" fillId="74" borderId="0" applyNumberFormat="0" applyBorder="0" applyAlignment="0" applyProtection="0"/>
    <xf numFmtId="0" fontId="39" fillId="7"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9" fillId="7"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5" fontId="88" fillId="68" borderId="0" applyNumberFormat="0" applyBorder="0" applyAlignment="0" applyProtection="0"/>
    <xf numFmtId="183"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184" fontId="88" fillId="68" borderId="0" applyNumberFormat="0" applyBorder="0" applyAlignment="0" applyProtection="0"/>
    <xf numFmtId="0"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5" fontId="94" fillId="74" borderId="0" applyNumberFormat="0" applyBorder="0" applyAlignment="0" applyProtection="0"/>
    <xf numFmtId="183" fontId="94" fillId="74" borderId="0" applyNumberFormat="0" applyBorder="0" applyAlignment="0" applyProtection="0"/>
    <xf numFmtId="184" fontId="94" fillId="74" borderId="0" applyNumberFormat="0" applyBorder="0" applyAlignment="0" applyProtection="0"/>
    <xf numFmtId="184" fontId="94" fillId="74" borderId="0" applyNumberFormat="0" applyBorder="0" applyAlignment="0" applyProtection="0"/>
    <xf numFmtId="184" fontId="88" fillId="68" borderId="0" applyNumberFormat="0" applyBorder="0" applyAlignment="0" applyProtection="0"/>
    <xf numFmtId="182" fontId="88" fillId="68" borderId="0" applyNumberFormat="0" applyBorder="0" applyAlignment="0" applyProtection="0"/>
    <xf numFmtId="184" fontId="38" fillId="8" borderId="0" applyNumberFormat="0" applyBorder="0" applyAlignment="0" applyProtection="0"/>
    <xf numFmtId="182" fontId="38" fillId="79"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79" borderId="0" applyNumberFormat="0" applyBorder="0" applyAlignment="0" applyProtection="0"/>
    <xf numFmtId="183" fontId="38" fillId="79" borderId="0" applyNumberFormat="0" applyBorder="0" applyAlignment="0" applyProtection="0"/>
    <xf numFmtId="183"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9" borderId="0" applyNumberFormat="0" applyBorder="0" applyAlignment="0" applyProtection="0"/>
    <xf numFmtId="182" fontId="38" fillId="1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2" fontId="39" fillId="80" borderId="0" applyNumberFormat="0" applyBorder="0" applyAlignment="0" applyProtection="0"/>
    <xf numFmtId="0"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7"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4"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182" fontId="88" fillId="45"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5" fontId="88" fillId="45" borderId="0" applyNumberFormat="0" applyBorder="0" applyAlignment="0" applyProtection="0"/>
    <xf numFmtId="183"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184" fontId="88"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7"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8" fillId="12" borderId="0" applyNumberFormat="0" applyBorder="0" applyAlignment="0" applyProtection="0"/>
    <xf numFmtId="182" fontId="38" fillId="83" borderId="0" applyNumberFormat="0" applyBorder="0" applyAlignment="0" applyProtection="0"/>
    <xf numFmtId="0"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3" borderId="0" applyNumberFormat="0" applyBorder="0" applyAlignment="0" applyProtection="0"/>
    <xf numFmtId="182" fontId="38" fillId="17"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1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3" borderId="0" applyNumberFormat="0" applyBorder="0" applyAlignment="0" applyProtection="0"/>
    <xf numFmtId="183" fontId="39" fillId="13" borderId="0" applyNumberFormat="0" applyBorder="0" applyAlignment="0" applyProtection="0"/>
    <xf numFmtId="184" fontId="39" fillId="13" borderId="0" applyNumberFormat="0" applyBorder="0" applyAlignment="0" applyProtection="0"/>
    <xf numFmtId="184" fontId="39" fillId="13"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4"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182" fontId="88" fillId="49"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5" fontId="88" fillId="49" borderId="0" applyNumberFormat="0" applyBorder="0" applyAlignment="0" applyProtection="0"/>
    <xf numFmtId="183"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184" fontId="88"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7"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8" fillId="16" borderId="0" applyNumberFormat="0" applyBorder="0" applyAlignment="0" applyProtection="0"/>
    <xf numFmtId="182" fontId="38" fillId="85"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5" borderId="0" applyNumberFormat="0" applyBorder="0" applyAlignment="0" applyProtection="0"/>
    <xf numFmtId="183" fontId="38" fillId="85" borderId="0" applyNumberFormat="0" applyBorder="0" applyAlignment="0" applyProtection="0"/>
    <xf numFmtId="183"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7" borderId="0" applyNumberFormat="0" applyBorder="0" applyAlignment="0" applyProtection="0"/>
    <xf numFmtId="182" fontId="38" fillId="86"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6"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2" fontId="39" fillId="8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87" borderId="0" applyNumberFormat="0" applyBorder="0" applyAlignment="0" applyProtection="0"/>
    <xf numFmtId="183" fontId="39" fillId="87" borderId="0" applyNumberFormat="0" applyBorder="0" applyAlignment="0" applyProtection="0"/>
    <xf numFmtId="184" fontId="39" fillId="87" borderId="0" applyNumberFormat="0" applyBorder="0" applyAlignment="0" applyProtection="0"/>
    <xf numFmtId="184" fontId="39" fillId="8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88" fillId="53" borderId="0" applyNumberFormat="0" applyBorder="0" applyAlignment="0" applyProtection="0"/>
    <xf numFmtId="184" fontId="88" fillId="53"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4"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182" fontId="88" fillId="53"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5" fontId="88" fillId="53" borderId="0" applyNumberFormat="0" applyBorder="0" applyAlignment="0" applyProtection="0"/>
    <xf numFmtId="183"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184" fontId="88"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8" fillId="17" borderId="0" applyNumberFormat="0" applyBorder="0" applyAlignment="0" applyProtection="0"/>
    <xf numFmtId="182" fontId="38" fillId="8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2" fontId="38" fillId="14"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2" fontId="39" fillId="1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7" borderId="0" applyNumberFormat="0" applyBorder="0" applyAlignment="0" applyProtection="0"/>
    <xf numFmtId="183" fontId="39" fillId="17" borderId="0" applyNumberFormat="0" applyBorder="0" applyAlignment="0" applyProtection="0"/>
    <xf numFmtId="184" fontId="39" fillId="17" borderId="0" applyNumberFormat="0" applyBorder="0" applyAlignment="0" applyProtection="0"/>
    <xf numFmtId="184" fontId="39" fillId="1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88" fillId="57" borderId="0" applyNumberFormat="0" applyBorder="0" applyAlignment="0" applyProtection="0"/>
    <xf numFmtId="184" fontId="88" fillId="57"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4"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182" fontId="88" fillId="57"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5" fontId="88" fillId="57" borderId="0" applyNumberFormat="0" applyBorder="0" applyAlignment="0" applyProtection="0"/>
    <xf numFmtId="183"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184" fontId="88"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8" fillId="8" borderId="0" applyNumberFormat="0" applyBorder="0" applyAlignment="0" applyProtection="0"/>
    <xf numFmtId="182" fontId="38" fillId="16"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2" fontId="38" fillId="9" borderId="0" applyNumberFormat="0" applyBorder="0" applyAlignment="0" applyProtection="0"/>
    <xf numFmtId="182" fontId="39" fillId="80" borderId="0" applyNumberFormat="0" applyBorder="0" applyAlignment="0" applyProtection="0"/>
    <xf numFmtId="0"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7"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88" fillId="61" borderId="0" applyNumberFormat="0" applyBorder="0" applyAlignment="0" applyProtection="0"/>
    <xf numFmtId="184" fontId="88" fillId="6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4"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182" fontId="88" fillId="6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7" fontId="39" fillId="91" borderId="0" applyNumberFormat="0" applyBorder="0" applyAlignment="0" applyProtection="0"/>
    <xf numFmtId="184" fontId="39" fillId="9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5" fontId="88" fillId="61" borderId="0" applyNumberFormat="0" applyBorder="0" applyAlignment="0" applyProtection="0"/>
    <xf numFmtId="183"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184" fontId="88"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2" fontId="38" fillId="20" borderId="0" applyNumberFormat="0" applyBorder="0" applyAlignment="0" applyProtection="0"/>
    <xf numFmtId="184" fontId="38" fillId="13" borderId="0" applyNumberFormat="0" applyBorder="0" applyAlignment="0" applyProtection="0"/>
    <xf numFmtId="182" fontId="38" fillId="21"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92" borderId="0" applyNumberFormat="0" applyBorder="0" applyAlignment="0" applyProtection="0"/>
    <xf numFmtId="0"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92" borderId="0" applyNumberFormat="0" applyBorder="0" applyAlignment="0" applyProtection="0"/>
    <xf numFmtId="183" fontId="39" fillId="92" borderId="0" applyNumberFormat="0" applyBorder="0" applyAlignment="0" applyProtection="0"/>
    <xf numFmtId="184" fontId="39" fillId="92" borderId="0" applyNumberFormat="0" applyBorder="0" applyAlignment="0" applyProtection="0"/>
    <xf numFmtId="184" fontId="39" fillId="92"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7"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88" fillId="65" borderId="0" applyNumberFormat="0" applyBorder="0" applyAlignment="0" applyProtection="0"/>
    <xf numFmtId="184" fontId="88" fillId="65"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4"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182" fontId="88" fillId="65"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5" fontId="88" fillId="65" borderId="0" applyNumberFormat="0" applyBorder="0" applyAlignment="0" applyProtection="0"/>
    <xf numFmtId="183"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184" fontId="88"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30">
      <alignment horizontal="center" vertical="center"/>
    </xf>
    <xf numFmtId="189" fontId="89" fillId="95" borderId="30">
      <alignment horizontal="center" vertical="center"/>
    </xf>
    <xf numFmtId="188" fontId="22" fillId="95" borderId="30">
      <alignment horizontal="center" vertical="center"/>
    </xf>
    <xf numFmtId="0" fontId="31" fillId="0" borderId="0">
      <alignment horizontal="center" wrapText="1"/>
      <protection locked="0"/>
    </xf>
    <xf numFmtId="0"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7"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0" fontId="95" fillId="2"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2" fontId="96" fillId="20" borderId="0" applyNumberFormat="0" applyBorder="0" applyAlignment="0" applyProtection="0"/>
    <xf numFmtId="0"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7" fontId="97" fillId="13" borderId="0" applyNumberFormat="0" applyBorder="0" applyAlignment="0" applyProtection="0"/>
    <xf numFmtId="184" fontId="97" fillId="13" borderId="0" applyNumberFormat="0" applyBorder="0" applyAlignment="0" applyProtection="0"/>
    <xf numFmtId="184" fontId="79" fillId="39"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96" fillId="20"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96" fillId="20" borderId="0" applyNumberFormat="0" applyBorder="0" applyAlignment="0" applyProtection="0"/>
    <xf numFmtId="184" fontId="96" fillId="20" borderId="0" applyNumberFormat="0" applyBorder="0" applyAlignment="0" applyProtection="0"/>
    <xf numFmtId="184" fontId="96" fillId="20"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7" fontId="97" fillId="13" borderId="0" applyNumberFormat="0" applyBorder="0" applyAlignment="0" applyProtection="0"/>
    <xf numFmtId="0" fontId="95" fillId="2" borderId="0" applyNumberFormat="0" applyBorder="0" applyAlignment="0" applyProtection="0"/>
    <xf numFmtId="184" fontId="95" fillId="2" borderId="0" applyNumberFormat="0" applyBorder="0" applyAlignment="0" applyProtection="0"/>
    <xf numFmtId="184" fontId="97" fillId="13" borderId="0" applyNumberFormat="0" applyBorder="0" applyAlignment="0" applyProtection="0"/>
    <xf numFmtId="0"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5" fontId="79" fillId="39" borderId="0" applyNumberFormat="0" applyBorder="0" applyAlignment="0" applyProtection="0"/>
    <xf numFmtId="183"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0" fontId="95" fillId="2" borderId="0" applyNumberFormat="0" applyBorder="0" applyAlignment="0" applyProtection="0"/>
    <xf numFmtId="0" fontId="97" fillId="13" borderId="0" applyNumberFormat="0" applyBorder="0" applyAlignment="0" applyProtection="0"/>
    <xf numFmtId="0"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5" fontId="95" fillId="2" borderId="0" applyNumberFormat="0" applyBorder="0" applyAlignment="0" applyProtection="0"/>
    <xf numFmtId="183"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4" fontId="95" fillId="2" borderId="0" applyNumberFormat="0" applyBorder="0" applyAlignment="0" applyProtection="0"/>
    <xf numFmtId="185" fontId="97" fillId="13" borderId="0" applyNumberFormat="0" applyBorder="0" applyAlignment="0" applyProtection="0"/>
    <xf numFmtId="183" fontId="97" fillId="13" borderId="0" applyNumberFormat="0" applyBorder="0" applyAlignment="0" applyProtection="0"/>
    <xf numFmtId="184" fontId="97" fillId="13" borderId="0" applyNumberFormat="0" applyBorder="0" applyAlignment="0" applyProtection="0"/>
    <xf numFmtId="184" fontId="97" fillId="13" borderId="0" applyNumberFormat="0" applyBorder="0" applyAlignment="0" applyProtection="0"/>
    <xf numFmtId="0" fontId="79" fillId="39" borderId="0" applyNumberFormat="0" applyBorder="0" applyAlignment="0" applyProtection="0"/>
    <xf numFmtId="184" fontId="79" fillId="39" borderId="0" applyNumberFormat="0" applyBorder="0" applyAlignment="0" applyProtection="0"/>
    <xf numFmtId="184" fontId="79" fillId="39" borderId="0" applyNumberFormat="0" applyBorder="0" applyAlignment="0" applyProtection="0"/>
    <xf numFmtId="182" fontId="79" fillId="39" borderId="0" applyNumberFormat="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5"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83" fontId="98" fillId="0" borderId="0" applyNumberFormat="0" applyFill="0" applyBorder="0" applyAlignment="0" applyProtection="0"/>
    <xf numFmtId="184" fontId="98" fillId="0" borderId="0" applyNumberFormat="0" applyFill="0" applyBorder="0" applyAlignment="0" applyProtection="0"/>
    <xf numFmtId="187" fontId="98" fillId="0" borderId="0" applyNumberFormat="0" applyFill="0" applyBorder="0" applyAlignment="0" applyProtection="0"/>
    <xf numFmtId="184" fontId="98" fillId="0" borderId="0" applyNumberFormat="0" applyFill="0" applyBorder="0" applyAlignment="0" applyProtection="0"/>
    <xf numFmtId="184" fontId="98" fillId="0" borderId="0" applyNumberFormat="0" applyFill="0" applyBorder="0" applyAlignment="0" applyProtection="0"/>
    <xf numFmtId="171" fontId="99" fillId="0" borderId="3" applyFont="0"/>
    <xf numFmtId="1" fontId="99" fillId="0" borderId="3"/>
    <xf numFmtId="9" fontId="100" fillId="0" borderId="29"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3" fillId="42" borderId="23" applyNumberFormat="0" applyAlignment="0" applyProtection="0"/>
    <xf numFmtId="0" fontId="101" fillId="75" borderId="31" applyNumberFormat="0" applyAlignment="0" applyProtection="0"/>
    <xf numFmtId="0"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0" fontId="102" fillId="96" borderId="32" applyNumberFormat="0" applyAlignment="0" applyProtection="0"/>
    <xf numFmtId="184" fontId="102" fillId="96" borderId="32" applyNumberFormat="0" applyAlignment="0" applyProtection="0"/>
    <xf numFmtId="184" fontId="101" fillId="75" borderId="31" applyNumberFormat="0" applyAlignment="0" applyProtection="0"/>
    <xf numFmtId="182" fontId="102" fillId="96" borderId="32" applyNumberFormat="0" applyAlignment="0" applyProtection="0"/>
    <xf numFmtId="0"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2" fillId="96" borderId="32"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3"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0" fontId="102" fillId="96" borderId="32" applyNumberFormat="0" applyAlignment="0" applyProtection="0"/>
    <xf numFmtId="184" fontId="102" fillId="96" borderId="32" applyNumberFormat="0" applyAlignment="0" applyProtection="0"/>
    <xf numFmtId="184" fontId="102" fillId="96" borderId="32"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7" fontId="103" fillId="97" borderId="31" applyNumberFormat="0" applyAlignment="0" applyProtection="0"/>
    <xf numFmtId="0"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7"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101" fillId="75"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1" fillId="75" borderId="31" applyNumberFormat="0" applyAlignment="0" applyProtection="0"/>
    <xf numFmtId="183" fontId="83" fillId="42" borderId="23" applyNumberFormat="0" applyAlignment="0" applyProtection="0"/>
    <xf numFmtId="184" fontId="83" fillId="42" borderId="23" applyNumberFormat="0" applyAlignment="0" applyProtection="0"/>
    <xf numFmtId="185" fontId="83" fillId="42" borderId="23" applyNumberFormat="0" applyAlignment="0" applyProtection="0"/>
    <xf numFmtId="183"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184" fontId="83" fillId="42" borderId="23" applyNumberFormat="0" applyAlignment="0" applyProtection="0"/>
    <xf numFmtId="0"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3" fontId="101" fillId="75" borderId="31" applyNumberFormat="0" applyAlignment="0" applyProtection="0"/>
    <xf numFmtId="183"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0" fontId="101" fillId="75" borderId="31" applyNumberFormat="0" applyAlignment="0" applyProtection="0"/>
    <xf numFmtId="184" fontId="101" fillId="75" borderId="31" applyNumberFormat="0" applyAlignment="0" applyProtection="0"/>
    <xf numFmtId="184" fontId="101" fillId="75" borderId="31" applyNumberFormat="0" applyAlignment="0" applyProtection="0"/>
    <xf numFmtId="185" fontId="103" fillId="97" borderId="31" applyNumberFormat="0" applyAlignment="0" applyProtection="0"/>
    <xf numFmtId="183" fontId="103" fillId="97" borderId="31" applyNumberFormat="0" applyAlignment="0" applyProtection="0"/>
    <xf numFmtId="183"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185" fontId="103" fillId="97" borderId="31" applyNumberFormat="0" applyAlignment="0" applyProtection="0"/>
    <xf numFmtId="184" fontId="103" fillId="97" borderId="31" applyNumberFormat="0" applyAlignment="0" applyProtection="0"/>
    <xf numFmtId="184" fontId="103" fillId="97" borderId="31" applyNumberFormat="0" applyAlignment="0" applyProtection="0"/>
    <xf numFmtId="0" fontId="83" fillId="42" borderId="23" applyNumberFormat="0" applyAlignment="0" applyProtection="0"/>
    <xf numFmtId="184" fontId="83" fillId="42" borderId="23" applyNumberFormat="0" applyAlignment="0" applyProtection="0"/>
    <xf numFmtId="0" fontId="102" fillId="96" borderId="32" applyNumberFormat="0" applyAlignment="0" applyProtection="0"/>
    <xf numFmtId="184" fontId="102" fillId="96" borderId="32" applyNumberFormat="0" applyAlignment="0" applyProtection="0"/>
    <xf numFmtId="184" fontId="83" fillId="42" borderId="23" applyNumberFormat="0" applyAlignment="0" applyProtection="0"/>
    <xf numFmtId="0"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5" fontId="104" fillId="0" borderId="0" applyNumberFormat="0" applyFont="0" applyFill="0" applyBorder="0" applyProtection="0">
      <alignment horizontal="centerContinuous"/>
    </xf>
    <xf numFmtId="183"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84" fontId="104" fillId="0" borderId="0" applyNumberFormat="0" applyFont="0" applyFill="0" applyBorder="0" applyProtection="0">
      <alignment horizontal="centerContinuous"/>
    </xf>
    <xf numFmtId="190" fontId="104" fillId="0" borderId="0" applyNumberFormat="0" applyFont="0" applyFill="0" applyBorder="0" applyProtection="0">
      <alignment horizontal="centerContinuous" wrapText="1"/>
    </xf>
    <xf numFmtId="191" fontId="21" fillId="0" borderId="0"/>
    <xf numFmtId="0" fontId="105" fillId="98" borderId="33" applyNumberFormat="0" applyAlignment="0" applyProtection="0"/>
    <xf numFmtId="0"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2" fontId="105" fillId="90" borderId="33" applyNumberFormat="0" applyAlignment="0" applyProtection="0"/>
    <xf numFmtId="0"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105" fillId="90" borderId="33" applyNumberFormat="0" applyAlignment="0" applyProtection="0"/>
    <xf numFmtId="183" fontId="105" fillId="14" borderId="33" applyNumberFormat="0" applyAlignment="0" applyProtection="0"/>
    <xf numFmtId="184" fontId="105" fillId="14" borderId="33" applyNumberFormat="0" applyAlignment="0" applyProtection="0"/>
    <xf numFmtId="183" fontId="105" fillId="90" borderId="33" applyNumberFormat="0" applyAlignment="0" applyProtection="0"/>
    <xf numFmtId="184" fontId="105" fillId="90" borderId="33" applyNumberFormat="0" applyAlignment="0" applyProtection="0"/>
    <xf numFmtId="184" fontId="105" fillId="90" borderId="33" applyNumberFormat="0" applyAlignment="0" applyProtection="0"/>
    <xf numFmtId="183" fontId="105" fillId="98" borderId="33" applyNumberFormat="0" applyAlignment="0" applyProtection="0"/>
    <xf numFmtId="184" fontId="105" fillId="98" borderId="33" applyNumberFormat="0" applyAlignment="0" applyProtection="0"/>
    <xf numFmtId="185"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7" fontId="105" fillId="14" borderId="33" applyNumberFormat="0" applyAlignment="0" applyProtection="0"/>
    <xf numFmtId="0" fontId="105" fillId="98" borderId="33" applyNumberFormat="0" applyAlignment="0" applyProtection="0"/>
    <xf numFmtId="184" fontId="105" fillId="98" borderId="33" applyNumberFormat="0" applyAlignment="0" applyProtection="0"/>
    <xf numFmtId="184" fontId="105" fillId="14" borderId="33" applyNumberFormat="0" applyAlignment="0" applyProtection="0"/>
    <xf numFmtId="0" fontId="105" fillId="98" borderId="33" applyNumberFormat="0" applyAlignment="0" applyProtection="0"/>
    <xf numFmtId="183" fontId="105" fillId="14" borderId="33" applyNumberFormat="0" applyAlignment="0" applyProtection="0"/>
    <xf numFmtId="184" fontId="105" fillId="14" borderId="33"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98" borderId="33" applyNumberFormat="0" applyAlignment="0" applyProtection="0"/>
    <xf numFmtId="183" fontId="85" fillId="43" borderId="26" applyNumberFormat="0" applyAlignment="0" applyProtection="0"/>
    <xf numFmtId="184" fontId="85" fillId="43" borderId="26" applyNumberFormat="0" applyAlignment="0" applyProtection="0"/>
    <xf numFmtId="185" fontId="85" fillId="43" borderId="26" applyNumberFormat="0" applyAlignment="0" applyProtection="0"/>
    <xf numFmtId="183"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0"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5" fontId="105" fillId="98" borderId="33" applyNumberFormat="0" applyAlignment="0" applyProtection="0"/>
    <xf numFmtId="183"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4" fontId="105" fillId="98" borderId="33" applyNumberFormat="0" applyAlignment="0" applyProtection="0"/>
    <xf numFmtId="185" fontId="105" fillId="14" borderId="33" applyNumberFormat="0" applyAlignment="0" applyProtection="0"/>
    <xf numFmtId="183" fontId="105" fillId="14" borderId="33" applyNumberFormat="0" applyAlignment="0" applyProtection="0"/>
    <xf numFmtId="184" fontId="105" fillId="14" borderId="33" applyNumberFormat="0" applyAlignment="0" applyProtection="0"/>
    <xf numFmtId="184" fontId="105" fillId="14" borderId="33" applyNumberFormat="0" applyAlignment="0" applyProtection="0"/>
    <xf numFmtId="0" fontId="85" fillId="43" borderId="26" applyNumberFormat="0" applyAlignment="0" applyProtection="0"/>
    <xf numFmtId="184" fontId="85" fillId="43" borderId="26" applyNumberFormat="0" applyAlignment="0" applyProtection="0"/>
    <xf numFmtId="184" fontId="85" fillId="43" borderId="26" applyNumberFormat="0" applyAlignment="0" applyProtection="0"/>
    <xf numFmtId="182" fontId="85" fillId="43" borderId="26"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06" fillId="0" borderId="0" applyNumberFormat="0" applyAlignment="0">
      <alignment horizontal="left"/>
    </xf>
    <xf numFmtId="0"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5"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83" fontId="106" fillId="0" borderId="0" applyNumberFormat="0" applyAlignment="0">
      <alignment horizontal="left"/>
    </xf>
    <xf numFmtId="184" fontId="106" fillId="0" borderId="0" applyNumberFormat="0" applyAlignment="0">
      <alignment horizontal="left"/>
    </xf>
    <xf numFmtId="187" fontId="106" fillId="0" borderId="0" applyNumberFormat="0" applyAlignment="0">
      <alignment horizontal="left"/>
    </xf>
    <xf numFmtId="184" fontId="106" fillId="0" borderId="0" applyNumberFormat="0" applyAlignment="0">
      <alignment horizontal="left"/>
    </xf>
    <xf numFmtId="184" fontId="106" fillId="0" borderId="0" applyNumberFormat="0" applyAlignment="0">
      <alignment horizontal="left"/>
    </xf>
    <xf numFmtId="192" fontId="99" fillId="0" borderId="3"/>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7" fillId="0" borderId="0" applyFont="0" applyFill="0" applyBorder="0" applyAlignment="0" applyProtection="0"/>
    <xf numFmtId="6" fontId="108"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9" fillId="0" borderId="0">
      <protection locked="0"/>
    </xf>
    <xf numFmtId="4" fontId="110" fillId="0" borderId="0" applyFont="0" applyFill="0" applyBorder="0" applyAlignment="0" applyProtection="0"/>
    <xf numFmtId="182" fontId="40" fillId="99" borderId="0" applyNumberFormat="0" applyBorder="0" applyAlignment="0" applyProtection="0"/>
    <xf numFmtId="0"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99" borderId="0" applyNumberFormat="0" applyBorder="0" applyAlignment="0" applyProtection="0"/>
    <xf numFmtId="183" fontId="40" fillId="99" borderId="0" applyNumberFormat="0" applyBorder="0" applyAlignment="0" applyProtection="0"/>
    <xf numFmtId="184" fontId="40" fillId="99" borderId="0" applyNumberFormat="0" applyBorder="0" applyAlignment="0" applyProtection="0"/>
    <xf numFmtId="184" fontId="40" fillId="99"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7"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2" fontId="40" fillId="100" borderId="0" applyNumberFormat="0" applyBorder="0" applyAlignment="0" applyProtection="0"/>
    <xf numFmtId="0"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100" borderId="0" applyNumberFormat="0" applyBorder="0" applyAlignment="0" applyProtection="0"/>
    <xf numFmtId="183" fontId="40" fillId="100" borderId="0" applyNumberFormat="0" applyBorder="0" applyAlignment="0" applyProtection="0"/>
    <xf numFmtId="184" fontId="40" fillId="100" borderId="0" applyNumberFormat="0" applyBorder="0" applyAlignment="0" applyProtection="0"/>
    <xf numFmtId="184" fontId="40" fillId="100"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7"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7"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2" fontId="40" fillId="24" borderId="0" applyNumberFormat="0" applyBorder="0" applyAlignment="0" applyProtection="0"/>
    <xf numFmtId="0" fontId="111" fillId="0" borderId="0" applyNumberFormat="0" applyAlignment="0">
      <alignment horizontal="left"/>
    </xf>
    <xf numFmtId="0"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3" fontId="111" fillId="0" borderId="0" applyNumberFormat="0" applyAlignment="0">
      <alignment horizontal="left"/>
    </xf>
    <xf numFmtId="184" fontId="111" fillId="0" borderId="0" applyNumberFormat="0" applyAlignment="0">
      <alignment horizontal="left"/>
    </xf>
    <xf numFmtId="187" fontId="111" fillId="0" borderId="0" applyNumberFormat="0" applyAlignment="0">
      <alignment horizontal="left"/>
    </xf>
    <xf numFmtId="184" fontId="111" fillId="0" borderId="0" applyNumberFormat="0" applyAlignment="0">
      <alignment horizontal="left"/>
    </xf>
    <xf numFmtId="184" fontId="111"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7" fontId="113" fillId="0" borderId="0" applyNumberFormat="0" applyFill="0" applyBorder="0" applyAlignment="0" applyProtection="0"/>
    <xf numFmtId="0" fontId="112" fillId="0" borderId="0" applyNumberFormat="0" applyFill="0" applyBorder="0" applyAlignment="0" applyProtection="0"/>
    <xf numFmtId="184" fontId="112" fillId="0" borderId="0" applyNumberFormat="0" applyFill="0" applyBorder="0" applyAlignment="0" applyProtection="0"/>
    <xf numFmtId="184" fontId="113" fillId="0" borderId="0" applyNumberFormat="0" applyFill="0" applyBorder="0" applyAlignment="0" applyProtection="0"/>
    <xf numFmtId="0" fontId="112"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5" fontId="112" fillId="0" borderId="0" applyNumberFormat="0" applyFill="0" applyBorder="0" applyAlignment="0" applyProtection="0"/>
    <xf numFmtId="183"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4" fontId="112"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10"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4" fillId="0" borderId="0"/>
    <xf numFmtId="0" fontId="114" fillId="7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2" fontId="38" fillId="86" borderId="0" applyNumberFormat="0" applyBorder="0" applyAlignment="0" applyProtection="0"/>
    <xf numFmtId="0"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7" fontId="114" fillId="101" borderId="0" applyNumberFormat="0" applyBorder="0" applyAlignment="0" applyProtection="0"/>
    <xf numFmtId="184" fontId="114" fillId="101" borderId="0" applyNumberFormat="0" applyBorder="0" applyAlignment="0" applyProtection="0"/>
    <xf numFmtId="184" fontId="78" fillId="38"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38" fillId="86"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7" fontId="114" fillId="101" borderId="0" applyNumberFormat="0" applyBorder="0" applyAlignment="0" applyProtection="0"/>
    <xf numFmtId="0" fontId="114" fillId="71" borderId="0" applyNumberFormat="0" applyBorder="0" applyAlignment="0" applyProtection="0"/>
    <xf numFmtId="184" fontId="114" fillId="71" borderId="0" applyNumberFormat="0" applyBorder="0" applyAlignment="0" applyProtection="0"/>
    <xf numFmtId="184" fontId="114" fillId="101" borderId="0" applyNumberFormat="0" applyBorder="0" applyAlignment="0" applyProtection="0"/>
    <xf numFmtId="0" fontId="114" fillId="7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5" fontId="78" fillId="38" borderId="0" applyNumberFormat="0" applyBorder="0" applyAlignment="0" applyProtection="0"/>
    <xf numFmtId="183"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0"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5" fontId="114" fillId="71" borderId="0" applyNumberFormat="0" applyBorder="0" applyAlignment="0" applyProtection="0"/>
    <xf numFmtId="183"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4" fontId="114" fillId="71" borderId="0" applyNumberFormat="0" applyBorder="0" applyAlignment="0" applyProtection="0"/>
    <xf numFmtId="185" fontId="114" fillId="101" borderId="0" applyNumberFormat="0" applyBorder="0" applyAlignment="0" applyProtection="0"/>
    <xf numFmtId="183" fontId="114" fillId="101" borderId="0" applyNumberFormat="0" applyBorder="0" applyAlignment="0" applyProtection="0"/>
    <xf numFmtId="184" fontId="114" fillId="101" borderId="0" applyNumberFormat="0" applyBorder="0" applyAlignment="0" applyProtection="0"/>
    <xf numFmtId="184" fontId="114" fillId="101" borderId="0" applyNumberFormat="0" applyBorder="0" applyAlignment="0" applyProtection="0"/>
    <xf numFmtId="0" fontId="78" fillId="38" borderId="0" applyNumberFormat="0" applyBorder="0" applyAlignment="0" applyProtection="0"/>
    <xf numFmtId="184" fontId="78" fillId="38" borderId="0" applyNumberFormat="0" applyBorder="0" applyAlignment="0" applyProtection="0"/>
    <xf numFmtId="184" fontId="78" fillId="38" borderId="0" applyNumberFormat="0" applyBorder="0" applyAlignment="0" applyProtection="0"/>
    <xf numFmtId="182" fontId="78"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0"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5"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183" fontId="115" fillId="0" borderId="0" applyNumberFormat="0" applyFill="0" applyBorder="0" applyAlignment="0" applyProtection="0"/>
    <xf numFmtId="184" fontId="115" fillId="0" borderId="0" applyNumberFormat="0" applyFill="0" applyBorder="0" applyAlignment="0" applyProtection="0"/>
    <xf numFmtId="187" fontId="115" fillId="0" borderId="0" applyNumberFormat="0" applyFill="0" applyBorder="0" applyAlignment="0" applyProtection="0"/>
    <xf numFmtId="184" fontId="115" fillId="0" borderId="0" applyNumberFormat="0" applyFill="0" applyBorder="0" applyAlignment="0" applyProtection="0"/>
    <xf numFmtId="184" fontId="115" fillId="0" borderId="0" applyNumberFormat="0" applyFill="0" applyBorder="0" applyAlignment="0" applyProtection="0"/>
    <xf numFmtId="0" fontId="69" fillId="0" borderId="18" applyNumberFormat="0" applyAlignment="0" applyProtection="0">
      <alignment horizontal="left" vertical="center"/>
    </xf>
    <xf numFmtId="0"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5"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5"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183" fontId="69" fillId="0" borderId="18" applyNumberFormat="0" applyAlignment="0" applyProtection="0">
      <alignment horizontal="left" vertical="center"/>
    </xf>
    <xf numFmtId="184" fontId="69" fillId="0" borderId="18" applyNumberFormat="0" applyAlignment="0" applyProtection="0">
      <alignment horizontal="left" vertical="center"/>
    </xf>
    <xf numFmtId="187" fontId="69" fillId="0" borderId="18" applyNumberFormat="0" applyAlignment="0" applyProtection="0">
      <alignment horizontal="left" vertical="center"/>
    </xf>
    <xf numFmtId="184" fontId="69" fillId="0" borderId="18" applyNumberFormat="0" applyAlignment="0" applyProtection="0">
      <alignment horizontal="left" vertical="center"/>
    </xf>
    <xf numFmtId="184" fontId="69" fillId="0" borderId="18" applyNumberFormat="0" applyAlignment="0" applyProtection="0">
      <alignment horizontal="left" vertical="center"/>
    </xf>
    <xf numFmtId="0" fontId="69" fillId="0" borderId="9">
      <alignment horizontal="left" vertical="center"/>
    </xf>
    <xf numFmtId="0"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5" fontId="69" fillId="0" borderId="9">
      <alignment horizontal="left" vertical="center"/>
    </xf>
    <xf numFmtId="185"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3" fontId="69" fillId="0" borderId="9">
      <alignment horizontal="left" vertical="center"/>
    </xf>
    <xf numFmtId="183"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7"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0" fontId="69" fillId="0" borderId="9">
      <alignment horizontal="left" vertical="center"/>
    </xf>
    <xf numFmtId="0" fontId="69" fillId="0" borderId="9">
      <alignment horizontal="left" vertical="center"/>
    </xf>
    <xf numFmtId="184" fontId="69" fillId="0" borderId="9">
      <alignment horizontal="left" vertical="center"/>
    </xf>
    <xf numFmtId="184" fontId="69" fillId="0" borderId="9">
      <alignment horizontal="left" vertical="center"/>
    </xf>
    <xf numFmtId="184" fontId="69" fillId="0" borderId="9">
      <alignment horizontal="left" vertical="center"/>
    </xf>
    <xf numFmtId="0" fontId="116" fillId="0" borderId="34" applyNumberFormat="0" applyFill="0" applyAlignment="0" applyProtection="0"/>
    <xf numFmtId="0"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2" fontId="117" fillId="0" borderId="35" applyNumberFormat="0" applyFill="0" applyAlignment="0" applyProtection="0"/>
    <xf numFmtId="0"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7" fontId="117" fillId="0" borderId="35" applyNumberFormat="0" applyFill="0" applyAlignment="0" applyProtection="0"/>
    <xf numFmtId="0" fontId="116" fillId="0" borderId="34" applyNumberFormat="0" applyFill="0" applyAlignment="0" applyProtection="0"/>
    <xf numFmtId="184" fontId="116" fillId="0" borderId="34" applyNumberFormat="0" applyFill="0" applyAlignment="0" applyProtection="0"/>
    <xf numFmtId="184" fontId="117" fillId="0" borderId="35" applyNumberFormat="0" applyFill="0" applyAlignment="0" applyProtection="0"/>
    <xf numFmtId="0" fontId="116" fillId="0" borderId="34"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6" fillId="0" borderId="34"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5" fontId="75" fillId="0" borderId="20" applyNumberFormat="0" applyFill="0" applyAlignment="0" applyProtection="0"/>
    <xf numFmtId="183"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0"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5" fontId="116" fillId="0" borderId="34" applyNumberFormat="0" applyFill="0" applyAlignment="0" applyProtection="0"/>
    <xf numFmtId="183"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4" fontId="116" fillId="0" borderId="34"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75" fillId="0" borderId="20" applyNumberFormat="0" applyFill="0" applyAlignment="0" applyProtection="0"/>
    <xf numFmtId="184" fontId="75" fillId="0" borderId="20" applyNumberFormat="0" applyFill="0" applyAlignment="0" applyProtection="0"/>
    <xf numFmtId="184" fontId="75" fillId="0" borderId="20" applyNumberFormat="0" applyFill="0" applyAlignment="0" applyProtection="0"/>
    <xf numFmtId="182" fontId="75" fillId="0" borderId="20" applyNumberFormat="0" applyFill="0" applyAlignment="0" applyProtection="0"/>
    <xf numFmtId="0" fontId="118" fillId="0" borderId="36" applyNumberFormat="0" applyFill="0" applyAlignment="0" applyProtection="0"/>
    <xf numFmtId="0"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2" fontId="119" fillId="0" borderId="37" applyNumberFormat="0" applyFill="0" applyAlignment="0" applyProtection="0"/>
    <xf numFmtId="0"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119" fillId="0" borderId="37"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3" fontId="119" fillId="0" borderId="37" applyNumberFormat="0" applyFill="0" applyAlignment="0" applyProtection="0"/>
    <xf numFmtId="184" fontId="119" fillId="0" borderId="37" applyNumberFormat="0" applyFill="0" applyAlignment="0" applyProtection="0"/>
    <xf numFmtId="184" fontId="119" fillId="0" borderId="37"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5"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7" fontId="119" fillId="0" borderId="36" applyNumberFormat="0" applyFill="0" applyAlignment="0" applyProtection="0"/>
    <xf numFmtId="0" fontId="118" fillId="0" borderId="36" applyNumberFormat="0" applyFill="0" applyAlignment="0" applyProtection="0"/>
    <xf numFmtId="184" fontId="118" fillId="0" borderId="36" applyNumberFormat="0" applyFill="0" applyAlignment="0" applyProtection="0"/>
    <xf numFmtId="184" fontId="119" fillId="0" borderId="36" applyNumberFormat="0" applyFill="0" applyAlignment="0" applyProtection="0"/>
    <xf numFmtId="0" fontId="118"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8" fillId="0" borderId="36"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5" fontId="76" fillId="0" borderId="21" applyNumberFormat="0" applyFill="0" applyAlignment="0" applyProtection="0"/>
    <xf numFmtId="183"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0"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5" fontId="118" fillId="0" borderId="36" applyNumberFormat="0" applyFill="0" applyAlignment="0" applyProtection="0"/>
    <xf numFmtId="183"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4" fontId="118"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0" fontId="76" fillId="0" borderId="21" applyNumberFormat="0" applyFill="0" applyAlignment="0" applyProtection="0"/>
    <xf numFmtId="184" fontId="76" fillId="0" borderId="21" applyNumberFormat="0" applyFill="0" applyAlignment="0" applyProtection="0"/>
    <xf numFmtId="184" fontId="76" fillId="0" borderId="21" applyNumberFormat="0" applyFill="0" applyAlignment="0" applyProtection="0"/>
    <xf numFmtId="182" fontId="76" fillId="0" borderId="21" applyNumberFormat="0" applyFill="0" applyAlignment="0" applyProtection="0"/>
    <xf numFmtId="0" fontId="120" fillId="0" borderId="38" applyNumberFormat="0" applyFill="0" applyAlignment="0" applyProtection="0"/>
    <xf numFmtId="0"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2" fontId="121" fillId="0" borderId="39" applyNumberFormat="0" applyFill="0" applyAlignment="0" applyProtection="0"/>
    <xf numFmtId="0"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121" fillId="0" borderId="39"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3" fontId="121" fillId="0" borderId="39" applyNumberFormat="0" applyFill="0" applyAlignment="0" applyProtection="0"/>
    <xf numFmtId="184" fontId="121" fillId="0" borderId="39" applyNumberFormat="0" applyFill="0" applyAlignment="0" applyProtection="0"/>
    <xf numFmtId="184" fontId="121" fillId="0" borderId="39"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5"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7" fontId="121" fillId="0" borderId="40" applyNumberFormat="0" applyFill="0" applyAlignment="0" applyProtection="0"/>
    <xf numFmtId="0" fontId="120" fillId="0" borderId="38" applyNumberFormat="0" applyFill="0" applyAlignment="0" applyProtection="0"/>
    <xf numFmtId="184" fontId="120" fillId="0" borderId="38" applyNumberFormat="0" applyFill="0" applyAlignment="0" applyProtection="0"/>
    <xf numFmtId="184" fontId="121" fillId="0" borderId="40" applyNumberFormat="0" applyFill="0" applyAlignment="0" applyProtection="0"/>
    <xf numFmtId="0" fontId="120" fillId="0" borderId="38"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0" fillId="0" borderId="38"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5" fontId="77" fillId="0" borderId="22" applyNumberFormat="0" applyFill="0" applyAlignment="0" applyProtection="0"/>
    <xf numFmtId="183"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0"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5" fontId="120" fillId="0" borderId="38" applyNumberFormat="0" applyFill="0" applyAlignment="0" applyProtection="0"/>
    <xf numFmtId="183"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4" fontId="120" fillId="0" borderId="38" applyNumberFormat="0" applyFill="0" applyAlignment="0" applyProtection="0"/>
    <xf numFmtId="185" fontId="121" fillId="0" borderId="40" applyNumberFormat="0" applyFill="0" applyAlignment="0" applyProtection="0"/>
    <xf numFmtId="183" fontId="121" fillId="0" borderId="40" applyNumberFormat="0" applyFill="0" applyAlignment="0" applyProtection="0"/>
    <xf numFmtId="184" fontId="121" fillId="0" borderId="40" applyNumberFormat="0" applyFill="0" applyAlignment="0" applyProtection="0"/>
    <xf numFmtId="184" fontId="121" fillId="0" borderId="40" applyNumberFormat="0" applyFill="0" applyAlignment="0" applyProtection="0"/>
    <xf numFmtId="0" fontId="77" fillId="0" borderId="22" applyNumberFormat="0" applyFill="0" applyAlignment="0" applyProtection="0"/>
    <xf numFmtId="184" fontId="77" fillId="0" borderId="22" applyNumberFormat="0" applyFill="0" applyAlignment="0" applyProtection="0"/>
    <xf numFmtId="184" fontId="77" fillId="0" borderId="22" applyNumberFormat="0" applyFill="0" applyAlignment="0" applyProtection="0"/>
    <xf numFmtId="182" fontId="77" fillId="0" borderId="22"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2" fontId="121" fillId="0" borderId="0" applyNumberFormat="0" applyFill="0" applyBorder="0" applyAlignment="0" applyProtection="0"/>
    <xf numFmtId="0"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7" fontId="121" fillId="0" borderId="0" applyNumberFormat="0" applyFill="0" applyBorder="0" applyAlignment="0" applyProtection="0"/>
    <xf numFmtId="0" fontId="120" fillId="0" borderId="0" applyNumberFormat="0" applyFill="0" applyBorder="0" applyAlignment="0" applyProtection="0"/>
    <xf numFmtId="184" fontId="120" fillId="0" borderId="0" applyNumberFormat="0" applyFill="0" applyBorder="0" applyAlignment="0" applyProtection="0"/>
    <xf numFmtId="184" fontId="121" fillId="0" borderId="0" applyNumberFormat="0" applyFill="0" applyBorder="0" applyAlignment="0" applyProtection="0"/>
    <xf numFmtId="0" fontId="120"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5" fontId="77" fillId="0" borderId="0" applyNumberFormat="0" applyFill="0" applyBorder="0" applyAlignment="0" applyProtection="0"/>
    <xf numFmtId="183"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0"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5" fontId="120" fillId="0" borderId="0" applyNumberFormat="0" applyFill="0" applyBorder="0" applyAlignment="0" applyProtection="0"/>
    <xf numFmtId="183"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4" fontId="120"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0" fontId="77" fillId="0" borderId="0" applyNumberFormat="0" applyFill="0" applyBorder="0" applyAlignment="0" applyProtection="0"/>
    <xf numFmtId="184" fontId="77" fillId="0" borderId="0" applyNumberFormat="0" applyFill="0" applyBorder="0" applyAlignment="0" applyProtection="0"/>
    <xf numFmtId="184" fontId="77" fillId="0" borderId="0" applyNumberFormat="0" applyFill="0" applyBorder="0" applyAlignment="0" applyProtection="0"/>
    <xf numFmtId="182" fontId="77"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2" fillId="0" borderId="41">
      <alignment horizontal="center"/>
    </xf>
    <xf numFmtId="0" fontId="122" fillId="0" borderId="41">
      <alignment horizontal="center"/>
    </xf>
    <xf numFmtId="183"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5" fontId="122" fillId="0" borderId="41">
      <alignment horizontal="center"/>
    </xf>
    <xf numFmtId="183" fontId="122" fillId="0" borderId="41">
      <alignment horizontal="center"/>
    </xf>
    <xf numFmtId="184" fontId="122" fillId="0" borderId="41">
      <alignment horizontal="center"/>
    </xf>
    <xf numFmtId="184" fontId="122" fillId="0" borderId="41">
      <alignment horizontal="center"/>
    </xf>
    <xf numFmtId="183" fontId="122" fillId="0" borderId="41">
      <alignment horizontal="center"/>
    </xf>
    <xf numFmtId="184" fontId="122" fillId="0" borderId="41">
      <alignment horizontal="center"/>
    </xf>
    <xf numFmtId="187" fontId="122" fillId="0" borderId="41">
      <alignment horizontal="center"/>
    </xf>
    <xf numFmtId="184" fontId="122" fillId="0" borderId="41">
      <alignment horizontal="center"/>
    </xf>
    <xf numFmtId="184" fontId="122" fillId="0" borderId="41">
      <alignment horizontal="center"/>
    </xf>
    <xf numFmtId="0" fontId="122" fillId="0" borderId="0">
      <alignment horizontal="center"/>
    </xf>
    <xf numFmtId="0" fontId="122" fillId="0" borderId="0">
      <alignment horizontal="center"/>
    </xf>
    <xf numFmtId="183"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5" fontId="122" fillId="0" borderId="0">
      <alignment horizontal="center"/>
    </xf>
    <xf numFmtId="183" fontId="122" fillId="0" borderId="0">
      <alignment horizontal="center"/>
    </xf>
    <xf numFmtId="184" fontId="122" fillId="0" borderId="0">
      <alignment horizontal="center"/>
    </xf>
    <xf numFmtId="184" fontId="122" fillId="0" borderId="0">
      <alignment horizontal="center"/>
    </xf>
    <xf numFmtId="183" fontId="122" fillId="0" borderId="0">
      <alignment horizontal="center"/>
    </xf>
    <xf numFmtId="184" fontId="122" fillId="0" borderId="0">
      <alignment horizontal="center"/>
    </xf>
    <xf numFmtId="187" fontId="122" fillId="0" borderId="0">
      <alignment horizontal="center"/>
    </xf>
    <xf numFmtId="184" fontId="122" fillId="0" borderId="0">
      <alignment horizontal="center"/>
    </xf>
    <xf numFmtId="184" fontId="122" fillId="0" borderId="0">
      <alignment horizontal="center"/>
    </xf>
    <xf numFmtId="0" fontId="110" fillId="0" borderId="0" applyProtection="0">
      <alignment horizontal="right"/>
    </xf>
    <xf numFmtId="0" fontId="110" fillId="0" borderId="0" applyProtection="0">
      <alignment horizontal="right"/>
    </xf>
    <xf numFmtId="183"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4" fontId="110" fillId="0" borderId="0" applyProtection="0">
      <alignment horizontal="right"/>
    </xf>
    <xf numFmtId="185" fontId="110" fillId="0" borderId="0" applyProtection="0">
      <alignment horizontal="right"/>
    </xf>
    <xf numFmtId="183" fontId="110" fillId="0" borderId="0" applyProtection="0">
      <alignment horizontal="right"/>
    </xf>
    <xf numFmtId="184" fontId="110" fillId="0" borderId="0" applyProtection="0">
      <alignment horizontal="right"/>
    </xf>
    <xf numFmtId="184" fontId="110" fillId="0" borderId="0" applyProtection="0">
      <alignment horizontal="right"/>
    </xf>
    <xf numFmtId="183" fontId="110" fillId="0" borderId="0" applyProtection="0">
      <alignment horizontal="right"/>
    </xf>
    <xf numFmtId="184" fontId="110" fillId="0" borderId="0" applyProtection="0">
      <alignment horizontal="right"/>
    </xf>
    <xf numFmtId="187" fontId="110" fillId="0" borderId="0" applyProtection="0">
      <alignment horizontal="right"/>
    </xf>
    <xf numFmtId="184" fontId="110" fillId="0" borderId="0" applyProtection="0">
      <alignment horizontal="right"/>
    </xf>
    <xf numFmtId="184" fontId="110"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3" fillId="0" borderId="42" applyNumberFormat="0" applyFill="0" applyAlignment="0" applyProtection="0"/>
    <xf numFmtId="185" fontId="123" fillId="0" borderId="42" applyNumberFormat="0" applyFill="0" applyAlignment="0" applyProtection="0"/>
    <xf numFmtId="0"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5"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3" fillId="0" borderId="42" applyNumberFormat="0" applyFill="0" applyAlignment="0" applyProtection="0"/>
    <xf numFmtId="184" fontId="123" fillId="0" borderId="42" applyNumberFormat="0" applyFill="0" applyAlignment="0" applyProtection="0"/>
    <xf numFmtId="187" fontId="123" fillId="0" borderId="42" applyNumberFormat="0" applyFill="0" applyAlignment="0" applyProtection="0"/>
    <xf numFmtId="184" fontId="123" fillId="0" borderId="42" applyNumberFormat="0" applyFill="0" applyAlignment="0" applyProtection="0"/>
    <xf numFmtId="184" fontId="123" fillId="0" borderId="42" applyNumberFormat="0" applyFill="0" applyAlignment="0" applyProtection="0"/>
    <xf numFmtId="183" fontId="124" fillId="0" borderId="0" applyFill="0" applyBorder="0" applyAlignment="0" applyProtection="0">
      <alignment horizontal="right"/>
    </xf>
    <xf numFmtId="184" fontId="124"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182" fontId="81" fillId="41" borderId="23"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0"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4" fontId="125" fillId="21" borderId="32" applyNumberFormat="0" applyAlignment="0" applyProtection="0"/>
    <xf numFmtId="184" fontId="126" fillId="74" borderId="31" applyNumberFormat="0" applyAlignment="0" applyProtection="0"/>
    <xf numFmtId="182" fontId="125" fillId="21" borderId="32"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2"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7" fontId="81" fillId="41" borderId="23" applyNumberFormat="0" applyAlignment="0" applyProtection="0"/>
    <xf numFmtId="0"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81" fillId="41" borderId="23"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7" fontId="125" fillId="21" borderId="31" applyNumberFormat="0" applyAlignment="0" applyProtection="0"/>
    <xf numFmtId="187"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0"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5" fontId="81" fillId="41" borderId="23" applyNumberFormat="0" applyAlignment="0" applyProtection="0"/>
    <xf numFmtId="183"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184" fontId="81" fillId="41" borderId="23"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7" fontId="125" fillId="21" borderId="31" applyNumberFormat="0" applyAlignment="0" applyProtection="0"/>
    <xf numFmtId="187"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0"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3"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0" fontId="125" fillId="21" borderId="32" applyNumberFormat="0" applyAlignment="0" applyProtection="0"/>
    <xf numFmtId="184" fontId="125" fillId="21" borderId="32" applyNumberFormat="0" applyAlignment="0" applyProtection="0"/>
    <xf numFmtId="184" fontId="125" fillId="21" borderId="32"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3" fontId="125" fillId="21" borderId="31" applyNumberFormat="0" applyAlignment="0" applyProtection="0"/>
    <xf numFmtId="183"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185" fontId="125" fillId="21" borderId="31" applyNumberFormat="0" applyAlignment="0" applyProtection="0"/>
    <xf numFmtId="184" fontId="125" fillId="21" borderId="31" applyNumberFormat="0" applyAlignment="0" applyProtection="0"/>
    <xf numFmtId="184" fontId="125" fillId="21"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3" fontId="126" fillId="74" borderId="31" applyNumberFormat="0" applyAlignment="0" applyProtection="0"/>
    <xf numFmtId="183"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0" fontId="126" fillId="74" borderId="31" applyNumberFormat="0" applyAlignment="0" applyProtection="0"/>
    <xf numFmtId="184" fontId="126" fillId="74" borderId="31" applyNumberFormat="0" applyAlignment="0" applyProtection="0"/>
    <xf numFmtId="184" fontId="126" fillId="74" borderId="31" applyNumberFormat="0" applyAlignment="0" applyProtection="0"/>
    <xf numFmtId="199" fontId="127" fillId="0" borderId="0" applyFont="0" applyFill="0" applyBorder="0" applyProtection="0">
      <alignment horizontal="center"/>
    </xf>
    <xf numFmtId="183" fontId="34" fillId="34" borderId="0" applyNumberFormat="0" applyFont="0" applyBorder="0" applyAlignment="0" applyProtection="0">
      <alignment horizontal="left"/>
    </xf>
    <xf numFmtId="184" fontId="34" fillId="34" borderId="0" applyNumberFormat="0" applyFont="0" applyBorder="0" applyAlignment="0" applyProtection="0">
      <alignment horizontal="left"/>
    </xf>
    <xf numFmtId="0" fontId="128" fillId="0" borderId="43" applyNumberFormat="0" applyFill="0" applyAlignment="0" applyProtection="0"/>
    <xf numFmtId="0"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2" fontId="114" fillId="0" borderId="44" applyNumberFormat="0" applyFill="0" applyAlignment="0" applyProtection="0"/>
    <xf numFmtId="0"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114" fillId="0" borderId="44"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3" fontId="114" fillId="0" borderId="44" applyNumberFormat="0" applyFill="0" applyAlignment="0" applyProtection="0"/>
    <xf numFmtId="184" fontId="114" fillId="0" borderId="44" applyNumberFormat="0" applyFill="0" applyAlignment="0" applyProtection="0"/>
    <xf numFmtId="184" fontId="114" fillId="0" borderId="44"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5"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7" fontId="129" fillId="0" borderId="45" applyNumberFormat="0" applyFill="0" applyAlignment="0" applyProtection="0"/>
    <xf numFmtId="0" fontId="128" fillId="0" borderId="43" applyNumberFormat="0" applyFill="0" applyAlignment="0" applyProtection="0"/>
    <xf numFmtId="184" fontId="128" fillId="0" borderId="43" applyNumberFormat="0" applyFill="0" applyAlignment="0" applyProtection="0"/>
    <xf numFmtId="184" fontId="129" fillId="0" borderId="45" applyNumberFormat="0" applyFill="0" applyAlignment="0" applyProtection="0"/>
    <xf numFmtId="0" fontId="128" fillId="0" borderId="43"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8" fillId="0" borderId="43"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5" fontId="84" fillId="0" borderId="25" applyNumberFormat="0" applyFill="0" applyAlignment="0" applyProtection="0"/>
    <xf numFmtId="183"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0"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5" fontId="128" fillId="0" borderId="43" applyNumberFormat="0" applyFill="0" applyAlignment="0" applyProtection="0"/>
    <xf numFmtId="183"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4" fontId="128" fillId="0" borderId="43" applyNumberFormat="0" applyFill="0" applyAlignment="0" applyProtection="0"/>
    <xf numFmtId="185" fontId="129" fillId="0" borderId="45" applyNumberFormat="0" applyFill="0" applyAlignment="0" applyProtection="0"/>
    <xf numFmtId="183" fontId="129" fillId="0" borderId="45" applyNumberFormat="0" applyFill="0" applyAlignment="0" applyProtection="0"/>
    <xf numFmtId="184" fontId="129" fillId="0" borderId="45" applyNumberFormat="0" applyFill="0" applyAlignment="0" applyProtection="0"/>
    <xf numFmtId="184" fontId="129" fillId="0" borderId="45" applyNumberFormat="0" applyFill="0" applyAlignment="0" applyProtection="0"/>
    <xf numFmtId="0" fontId="84" fillId="0" borderId="25" applyNumberFormat="0" applyFill="0" applyAlignment="0" applyProtection="0"/>
    <xf numFmtId="184" fontId="84" fillId="0" borderId="25" applyNumberFormat="0" applyFill="0" applyAlignment="0" applyProtection="0"/>
    <xf numFmtId="184" fontId="84" fillId="0" borderId="25" applyNumberFormat="0" applyFill="0" applyAlignment="0" applyProtection="0"/>
    <xf numFmtId="182" fontId="84" fillId="0" borderId="25" applyNumberFormat="0" applyFill="0" applyAlignment="0" applyProtection="0"/>
    <xf numFmtId="183" fontId="130" fillId="103" borderId="0">
      <alignment horizontal="right"/>
    </xf>
    <xf numFmtId="184" fontId="130" fillId="103" borderId="0">
      <alignment horizontal="right"/>
    </xf>
    <xf numFmtId="17" fontId="131" fillId="0" borderId="0" applyFont="0" applyFill="0" applyBorder="0" applyAlignment="0" applyProtection="0">
      <alignment horizontal="centerContinuous"/>
      <protection locked="0"/>
    </xf>
    <xf numFmtId="0" fontId="132" fillId="25"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2" fontId="114"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7" fontId="132" fillId="21" borderId="0" applyNumberFormat="0" applyBorder="0" applyAlignment="0" applyProtection="0"/>
    <xf numFmtId="184" fontId="132" fillId="21" borderId="0" applyNumberFormat="0" applyBorder="0" applyAlignment="0" applyProtection="0"/>
    <xf numFmtId="184" fontId="80" fillId="40" borderId="0" applyNumberFormat="0" applyBorder="0" applyAlignment="0" applyProtection="0"/>
    <xf numFmtId="0"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14"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114" fillId="21" borderId="0" applyNumberFormat="0" applyBorder="0" applyAlignment="0" applyProtection="0"/>
    <xf numFmtId="184" fontId="114" fillId="21" borderId="0" applyNumberFormat="0" applyBorder="0" applyAlignment="0" applyProtection="0"/>
    <xf numFmtId="184" fontId="114" fillId="21"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7" fontId="80" fillId="40" borderId="0" applyNumberFormat="0" applyBorder="0" applyAlignment="0" applyProtection="0"/>
    <xf numFmtId="0" fontId="132" fillId="25" borderId="0" applyNumberFormat="0" applyBorder="0" applyAlignment="0" applyProtection="0"/>
    <xf numFmtId="184" fontId="132" fillId="25"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5" fontId="80" fillId="40" borderId="0" applyNumberFormat="0" applyBorder="0" applyAlignment="0" applyProtection="0"/>
    <xf numFmtId="183"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0"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5" fontId="132" fillId="25" borderId="0" applyNumberFormat="0" applyBorder="0" applyAlignment="0" applyProtection="0"/>
    <xf numFmtId="183"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4" fontId="132" fillId="25" borderId="0" applyNumberFormat="0" applyBorder="0" applyAlignment="0" applyProtection="0"/>
    <xf numFmtId="185" fontId="132" fillId="21" borderId="0" applyNumberFormat="0" applyBorder="0" applyAlignment="0" applyProtection="0"/>
    <xf numFmtId="183" fontId="132" fillId="21" borderId="0" applyNumberFormat="0" applyBorder="0" applyAlignment="0" applyProtection="0"/>
    <xf numFmtId="184" fontId="132" fillId="21" borderId="0" applyNumberFormat="0" applyBorder="0" applyAlignment="0" applyProtection="0"/>
    <xf numFmtId="184" fontId="132" fillId="21" borderId="0" applyNumberFormat="0" applyBorder="0" applyAlignment="0" applyProtection="0"/>
    <xf numFmtId="0" fontId="80" fillId="40" borderId="0" applyNumberFormat="0" applyBorder="0" applyAlignment="0" applyProtection="0"/>
    <xf numFmtId="184" fontId="80" fillId="40" borderId="0" applyNumberFormat="0" applyBorder="0" applyAlignment="0" applyProtection="0"/>
    <xf numFmtId="184" fontId="80" fillId="40" borderId="0" applyNumberFormat="0" applyBorder="0" applyAlignment="0" applyProtection="0"/>
    <xf numFmtId="182" fontId="80" fillId="40" borderId="0" applyNumberFormat="0" applyBorder="0" applyAlignment="0" applyProtection="0"/>
    <xf numFmtId="37" fontId="133" fillId="0" borderId="0"/>
    <xf numFmtId="200" fontId="134"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5" fillId="0" borderId="0"/>
    <xf numFmtId="183" fontId="135" fillId="0" borderId="0"/>
    <xf numFmtId="184" fontId="13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5" fillId="0" borderId="0"/>
    <xf numFmtId="185" fontId="135" fillId="0" borderId="0"/>
    <xf numFmtId="183" fontId="135" fillId="0" borderId="0"/>
    <xf numFmtId="183" fontId="135" fillId="0" borderId="0"/>
    <xf numFmtId="184" fontId="135" fillId="0" borderId="0"/>
    <xf numFmtId="0" fontId="5" fillId="0" borderId="0"/>
    <xf numFmtId="183" fontId="5" fillId="0" borderId="0"/>
    <xf numFmtId="184" fontId="5" fillId="0" borderId="0"/>
    <xf numFmtId="184" fontId="5" fillId="0" borderId="0"/>
    <xf numFmtId="184" fontId="135" fillId="0" borderId="0"/>
    <xf numFmtId="185" fontId="135" fillId="0" borderId="0"/>
    <xf numFmtId="183" fontId="135" fillId="0" borderId="0"/>
    <xf numFmtId="184" fontId="135" fillId="0" borderId="0"/>
    <xf numFmtId="184" fontId="13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5" fillId="0" borderId="0"/>
    <xf numFmtId="0" fontId="135" fillId="0" borderId="0"/>
    <xf numFmtId="183" fontId="135" fillId="0" borderId="0"/>
    <xf numFmtId="184" fontId="135" fillId="0" borderId="0"/>
    <xf numFmtId="184" fontId="135" fillId="0" borderId="0"/>
    <xf numFmtId="184" fontId="135"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8"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4" fillId="0" borderId="0"/>
    <xf numFmtId="0" fontId="23" fillId="104" borderId="0"/>
    <xf numFmtId="184" fontId="23" fillId="104" borderId="0"/>
    <xf numFmtId="184" fontId="54"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4" fillId="105" borderId="0" applyBorder="0" applyAlignment="0">
      <alignment horizontal="left"/>
    </xf>
    <xf numFmtId="183" fontId="34" fillId="105" borderId="0" applyBorder="0" applyAlignment="0">
      <alignment horizontal="left"/>
    </xf>
    <xf numFmtId="184" fontId="34"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4" fillId="105" borderId="0" applyBorder="0" applyAlignment="0">
      <alignment horizontal="left"/>
    </xf>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0" fontId="5" fillId="44" borderId="27"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38"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1" fillId="26"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23" fillId="20" borderId="32"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38" fillId="26" borderId="46" applyNumberFormat="0" applyFont="0" applyAlignment="0" applyProtection="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5"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38" fillId="26" borderId="46"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0" fontId="38"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203" fontId="136" fillId="0" borderId="47" applyFont="0" applyFill="0" applyBorder="0" applyAlignment="0" applyProtection="0">
      <alignment horizontal="center"/>
      <protection locked="0"/>
    </xf>
    <xf numFmtId="203" fontId="136" fillId="0" borderId="47"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2" fillId="42" borderId="24" applyNumberFormat="0" applyAlignment="0" applyProtection="0"/>
    <xf numFmtId="0"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7"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0" fontId="137" fillId="96" borderId="48" applyNumberFormat="0" applyAlignment="0" applyProtection="0"/>
    <xf numFmtId="184" fontId="137" fillId="96" borderId="48" applyNumberFormat="0" applyAlignment="0" applyProtection="0"/>
    <xf numFmtId="184" fontId="137" fillId="75" borderId="48" applyNumberFormat="0" applyAlignment="0" applyProtection="0"/>
    <xf numFmtId="182" fontId="137" fillId="96" borderId="48" applyNumberFormat="0" applyAlignment="0" applyProtection="0"/>
    <xf numFmtId="0"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137" fillId="96"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3" fontId="137" fillId="96" borderId="48" applyNumberFormat="0" applyAlignment="0" applyProtection="0"/>
    <xf numFmtId="183" fontId="137" fillId="96" borderId="48" applyNumberFormat="0" applyAlignment="0" applyProtection="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5" fillId="0" borderId="0"/>
    <xf numFmtId="183" fontId="5" fillId="0" borderId="0"/>
    <xf numFmtId="184" fontId="5" fillId="0" borderId="0"/>
    <xf numFmtId="184" fontId="5" fillId="0" borderId="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137" fillId="96" borderId="48" applyNumberFormat="0" applyAlignment="0" applyProtection="0"/>
    <xf numFmtId="183" fontId="137" fillId="96" borderId="48" applyNumberFormat="0" applyAlignment="0" applyProtection="0"/>
    <xf numFmtId="183"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96" borderId="48" applyNumberFormat="0" applyAlignment="0" applyProtection="0"/>
    <xf numFmtId="184" fontId="137" fillId="96" borderId="48" applyNumberFormat="0" applyAlignment="0" applyProtection="0"/>
    <xf numFmtId="184" fontId="137" fillId="96"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75" borderId="48"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184" fontId="82" fillId="42" borderId="24" applyNumberFormat="0" applyAlignment="0" applyProtection="0"/>
    <xf numFmtId="185"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82" fillId="42" borderId="24" applyNumberFormat="0" applyAlignment="0" applyProtection="0"/>
    <xf numFmtId="183" fontId="82" fillId="42" borderId="24" applyNumberFormat="0" applyAlignment="0" applyProtection="0"/>
    <xf numFmtId="184" fontId="82" fillId="42" borderId="24" applyNumberFormat="0" applyAlignment="0" applyProtection="0"/>
    <xf numFmtId="184" fontId="82"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2" fillId="42" borderId="24"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3" fontId="137" fillId="75" borderId="48" applyNumberFormat="0" applyAlignment="0" applyProtection="0"/>
    <xf numFmtId="183"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7" fillId="75" borderId="48" applyNumberFormat="0" applyAlignment="0" applyProtection="0"/>
    <xf numFmtId="184" fontId="137" fillId="75" borderId="48" applyNumberFormat="0" applyAlignment="0" applyProtection="0"/>
    <xf numFmtId="184" fontId="137" fillId="75"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3" fontId="137" fillId="97" borderId="48" applyNumberFormat="0" applyAlignment="0" applyProtection="0"/>
    <xf numFmtId="183"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7" fillId="97" borderId="48" applyNumberFormat="0" applyAlignment="0" applyProtection="0"/>
    <xf numFmtId="184" fontId="137" fillId="97" borderId="48" applyNumberFormat="0" applyAlignment="0" applyProtection="0"/>
    <xf numFmtId="184" fontId="137" fillId="97" borderId="48" applyNumberFormat="0" applyAlignment="0" applyProtection="0"/>
    <xf numFmtId="0" fontId="82" fillId="42" borderId="24" applyNumberFormat="0" applyAlignment="0" applyProtection="0"/>
    <xf numFmtId="184" fontId="82" fillId="42" borderId="24" applyNumberFormat="0" applyAlignment="0" applyProtection="0"/>
    <xf numFmtId="0" fontId="137" fillId="96" borderId="48" applyNumberFormat="0" applyAlignment="0" applyProtection="0"/>
    <xf numFmtId="184" fontId="137" fillId="96" borderId="48" applyNumberFormat="0" applyAlignment="0" applyProtection="0"/>
    <xf numFmtId="184" fontId="82" fillId="42" borderId="24" applyNumberFormat="0" applyAlignment="0" applyProtection="0"/>
    <xf numFmtId="10" fontId="138" fillId="0" borderId="49" applyFont="0" applyFill="0" applyBorder="0" applyAlignment="0" applyProtection="0">
      <alignment horizontal="center"/>
      <protection locked="0"/>
    </xf>
    <xf numFmtId="10" fontId="138"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39" fillId="0" borderId="0" applyFont="0" applyFill="0" applyBorder="0" applyProtection="0">
      <alignment horizontal="center"/>
    </xf>
    <xf numFmtId="190" fontId="139"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14" fontId="31" fillId="0" borderId="0">
      <alignment horizontal="center" wrapText="1"/>
      <protection locked="0"/>
    </xf>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135"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5"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40" fillId="0" borderId="50" applyFont="0" applyFill="0" applyBorder="0" applyAlignment="0" applyProtection="0">
      <alignment horizontal="center"/>
      <protection locked="0"/>
    </xf>
    <xf numFmtId="10" fontId="140" fillId="0" borderId="50"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4" fillId="0" borderId="0" applyFont="0" applyAlignment="0">
      <alignment horizontal="center" wrapText="1"/>
    </xf>
    <xf numFmtId="9" fontId="34"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41" fillId="0" borderId="0" applyNumberFormat="0" applyFill="0" applyBorder="0" applyProtection="0">
      <alignment horizontal="right"/>
    </xf>
    <xf numFmtId="9" fontId="141"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2" fillId="106" borderId="0" applyNumberFormat="0" applyFont="0" applyBorder="0" applyAlignment="0">
      <alignment horizontal="center"/>
    </xf>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5"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183"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2" fillId="106" borderId="0" applyNumberFormat="0" applyFont="0" applyBorder="0" applyAlignment="0">
      <alignment horizontal="center"/>
    </xf>
    <xf numFmtId="0" fontId="142" fillId="106" borderId="0" applyNumberFormat="0" applyFont="0" applyBorder="0" applyAlignment="0">
      <alignment horizontal="center"/>
    </xf>
    <xf numFmtId="183" fontId="142" fillId="106" borderId="0" applyNumberFormat="0" applyFont="0" applyBorder="0" applyAlignment="0">
      <alignment horizontal="center"/>
    </xf>
    <xf numFmtId="184" fontId="142" fillId="106" borderId="0" applyNumberFormat="0" applyFont="0" applyBorder="0" applyAlignment="0">
      <alignment horizontal="center"/>
    </xf>
    <xf numFmtId="184" fontId="142"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2" fillId="106" borderId="0" applyNumberFormat="0" applyFont="0" applyBorder="0" applyAlignment="0">
      <alignment horizontal="center"/>
    </xf>
    <xf numFmtId="184" fontId="142" fillId="106" borderId="0" applyNumberFormat="0" applyFont="0" applyBorder="0" applyAlignment="0">
      <alignment horizontal="center"/>
    </xf>
    <xf numFmtId="205" fontId="143" fillId="0" borderId="0" applyNumberFormat="0" applyFill="0" applyBorder="0" applyAlignment="0" applyProtection="0">
      <alignment horizontal="left"/>
    </xf>
    <xf numFmtId="205" fontId="143"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2" applyNumberFormat="0" applyProtection="0">
      <alignment vertical="center"/>
    </xf>
    <xf numFmtId="4" fontId="23" fillId="25" borderId="32" applyNumberFormat="0" applyProtection="0">
      <alignment vertical="center"/>
    </xf>
    <xf numFmtId="0" fontId="21" fillId="0" borderId="0"/>
    <xf numFmtId="184" fontId="21" fillId="0" borderId="0"/>
    <xf numFmtId="4" fontId="23" fillId="25" borderId="32" applyNumberFormat="0" applyProtection="0">
      <alignment vertical="center"/>
    </xf>
    <xf numFmtId="184" fontId="21" fillId="0" borderId="0"/>
    <xf numFmtId="4" fontId="43" fillId="25" borderId="1"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0" fontId="5" fillId="0" borderId="0"/>
    <xf numFmtId="183" fontId="5" fillId="0" borderId="0"/>
    <xf numFmtId="184" fontId="5" fillId="0" borderId="0"/>
    <xf numFmtId="184" fontId="5" fillId="0" borderId="0"/>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4" fillId="107" borderId="32" applyNumberFormat="0" applyProtection="0">
      <alignment vertical="center"/>
    </xf>
    <xf numFmtId="184" fontId="21" fillId="0" borderId="0"/>
    <xf numFmtId="4" fontId="45" fillId="25" borderId="1"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0" fontId="5" fillId="0" borderId="0"/>
    <xf numFmtId="183" fontId="5" fillId="0" borderId="0"/>
    <xf numFmtId="184" fontId="5" fillId="0" borderId="0"/>
    <xf numFmtId="184" fontId="5" fillId="0" borderId="0"/>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144" fillId="107" borderId="32"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5"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21" fillId="0" borderId="0"/>
    <xf numFmtId="184" fontId="21" fillId="0" borderId="0"/>
    <xf numFmtId="4" fontId="23" fillId="107" borderId="32" applyNumberFormat="0" applyProtection="0">
      <alignment horizontal="left" vertical="center" indent="1"/>
    </xf>
    <xf numFmtId="184" fontId="21" fillId="0" borderId="0"/>
    <xf numFmtId="4" fontId="43" fillId="25" borderId="1"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3" fillId="25" borderId="1" applyNumberFormat="0" applyProtection="0">
      <alignment horizontal="left" vertical="top" indent="1"/>
    </xf>
    <xf numFmtId="0" fontId="21" fillId="0" borderId="0"/>
    <xf numFmtId="184" fontId="21" fillId="0" borderId="0"/>
    <xf numFmtId="187"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21" fillId="0" borderId="0"/>
    <xf numFmtId="182" fontId="145"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3" fontId="145" fillId="25" borderId="1" applyNumberFormat="0" applyProtection="0">
      <alignment horizontal="left" vertical="top" indent="1"/>
    </xf>
    <xf numFmtId="183"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5" fillId="25" borderId="1" applyNumberFormat="0" applyProtection="0">
      <alignment horizontal="left" vertical="top" indent="1"/>
    </xf>
    <xf numFmtId="184" fontId="145" fillId="25" borderId="1" applyNumberFormat="0" applyProtection="0">
      <alignment horizontal="left" vertical="top" indent="1"/>
    </xf>
    <xf numFmtId="184" fontId="145"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43"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21" fillId="0" borderId="0"/>
    <xf numFmtId="184" fontId="21" fillId="0" borderId="0"/>
    <xf numFmtId="4" fontId="23" fillId="2" borderId="32" applyNumberFormat="0" applyProtection="0">
      <alignment horizontal="right" vertical="center"/>
    </xf>
    <xf numFmtId="4" fontId="23" fillId="2" borderId="32" applyNumberFormat="0" applyProtection="0">
      <alignment horizontal="right" vertical="center"/>
    </xf>
    <xf numFmtId="0" fontId="21" fillId="0" borderId="0"/>
    <xf numFmtId="184" fontId="21" fillId="0" borderId="0"/>
    <xf numFmtId="4" fontId="23" fillId="2" borderId="32" applyNumberFormat="0" applyProtection="0">
      <alignment horizontal="right" vertical="center"/>
    </xf>
    <xf numFmtId="184" fontId="21" fillId="0" borderId="0"/>
    <xf numFmtId="4" fontId="41" fillId="2" borderId="1"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2" applyNumberFormat="0" applyProtection="0">
      <alignment horizontal="right" vertical="center"/>
    </xf>
    <xf numFmtId="4" fontId="23" fillId="108" borderId="32" applyNumberFormat="0" applyProtection="0">
      <alignment horizontal="right" vertical="center"/>
    </xf>
    <xf numFmtId="0" fontId="21" fillId="0" borderId="0"/>
    <xf numFmtId="184" fontId="21" fillId="0" borderId="0"/>
    <xf numFmtId="4" fontId="23" fillId="108" borderId="32" applyNumberFormat="0" applyProtection="0">
      <alignment horizontal="right" vertical="center"/>
    </xf>
    <xf numFmtId="184" fontId="21" fillId="0" borderId="0"/>
    <xf numFmtId="4" fontId="41" fillId="4" borderId="1"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1" applyNumberFormat="0" applyProtection="0">
      <alignment horizontal="right" vertical="center"/>
    </xf>
    <xf numFmtId="4" fontId="23" fillId="11" borderId="51" applyNumberFormat="0" applyProtection="0">
      <alignment horizontal="right" vertical="center"/>
    </xf>
    <xf numFmtId="0" fontId="21" fillId="0" borderId="0"/>
    <xf numFmtId="184" fontId="21" fillId="0" borderId="0"/>
    <xf numFmtId="184" fontId="21" fillId="0" borderId="0"/>
    <xf numFmtId="4" fontId="41" fillId="11" borderId="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2" applyNumberFormat="0" applyProtection="0">
      <alignment horizontal="right" vertical="center"/>
    </xf>
    <xf numFmtId="4" fontId="23" fillId="6" borderId="32" applyNumberFormat="0" applyProtection="0">
      <alignment horizontal="right" vertical="center"/>
    </xf>
    <xf numFmtId="0" fontId="21" fillId="0" borderId="0"/>
    <xf numFmtId="184" fontId="21" fillId="0" borderId="0"/>
    <xf numFmtId="4" fontId="23" fillId="6" borderId="32" applyNumberFormat="0" applyProtection="0">
      <alignment horizontal="right" vertical="center"/>
    </xf>
    <xf numFmtId="184" fontId="21" fillId="0" borderId="0"/>
    <xf numFmtId="4" fontId="41" fillId="6" borderId="1"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2" applyNumberFormat="0" applyProtection="0">
      <alignment horizontal="right" vertical="center"/>
    </xf>
    <xf numFmtId="4" fontId="23" fillId="7" borderId="32" applyNumberFormat="0" applyProtection="0">
      <alignment horizontal="right" vertical="center"/>
    </xf>
    <xf numFmtId="0" fontId="21" fillId="0" borderId="0"/>
    <xf numFmtId="184" fontId="21" fillId="0" borderId="0"/>
    <xf numFmtId="4" fontId="23" fillId="7" borderId="32" applyNumberFormat="0" applyProtection="0">
      <alignment horizontal="right" vertical="center"/>
    </xf>
    <xf numFmtId="184" fontId="21" fillId="0" borderId="0"/>
    <xf numFmtId="4" fontId="41" fillId="7" borderId="1"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2" applyNumberFormat="0" applyProtection="0">
      <alignment horizontal="right" vertical="center"/>
    </xf>
    <xf numFmtId="4" fontId="23" fillId="19" borderId="32" applyNumberFormat="0" applyProtection="0">
      <alignment horizontal="right" vertical="center"/>
    </xf>
    <xf numFmtId="0" fontId="21" fillId="0" borderId="0"/>
    <xf numFmtId="184" fontId="21" fillId="0" borderId="0"/>
    <xf numFmtId="4" fontId="23" fillId="19" borderId="32" applyNumberFormat="0" applyProtection="0">
      <alignment horizontal="right" vertical="center"/>
    </xf>
    <xf numFmtId="184" fontId="21" fillId="0" borderId="0"/>
    <xf numFmtId="4" fontId="41" fillId="19" borderId="1"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2" applyNumberFormat="0" applyProtection="0">
      <alignment horizontal="right" vertical="center"/>
    </xf>
    <xf numFmtId="4" fontId="23" fillId="15" borderId="32" applyNumberFormat="0" applyProtection="0">
      <alignment horizontal="right" vertical="center"/>
    </xf>
    <xf numFmtId="0" fontId="21" fillId="0" borderId="0"/>
    <xf numFmtId="184" fontId="21" fillId="0" borderId="0"/>
    <xf numFmtId="4" fontId="23" fillId="15" borderId="32" applyNumberFormat="0" applyProtection="0">
      <alignment horizontal="right" vertical="center"/>
    </xf>
    <xf numFmtId="184" fontId="21" fillId="0" borderId="0"/>
    <xf numFmtId="4" fontId="41" fillId="15" borderId="1"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2" applyNumberFormat="0" applyProtection="0">
      <alignment horizontal="right" vertical="center"/>
    </xf>
    <xf numFmtId="4" fontId="23" fillId="28" borderId="32" applyNumberFormat="0" applyProtection="0">
      <alignment horizontal="right" vertical="center"/>
    </xf>
    <xf numFmtId="0" fontId="21" fillId="0" borderId="0"/>
    <xf numFmtId="184" fontId="21" fillId="0" borderId="0"/>
    <xf numFmtId="4" fontId="23" fillId="28" borderId="32" applyNumberFormat="0" applyProtection="0">
      <alignment horizontal="right" vertical="center"/>
    </xf>
    <xf numFmtId="184" fontId="21" fillId="0" borderId="0"/>
    <xf numFmtId="4" fontId="41" fillId="28" borderId="1"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2" applyNumberFormat="0" applyProtection="0">
      <alignment horizontal="right" vertical="center"/>
    </xf>
    <xf numFmtId="4" fontId="23" fillId="5" borderId="32" applyNumberFormat="0" applyProtection="0">
      <alignment horizontal="right" vertical="center"/>
    </xf>
    <xf numFmtId="0" fontId="21" fillId="0" borderId="0"/>
    <xf numFmtId="184" fontId="21" fillId="0" borderId="0"/>
    <xf numFmtId="4" fontId="23" fillId="5" borderId="32" applyNumberFormat="0" applyProtection="0">
      <alignment horizontal="right" vertical="center"/>
    </xf>
    <xf numFmtId="184" fontId="21" fillId="0" borderId="0"/>
    <xf numFmtId="4" fontId="41" fillId="5" borderId="1"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0" fontId="21" fillId="0" borderId="0"/>
    <xf numFmtId="184" fontId="21" fillId="0" borderId="0"/>
    <xf numFmtId="184" fontId="21" fillId="0" borderId="0"/>
    <xf numFmtId="4" fontId="43" fillId="29" borderId="2"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43"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1" fillId="30"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31"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6"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2" applyNumberFormat="0" applyProtection="0">
      <alignment horizontal="right" vertical="center"/>
    </xf>
    <xf numFmtId="4" fontId="23" fillId="27" borderId="32" applyNumberFormat="0" applyProtection="0">
      <alignment horizontal="right" vertical="center"/>
    </xf>
    <xf numFmtId="0" fontId="21" fillId="0" borderId="0"/>
    <xf numFmtId="184" fontId="21" fillId="0" borderId="0"/>
    <xf numFmtId="4" fontId="23" fillId="27" borderId="32" applyNumberFormat="0" applyProtection="0">
      <alignment horizontal="right" vertical="center"/>
    </xf>
    <xf numFmtId="184" fontId="21" fillId="0" borderId="0"/>
    <xf numFmtId="4" fontId="41" fillId="27" borderId="1"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0" fontId="21" fillId="0" borderId="0"/>
    <xf numFmtId="184" fontId="21" fillId="0" borderId="0"/>
    <xf numFmtId="184" fontId="21" fillId="0" borderId="0"/>
    <xf numFmtId="4" fontId="41" fillId="30" borderId="0"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0" fontId="21" fillId="0" borderId="0"/>
    <xf numFmtId="184" fontId="21" fillId="0" borderId="0"/>
    <xf numFmtId="184" fontId="21" fillId="0" borderId="0"/>
    <xf numFmtId="4" fontId="41" fillId="27" borderId="0"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1" fillId="0" borderId="0"/>
    <xf numFmtId="182" fontId="23" fillId="75" borderId="32"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1" fillId="0" borderId="0"/>
    <xf numFmtId="182" fontId="23" fillId="109" borderId="32"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1" fillId="0" borderId="0"/>
    <xf numFmtId="182" fontId="23" fillId="3" borderId="32"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1" fillId="0" borderId="0"/>
    <xf numFmtId="182" fontId="23" fillId="30" borderId="32"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2" applyNumberFormat="0">
      <protection locked="0"/>
    </xf>
    <xf numFmtId="184" fontId="23" fillId="32" borderId="52"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2" applyNumberFormat="0">
      <protection locked="0"/>
    </xf>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2" applyNumberFormat="0">
      <protection locked="0"/>
    </xf>
    <xf numFmtId="0" fontId="23" fillId="32" borderId="52" applyNumberFormat="0">
      <protection locked="0"/>
    </xf>
    <xf numFmtId="0" fontId="23" fillId="32" borderId="52"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184" fontId="23" fillId="32" borderId="52" applyNumberFormat="0">
      <protection locked="0"/>
    </xf>
    <xf numFmtId="182" fontId="146" fillId="31" borderId="53" applyBorder="0"/>
    <xf numFmtId="184" fontId="146" fillId="31" borderId="53" applyBorder="0"/>
    <xf numFmtId="182" fontId="146" fillId="31" borderId="53" applyBorder="0"/>
    <xf numFmtId="0"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185"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6" fillId="31" borderId="53" applyBorder="0"/>
    <xf numFmtId="184" fontId="146" fillId="31" borderId="53" applyBorder="0"/>
    <xf numFmtId="184" fontId="146" fillId="31" borderId="53" applyBorder="0"/>
    <xf numFmtId="0"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185"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185"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6" fillId="31" borderId="53" applyBorder="0"/>
    <xf numFmtId="184" fontId="146" fillId="31" borderId="53" applyBorder="0"/>
    <xf numFmtId="184" fontId="146" fillId="31" borderId="53" applyBorder="0"/>
    <xf numFmtId="183"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6" fillId="31" borderId="53" applyBorder="0"/>
    <xf numFmtId="184" fontId="146" fillId="31" borderId="53" applyBorder="0"/>
    <xf numFmtId="184" fontId="146" fillId="31" borderId="53" applyBorder="0"/>
    <xf numFmtId="0" fontId="146" fillId="31" borderId="53" applyBorder="0"/>
    <xf numFmtId="183" fontId="146" fillId="31" borderId="53" applyBorder="0"/>
    <xf numFmtId="183"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184" fontId="146"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6" fillId="31" borderId="53" applyBorder="0"/>
    <xf numFmtId="187" fontId="146" fillId="31" borderId="53" applyBorder="0"/>
    <xf numFmtId="184" fontId="146" fillId="31" borderId="53" applyBorder="0"/>
    <xf numFmtId="184" fontId="146" fillId="31" borderId="53" applyBorder="0"/>
    <xf numFmtId="0" fontId="146" fillId="31" borderId="53" applyBorder="0"/>
    <xf numFmtId="184" fontId="146" fillId="31" borderId="53" applyBorder="0"/>
    <xf numFmtId="0" fontId="21" fillId="0" borderId="0"/>
    <xf numFmtId="184" fontId="21" fillId="0" borderId="0"/>
    <xf numFmtId="0" fontId="21" fillId="0" borderId="0"/>
    <xf numFmtId="184" fontId="21" fillId="0" borderId="0"/>
    <xf numFmtId="4" fontId="138" fillId="26" borderId="1" applyNumberFormat="0" applyProtection="0">
      <alignment vertical="center"/>
    </xf>
    <xf numFmtId="184" fontId="21" fillId="0" borderId="0"/>
    <xf numFmtId="4" fontId="41"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4" fontId="138" fillId="26" borderId="1" applyNumberFormat="0" applyProtection="0">
      <alignment vertical="center"/>
    </xf>
    <xf numFmtId="0" fontId="5" fillId="0" borderId="0"/>
    <xf numFmtId="183" fontId="5" fillId="0" borderId="0"/>
    <xf numFmtId="184" fontId="5" fillId="0" borderId="0"/>
    <xf numFmtId="184" fontId="5" fillId="0" borderId="0"/>
    <xf numFmtId="4" fontId="138"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7" fillId="26" borderId="1" applyNumberFormat="0" applyProtection="0">
      <alignment vertical="center"/>
    </xf>
    <xf numFmtId="4" fontId="144" fillId="102" borderId="3" applyNumberFormat="0" applyProtection="0">
      <alignment vertical="center"/>
    </xf>
    <xf numFmtId="4" fontId="144" fillId="102" borderId="3" applyNumberFormat="0" applyProtection="0">
      <alignment vertical="center"/>
    </xf>
    <xf numFmtId="0" fontId="5" fillId="0" borderId="0"/>
    <xf numFmtId="183" fontId="5" fillId="0" borderId="0"/>
    <xf numFmtId="184" fontId="5" fillId="0" borderId="0"/>
    <xf numFmtId="184" fontId="5" fillId="0" borderId="0"/>
    <xf numFmtId="4" fontId="47" fillId="26" borderId="1" applyNumberFormat="0" applyProtection="0">
      <alignment vertical="center"/>
    </xf>
    <xf numFmtId="4" fontId="47"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8" fillId="75" borderId="1" applyNumberFormat="0" applyProtection="0">
      <alignment horizontal="left" vertical="center" indent="1"/>
    </xf>
    <xf numFmtId="184" fontId="21" fillId="0" borderId="0"/>
    <xf numFmtId="4" fontId="41" fillId="26"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4" fontId="138"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8" fillId="75"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1" fillId="26" borderId="1" applyNumberFormat="0" applyProtection="0">
      <alignment horizontal="left" vertical="top" indent="1"/>
    </xf>
    <xf numFmtId="0" fontId="21" fillId="0" borderId="0"/>
    <xf numFmtId="184" fontId="21" fillId="0" borderId="0"/>
    <xf numFmtId="187"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21" fillId="0" borderId="0"/>
    <xf numFmtId="182" fontId="138"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3" fontId="138" fillId="26" borderId="1" applyNumberFormat="0" applyProtection="0">
      <alignment horizontal="left" vertical="top" indent="1"/>
    </xf>
    <xf numFmtId="183"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8" fillId="26" borderId="1" applyNumberFormat="0" applyProtection="0">
      <alignment horizontal="left" vertical="top" indent="1"/>
    </xf>
    <xf numFmtId="184" fontId="138" fillId="26" borderId="1" applyNumberFormat="0" applyProtection="0">
      <alignment horizontal="left" vertical="top" indent="1"/>
    </xf>
    <xf numFmtId="184" fontId="138"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30" borderId="1"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144" fillId="110" borderId="32" applyNumberFormat="0" applyProtection="0">
      <alignment horizontal="right" vertical="center"/>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1" fillId="27" borderId="1" applyNumberFormat="0" applyProtection="0">
      <alignment horizontal="left" vertical="top" indent="1"/>
    </xf>
    <xf numFmtId="0" fontId="21" fillId="0" borderId="0"/>
    <xf numFmtId="184" fontId="21" fillId="0" borderId="0"/>
    <xf numFmtId="187"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21" fillId="0" borderId="0"/>
    <xf numFmtId="182" fontId="138"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3" fontId="138" fillId="27" borderId="1" applyNumberFormat="0" applyProtection="0">
      <alignment horizontal="left" vertical="top" indent="1"/>
    </xf>
    <xf numFmtId="183"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8" fillId="27" borderId="1" applyNumberFormat="0" applyProtection="0">
      <alignment horizontal="left" vertical="top" indent="1"/>
    </xf>
    <xf numFmtId="184" fontId="138" fillId="27" borderId="1" applyNumberFormat="0" applyProtection="0">
      <alignment horizontal="left" vertical="top" indent="1"/>
    </xf>
    <xf numFmtId="184" fontId="138"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8" fillId="33" borderId="0"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147" fillId="33" borderId="51" applyNumberFormat="0" applyProtection="0">
      <alignment horizontal="left" vertical="center" indent="1"/>
    </xf>
    <xf numFmtId="4" fontId="48"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8" fillId="32" borderId="32" applyNumberFormat="0" applyProtection="0">
      <alignment horizontal="right" vertical="center"/>
    </xf>
    <xf numFmtId="184" fontId="21" fillId="0" borderId="0"/>
    <xf numFmtId="4" fontId="42" fillId="30" borderId="1"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0" fontId="5" fillId="0" borderId="0"/>
    <xf numFmtId="183" fontId="5" fillId="0" borderId="0"/>
    <xf numFmtId="184" fontId="5" fillId="0" borderId="0"/>
    <xf numFmtId="184" fontId="5" fillId="0" borderId="0"/>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148" fillId="32" borderId="32"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5"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3"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0"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7" fontId="142" fillId="1" borderId="9" applyNumberFormat="0" applyFont="0" applyAlignment="0">
      <alignment horizontal="center"/>
    </xf>
    <xf numFmtId="184" fontId="142" fillId="1" borderId="9" applyNumberFormat="0" applyFont="0" applyAlignment="0">
      <alignment horizontal="center"/>
    </xf>
    <xf numFmtId="184" fontId="142" fillId="1" borderId="9" applyNumberFormat="0" applyFont="0" applyAlignment="0">
      <alignment horizontal="center"/>
    </xf>
    <xf numFmtId="182"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149" fillId="0" borderId="0" applyNumberFormat="0" applyFill="0" applyBorder="0" applyAlignment="0">
      <alignment horizontal="center"/>
    </xf>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5"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183"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9" fillId="0" borderId="0" applyNumberFormat="0" applyFill="0" applyBorder="0" applyAlignment="0">
      <alignment horizontal="center"/>
    </xf>
    <xf numFmtId="0" fontId="149" fillId="0" borderId="0" applyNumberFormat="0" applyFill="0" applyBorder="0" applyAlignment="0">
      <alignment horizontal="center"/>
    </xf>
    <xf numFmtId="183" fontId="149" fillId="0" borderId="0" applyNumberFormat="0" applyFill="0" applyBorder="0" applyAlignment="0">
      <alignment horizontal="center"/>
    </xf>
    <xf numFmtId="184" fontId="149" fillId="0" borderId="0" applyNumberFormat="0" applyFill="0" applyBorder="0" applyAlignment="0">
      <alignment horizontal="center"/>
    </xf>
    <xf numFmtId="184" fontId="149"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9" fillId="0" borderId="0" applyNumberFormat="0" applyFill="0" applyBorder="0" applyAlignment="0">
      <alignment horizontal="center"/>
    </xf>
    <xf numFmtId="184" fontId="149" fillId="0" borderId="0" applyNumberFormat="0" applyFill="0" applyBorder="0" applyAlignment="0">
      <alignment horizontal="center"/>
    </xf>
    <xf numFmtId="183" fontId="150" fillId="0" borderId="0">
      <alignment horizontal="right"/>
    </xf>
    <xf numFmtId="183" fontId="150" fillId="0" borderId="0">
      <alignment horizontal="right"/>
    </xf>
    <xf numFmtId="184" fontId="150"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51" fillId="0" borderId="0" applyBorder="0">
      <alignment horizontal="right"/>
    </xf>
    <xf numFmtId="40" fontId="151"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2" fillId="0" borderId="0">
      <alignment horizontal="left"/>
    </xf>
    <xf numFmtId="49" fontId="152"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3" fillId="112" borderId="0" applyNumberFormat="0" applyBorder="0" applyAlignment="0" applyProtection="0">
      <protection locked="0"/>
    </xf>
    <xf numFmtId="183" fontId="153" fillId="112" borderId="0" applyNumberFormat="0" applyBorder="0" applyAlignment="0" applyProtection="0">
      <protection locked="0"/>
    </xf>
    <xf numFmtId="184" fontId="153"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3" fillId="112" borderId="0" applyNumberFormat="0" applyBorder="0" applyAlignment="0" applyProtection="0">
      <protection locked="0"/>
    </xf>
    <xf numFmtId="0"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49" fillId="0" borderId="0" applyNumberFormat="0" applyFill="0" applyBorder="0" applyAlignment="0" applyProtection="0"/>
    <xf numFmtId="184" fontId="15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154"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15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185"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74" fillId="0" borderId="0" applyNumberFormat="0" applyFill="0" applyBorder="0" applyAlignment="0" applyProtection="0"/>
    <xf numFmtId="183" fontId="74" fillId="0" borderId="0" applyNumberFormat="0" applyFill="0" applyBorder="0" applyAlignment="0" applyProtection="0"/>
    <xf numFmtId="184" fontId="74" fillId="0" borderId="0" applyNumberFormat="0" applyFill="0" applyBorder="0" applyAlignment="0" applyProtection="0"/>
    <xf numFmtId="184" fontId="7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4" fontId="74" fillId="0" borderId="0" applyNumberFormat="0" applyFill="0" applyBorder="0" applyAlignment="0" applyProtection="0"/>
    <xf numFmtId="182" fontId="74" fillId="0" borderId="0" applyNumberFormat="0" applyFill="0" applyBorder="0" applyAlignment="0" applyProtection="0"/>
    <xf numFmtId="182" fontId="52" fillId="0" borderId="28" applyNumberFormat="0" applyFill="0" applyAlignment="0" applyProtection="0"/>
    <xf numFmtId="0"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7"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4" applyNumberFormat="0" applyFill="0" applyAlignment="0" applyProtection="0"/>
    <xf numFmtId="182" fontId="40" fillId="0" borderId="55"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97" fontId="21" fillId="0" borderId="16">
      <protection locked="0"/>
    </xf>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97" fontId="21" fillId="0" borderId="16">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2" fillId="0" borderId="28" applyNumberFormat="0" applyFill="0" applyAlignment="0" applyProtection="0"/>
    <xf numFmtId="184" fontId="52" fillId="0" borderId="28"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52" fillId="0" borderId="28"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5" fillId="0" borderId="42" applyProtection="0"/>
    <xf numFmtId="3" fontId="155" fillId="0" borderId="42"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182" fontId="157"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7"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6" fillId="0" borderId="0" applyNumberFormat="0" applyFill="0" applyBorder="0" applyAlignment="0" applyProtection="0"/>
    <xf numFmtId="0"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185"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86" fillId="0" borderId="0" applyNumberFormat="0" applyFill="0" applyBorder="0" applyAlignment="0" applyProtection="0"/>
    <xf numFmtId="183"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185" fontId="156" fillId="0" borderId="0" applyNumberFormat="0" applyFill="0" applyBorder="0" applyAlignment="0" applyProtection="0"/>
    <xf numFmtId="183" fontId="156" fillId="0" borderId="0" applyNumberFormat="0" applyFill="0" applyBorder="0" applyAlignment="0" applyProtection="0"/>
    <xf numFmtId="184" fontId="156" fillId="0" borderId="0" applyNumberFormat="0" applyFill="0" applyBorder="0" applyAlignment="0" applyProtection="0"/>
    <xf numFmtId="184" fontId="156"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6" fillId="0" borderId="0" applyNumberFormat="0" applyFill="0" applyBorder="0" applyAlignment="0" applyProtection="0"/>
    <xf numFmtId="0" fontId="86" fillId="0" borderId="0" applyNumberFormat="0" applyFill="0" applyBorder="0" applyAlignment="0" applyProtection="0"/>
    <xf numFmtId="184" fontId="86" fillId="0" borderId="0" applyNumberFormat="0" applyFill="0" applyBorder="0" applyAlignment="0" applyProtection="0"/>
    <xf numFmtId="184" fontId="86" fillId="0" borderId="0" applyNumberFormat="0" applyFill="0" applyBorder="0" applyAlignment="0" applyProtection="0"/>
    <xf numFmtId="182" fontId="86" fillId="0" borderId="0" applyNumberFormat="0" applyFill="0" applyBorder="0" applyAlignment="0" applyProtection="0"/>
    <xf numFmtId="9" fontId="158" fillId="110" borderId="56" applyNumberFormat="0" applyFill="0" applyBorder="0" applyAlignment="0" applyProtection="0">
      <alignment horizontal="center"/>
      <protection locked="0"/>
    </xf>
    <xf numFmtId="9" fontId="158" fillId="110" borderId="56"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99" fillId="0" borderId="0" applyNumberFormat="0" applyFont="0" applyFill="0" applyBorder="0" applyProtection="0">
      <alignment wrapText="1"/>
    </xf>
    <xf numFmtId="190" fontId="99"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7" applyNumberFormat="0" applyFont="0" applyAlignment="0" applyProtection="0"/>
    <xf numFmtId="0" fontId="2" fillId="0" borderId="0"/>
    <xf numFmtId="43" fontId="2" fillId="0" borderId="0" applyFont="0" applyFill="0" applyBorder="0" applyAlignment="0" applyProtection="0"/>
    <xf numFmtId="41" fontId="17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514">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0" fontId="24"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24" fillId="0" borderId="0" xfId="0" applyFont="1" applyAlignment="1">
      <alignment horizontal="left" indent="1"/>
    </xf>
    <xf numFmtId="0" fontId="0" fillId="0" borderId="0" xfId="0" applyFill="1"/>
    <xf numFmtId="0" fontId="24" fillId="0" borderId="0" xfId="0" applyFont="1" applyFill="1"/>
    <xf numFmtId="0" fontId="0" fillId="0" borderId="0" xfId="0" applyAlignment="1">
      <alignment horizontal="left" indent="1"/>
    </xf>
    <xf numFmtId="0" fontId="24" fillId="0" borderId="0" xfId="28" applyFont="1"/>
    <xf numFmtId="0" fontId="24" fillId="0" borderId="0" xfId="28" applyFont="1" applyBorder="1" applyAlignment="1"/>
    <xf numFmtId="0" fontId="24" fillId="0" borderId="0" xfId="28" applyFont="1" applyBorder="1"/>
    <xf numFmtId="0" fontId="24" fillId="0" borderId="0" xfId="28" applyFont="1" applyBorder="1" applyAlignment="1">
      <alignment horizontal="left"/>
    </xf>
    <xf numFmtId="0" fontId="24" fillId="0" borderId="0" xfId="28" applyNumberFormat="1" applyFont="1" applyFill="1" applyBorder="1" applyAlignment="1">
      <alignment horizontal="left"/>
    </xf>
    <xf numFmtId="0" fontId="22" fillId="0" borderId="0" xfId="28" applyNumberFormat="1" applyFont="1" applyFill="1" applyBorder="1" applyAlignment="1">
      <alignment horizontal="left"/>
    </xf>
    <xf numFmtId="3" fontId="24" fillId="0" borderId="0" xfId="28" applyNumberFormat="1" applyFont="1" applyFill="1" applyBorder="1" applyAlignment="1"/>
    <xf numFmtId="1" fontId="24" fillId="0" borderId="0" xfId="28" applyNumberFormat="1" applyFont="1" applyFill="1" applyBorder="1" applyAlignment="1">
      <alignment horizontal="center"/>
    </xf>
    <xf numFmtId="0" fontId="25" fillId="0" borderId="0" xfId="28" applyFont="1" applyBorder="1" applyAlignment="1">
      <alignment horizontal="center"/>
    </xf>
    <xf numFmtId="0" fontId="22" fillId="0" borderId="0" xfId="28" applyFont="1" applyAlignment="1">
      <alignment horizontal="center"/>
    </xf>
    <xf numFmtId="167" fontId="24" fillId="0" borderId="0" xfId="28" applyNumberFormat="1" applyFont="1" applyFill="1" applyBorder="1" applyAlignment="1">
      <alignment horizontal="right"/>
    </xf>
    <xf numFmtId="167" fontId="24" fillId="0" borderId="0" xfId="20" applyNumberFormat="1" applyFont="1" applyFill="1" applyBorder="1" applyAlignment="1">
      <alignment horizontal="right"/>
    </xf>
    <xf numFmtId="0" fontId="25" fillId="0" borderId="0" xfId="28" applyFont="1" applyFill="1" applyBorder="1" applyAlignment="1">
      <alignment horizontal="center"/>
    </xf>
    <xf numFmtId="3" fontId="24" fillId="0" borderId="0" xfId="28" applyNumberFormat="1" applyFont="1" applyFill="1" applyBorder="1" applyAlignment="1">
      <alignment horizontal="left" indent="1"/>
    </xf>
    <xf numFmtId="0" fontId="25" fillId="0" borderId="0" xfId="28" applyFont="1" applyAlignment="1">
      <alignment horizontal="center"/>
    </xf>
    <xf numFmtId="0" fontId="24" fillId="0" borderId="0" xfId="28" applyFont="1" applyBorder="1" applyAlignment="1">
      <alignment horizontal="right"/>
    </xf>
    <xf numFmtId="164" fontId="24" fillId="0" borderId="0" xfId="20" applyNumberFormat="1" applyFont="1" applyFill="1" applyBorder="1" applyAlignment="1">
      <alignment horizontal="right"/>
    </xf>
    <xf numFmtId="0" fontId="24" fillId="0" borderId="0" xfId="28" applyNumberFormat="1" applyFont="1" applyFill="1" applyBorder="1" applyAlignment="1">
      <alignment horizontal="right"/>
    </xf>
    <xf numFmtId="167" fontId="24" fillId="0" borderId="0" xfId="28" quotePrefix="1" applyNumberFormat="1" applyFont="1" applyFill="1" applyBorder="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0" fontId="26" fillId="35" borderId="0" xfId="0" applyFont="1" applyFill="1" applyBorder="1"/>
    <xf numFmtId="0" fontId="27" fillId="35" borderId="0" xfId="0" applyFont="1" applyFill="1" applyBorder="1"/>
    <xf numFmtId="0" fontId="22" fillId="0" borderId="0" xfId="0" applyFont="1" applyFill="1" applyBorder="1"/>
    <xf numFmtId="0" fontId="24" fillId="0" borderId="0" xfId="0" applyFont="1" applyFill="1" applyBorder="1"/>
    <xf numFmtId="10" fontId="0" fillId="0" borderId="0" xfId="0" applyNumberFormat="1"/>
    <xf numFmtId="0" fontId="0" fillId="34" borderId="0" xfId="0" applyFill="1"/>
    <xf numFmtId="0" fontId="22" fillId="0" borderId="0" xfId="0" applyFont="1" applyFill="1"/>
    <xf numFmtId="0" fontId="28" fillId="0" borderId="0" xfId="0" applyFont="1" applyFill="1"/>
    <xf numFmtId="0" fontId="24" fillId="0" borderId="0" xfId="0" applyFont="1" applyFill="1" applyAlignment="1">
      <alignment horizontal="left" indent="1"/>
    </xf>
    <xf numFmtId="164" fontId="24" fillId="0" borderId="0" xfId="0" applyNumberFormat="1" applyFont="1" applyFill="1"/>
    <xf numFmtId="165" fontId="24" fillId="0" borderId="0" xfId="0" applyNumberFormat="1" applyFont="1" applyFill="1"/>
    <xf numFmtId="165" fontId="28" fillId="0" borderId="0" xfId="0" applyNumberFormat="1" applyFont="1" applyFill="1"/>
    <xf numFmtId="0" fontId="24" fillId="0" borderId="0" xfId="0" applyFont="1" applyAlignment="1">
      <alignment horizontal="left"/>
    </xf>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9" fillId="0" borderId="0" xfId="0" applyNumberFormat="1" applyFont="1"/>
    <xf numFmtId="164" fontId="28" fillId="0" borderId="0" xfId="0" applyNumberFormat="1" applyFont="1" applyAlignment="1">
      <alignment horizontal="right"/>
    </xf>
    <xf numFmtId="164" fontId="24" fillId="0" borderId="0" xfId="0" applyNumberFormat="1" applyFont="1" applyAlignment="1">
      <alignment horizontal="right"/>
    </xf>
    <xf numFmtId="0" fontId="0" fillId="0" borderId="0" xfId="0" applyBorder="1"/>
    <xf numFmtId="0" fontId="0" fillId="0" borderId="0" xfId="0" applyAlignment="1">
      <alignment horizontal="center"/>
    </xf>
    <xf numFmtId="0" fontId="25" fillId="0" borderId="0" xfId="0" applyFont="1" applyBorder="1" applyAlignment="1">
      <alignment horizontal="center"/>
    </xf>
    <xf numFmtId="164" fontId="0" fillId="0" borderId="0" xfId="0" applyNumberFormat="1" applyFill="1"/>
    <xf numFmtId="3" fontId="24" fillId="0" borderId="0" xfId="0" applyNumberFormat="1" applyFont="1" applyFill="1"/>
    <xf numFmtId="0" fontId="0" fillId="0" borderId="0" xfId="0" applyAlignment="1">
      <alignment horizontal="left"/>
    </xf>
    <xf numFmtId="0" fontId="24" fillId="0" borderId="0" xfId="0" applyFont="1" applyFill="1" applyBorder="1" applyAlignment="1">
      <alignment horizontal="left"/>
    </xf>
    <xf numFmtId="165" fontId="0" fillId="0" borderId="0" xfId="0" applyNumberFormat="1" applyFill="1"/>
    <xf numFmtId="0" fontId="22" fillId="0" borderId="0" xfId="0" applyFont="1" applyAlignment="1">
      <alignment horizontal="right"/>
    </xf>
    <xf numFmtId="0" fontId="24" fillId="0" borderId="0" xfId="0" quotePrefix="1" applyFont="1" applyFill="1" applyAlignment="1">
      <alignment horizontal="left" indent="1"/>
    </xf>
    <xf numFmtId="0" fontId="22" fillId="0" borderId="0" xfId="0" applyFont="1" applyAlignment="1">
      <alignment horizontal="left" indent="1"/>
    </xf>
    <xf numFmtId="166" fontId="0" fillId="0" borderId="0" xfId="0" applyNumberFormat="1"/>
    <xf numFmtId="0" fontId="24" fillId="0" borderId="0" xfId="0" applyFont="1" applyFill="1" applyBorder="1" applyAlignment="1">
      <alignment vertical="top"/>
    </xf>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xf numFmtId="0" fontId="28" fillId="0" borderId="0" xfId="0" applyFont="1" applyAlignment="1">
      <alignment horizontal="left"/>
    </xf>
    <xf numFmtId="0" fontId="24"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9" fillId="0" borderId="0" xfId="0" applyNumberFormat="1" applyFont="1"/>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Font="1" applyFill="1" applyBorder="1" applyAlignment="1">
      <alignment horizontal="right"/>
    </xf>
    <xf numFmtId="0" fontId="24" fillId="0" borderId="0" xfId="0" applyFont="1" applyBorder="1" applyAlignment="1">
      <alignment vertical="top"/>
    </xf>
    <xf numFmtId="0" fontId="24" fillId="0" borderId="0" xfId="0" applyFont="1" applyAlignment="1">
      <alignment horizontal="center"/>
    </xf>
    <xf numFmtId="172" fontId="0" fillId="34" borderId="0" xfId="0" applyNumberFormat="1" applyFill="1"/>
    <xf numFmtId="164" fontId="24" fillId="0" borderId="0" xfId="0" applyNumberFormat="1" applyFont="1" applyAlignment="1">
      <alignment horizontal="center"/>
    </xf>
    <xf numFmtId="0" fontId="22" fillId="0" borderId="0" xfId="0" applyFont="1" applyAlignment="1">
      <alignment wrapText="1"/>
    </xf>
    <xf numFmtId="164" fontId="28" fillId="0" borderId="0" xfId="0" applyNumberFormat="1" applyFont="1"/>
    <xf numFmtId="173" fontId="0" fillId="0" borderId="0" xfId="0" applyNumberFormat="1"/>
    <xf numFmtId="169" fontId="0" fillId="0" borderId="0" xfId="0" applyNumberFormat="1"/>
    <xf numFmtId="0" fontId="24" fillId="0" borderId="0" xfId="0" applyFont="1" applyAlignment="1">
      <alignment horizontal="right"/>
    </xf>
    <xf numFmtId="0" fontId="24" fillId="36" borderId="0" xfId="0" applyFont="1" applyFill="1" applyAlignment="1">
      <alignment horizontal="left" indent="1"/>
    </xf>
    <xf numFmtId="0" fontId="24"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164" fontId="24" fillId="0" borderId="0" xfId="0" applyNumberFormat="1" applyFont="1"/>
    <xf numFmtId="164" fontId="29" fillId="0" borderId="0" xfId="0" applyNumberFormat="1" applyFont="1" applyFill="1"/>
    <xf numFmtId="0" fontId="22" fillId="0" borderId="0" xfId="0" applyFont="1" applyAlignment="1">
      <alignment horizontal="left" indent="3"/>
    </xf>
    <xf numFmtId="164" fontId="24" fillId="0" borderId="0" xfId="0" quotePrefix="1" applyNumberFormat="1" applyFont="1" applyFill="1" applyAlignment="1">
      <alignment horizontal="right"/>
    </xf>
    <xf numFmtId="164" fontId="24" fillId="0" borderId="0" xfId="0" applyNumberFormat="1" applyFont="1" applyFill="1" applyAlignment="1">
      <alignment horizontal="right"/>
    </xf>
    <xf numFmtId="0" fontId="24" fillId="0" borderId="0" xfId="0" applyFont="1" applyFill="1" applyAlignment="1">
      <alignment horizontal="center"/>
    </xf>
    <xf numFmtId="164" fontId="0" fillId="36" borderId="0" xfId="0" applyNumberFormat="1" applyFill="1"/>
    <xf numFmtId="164" fontId="28" fillId="34" borderId="0" xfId="0" applyNumberFormat="1" applyFont="1" applyFill="1"/>
    <xf numFmtId="0" fontId="24" fillId="0" borderId="0" xfId="0" applyFont="1" applyFill="1" applyAlignment="1">
      <alignment horizontal="left"/>
    </xf>
    <xf numFmtId="0" fontId="22" fillId="0" borderId="0" xfId="0" applyFont="1" applyFill="1" applyAlignment="1">
      <alignment horizontal="center"/>
    </xf>
    <xf numFmtId="164" fontId="28" fillId="0" borderId="0" xfId="0" applyNumberFormat="1" applyFont="1" applyFill="1"/>
    <xf numFmtId="3" fontId="0" fillId="0" borderId="0" xfId="0" applyNumberFormat="1" applyFill="1"/>
    <xf numFmtId="0" fontId="0" fillId="0" borderId="0" xfId="0" applyFill="1" applyAlignment="1">
      <alignment horizontal="left" indent="1"/>
    </xf>
    <xf numFmtId="0" fontId="24" fillId="0" borderId="0" xfId="0" quotePrefix="1" applyFont="1" applyAlignment="1">
      <alignment horizontal="left" indent="1"/>
    </xf>
    <xf numFmtId="0" fontId="24" fillId="36" borderId="0" xfId="0" applyFont="1" applyFill="1"/>
    <xf numFmtId="164" fontId="28" fillId="36" borderId="0" xfId="0" applyNumberFormat="1" applyFont="1" applyFill="1"/>
    <xf numFmtId="166" fontId="24" fillId="0" borderId="0" xfId="0" applyNumberFormat="1" applyFont="1" applyAlignment="1">
      <alignment horizontal="left" indent="1"/>
    </xf>
    <xf numFmtId="0" fontId="28" fillId="0" borderId="0" xfId="0" applyFont="1" applyAlignment="1">
      <alignment horizontal="center"/>
    </xf>
    <xf numFmtId="0" fontId="0" fillId="37" borderId="0" xfId="0" applyFill="1"/>
    <xf numFmtId="0" fontId="25" fillId="0" borderId="0" xfId="0" applyFont="1" applyFill="1" applyBorder="1" applyAlignment="1">
      <alignment horizontal="center"/>
    </xf>
    <xf numFmtId="0" fontId="26" fillId="0" borderId="0" xfId="0" applyFont="1" applyFill="1" applyBorder="1"/>
    <xf numFmtId="0" fontId="27" fillId="0" borderId="0" xfId="0" applyFont="1" applyFill="1" applyBorder="1"/>
    <xf numFmtId="0" fontId="25" fillId="0" borderId="0" xfId="0" applyFont="1" applyFill="1" applyAlignment="1">
      <alignment horizontal="center"/>
    </xf>
    <xf numFmtId="168" fontId="24" fillId="0" borderId="0" xfId="0" applyNumberFormat="1" applyFont="1"/>
    <xf numFmtId="0" fontId="32" fillId="0" borderId="0" xfId="34" applyFont="1"/>
    <xf numFmtId="167" fontId="32" fillId="0" borderId="0" xfId="19" applyNumberFormat="1" applyFont="1" applyBorder="1"/>
    <xf numFmtId="0" fontId="32" fillId="0" borderId="0" xfId="34" applyFont="1" applyBorder="1" applyAlignment="1">
      <alignment horizontal="left"/>
    </xf>
    <xf numFmtId="0" fontId="32" fillId="0" borderId="0" xfId="34" applyFont="1" applyBorder="1"/>
    <xf numFmtId="10" fontId="32" fillId="0" borderId="0" xfId="37" applyNumberFormat="1" applyFont="1" applyBorder="1" applyAlignment="1">
      <alignment horizontal="left" indent="3"/>
    </xf>
    <xf numFmtId="0" fontId="32" fillId="0" borderId="0" xfId="34" applyFont="1" applyBorder="1" applyAlignment="1">
      <alignment horizontal="right" wrapText="1"/>
    </xf>
    <xf numFmtId="42" fontId="32" fillId="0" borderId="0" xfId="34" applyNumberFormat="1" applyFont="1"/>
    <xf numFmtId="175" fontId="32" fillId="0" borderId="0" xfId="34" applyNumberFormat="1" applyFont="1"/>
    <xf numFmtId="0" fontId="33" fillId="0" borderId="0" xfId="34" applyFont="1"/>
    <xf numFmtId="0" fontId="33" fillId="0" borderId="0" xfId="34" applyFont="1" applyBorder="1" applyAlignment="1">
      <alignment vertical="center" wrapText="1"/>
    </xf>
    <xf numFmtId="42" fontId="33" fillId="0" borderId="0" xfId="19" applyNumberFormat="1" applyFont="1" applyBorder="1" applyAlignment="1">
      <alignment vertical="center"/>
    </xf>
    <xf numFmtId="171" fontId="33" fillId="0" borderId="0" xfId="37" applyNumberFormat="1" applyFont="1" applyBorder="1" applyAlignment="1">
      <alignment horizontal="center" vertical="center"/>
    </xf>
    <xf numFmtId="164" fontId="32" fillId="0" borderId="0" xfId="19" applyNumberFormat="1" applyFont="1" applyBorder="1"/>
    <xf numFmtId="3" fontId="24" fillId="0" borderId="0" xfId="0" applyNumberFormat="1" applyFont="1"/>
    <xf numFmtId="0" fontId="32" fillId="0" borderId="0" xfId="28" applyFont="1"/>
    <xf numFmtId="164" fontId="0" fillId="0" borderId="0" xfId="0" applyNumberFormat="1" applyAlignment="1">
      <alignment horizontal="right" indent="1"/>
    </xf>
    <xf numFmtId="164" fontId="0" fillId="0" borderId="0" xfId="0" applyNumberFormat="1" applyAlignment="1"/>
    <xf numFmtId="165" fontId="34" fillId="0" borderId="0" xfId="0" applyNumberFormat="1" applyFont="1"/>
    <xf numFmtId="165" fontId="35" fillId="0" borderId="0" xfId="0" applyNumberFormat="1" applyFont="1"/>
    <xf numFmtId="166" fontId="0" fillId="0" borderId="0" xfId="0" applyNumberFormat="1" applyFill="1"/>
    <xf numFmtId="166" fontId="24" fillId="0" borderId="0" xfId="0" applyNumberFormat="1" applyFont="1" applyFill="1" applyAlignment="1">
      <alignment horizontal="left" indent="1"/>
    </xf>
    <xf numFmtId="1" fontId="24" fillId="36" borderId="0" xfId="28" applyNumberFormat="1" applyFont="1" applyFill="1" applyBorder="1" applyAlignment="1">
      <alignment horizontal="center"/>
    </xf>
    <xf numFmtId="165" fontId="24"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5" fontId="28" fillId="0" borderId="0" xfId="0" applyNumberFormat="1" applyFont="1"/>
    <xf numFmtId="164" fontId="24" fillId="36" borderId="0" xfId="19" applyNumberFormat="1" applyFont="1" applyFill="1" applyBorder="1"/>
    <xf numFmtId="164" fontId="24" fillId="0" borderId="0" xfId="19" applyNumberFormat="1" applyFont="1" applyBorder="1"/>
    <xf numFmtId="164" fontId="28" fillId="36" borderId="0" xfId="19" applyNumberFormat="1" applyFont="1" applyFill="1" applyBorder="1"/>
    <xf numFmtId="164" fontId="24" fillId="0" borderId="0" xfId="0" applyNumberFormat="1" applyFont="1" applyAlignment="1">
      <alignment horizontal="left" indent="1"/>
    </xf>
    <xf numFmtId="164" fontId="24" fillId="0" borderId="0" xfId="19" applyNumberFormat="1" applyFont="1" applyBorder="1" applyAlignment="1">
      <alignment horizontal="left" indent="1"/>
    </xf>
    <xf numFmtId="10" fontId="24" fillId="0" borderId="0" xfId="37" applyNumberFormat="1" applyFont="1" applyBorder="1" applyAlignment="1">
      <alignment horizontal="center"/>
    </xf>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applyBorder="1"/>
    <xf numFmtId="0" fontId="24" fillId="0" borderId="0" xfId="34" applyFont="1" applyBorder="1" applyAlignment="1">
      <alignment horizontal="left" indent="2"/>
    </xf>
    <xf numFmtId="0" fontId="22" fillId="0" borderId="0" xfId="34" applyFont="1" applyBorder="1" applyAlignment="1">
      <alignment horizontal="left"/>
    </xf>
    <xf numFmtId="0" fontId="22" fillId="0" borderId="0" xfId="34" applyFont="1" applyBorder="1" applyAlignment="1">
      <alignment horizontal="left" wrapText="1"/>
    </xf>
    <xf numFmtId="0" fontId="24" fillId="0" borderId="0" xfId="34" applyFont="1" applyBorder="1" applyAlignment="1">
      <alignment horizontal="left" wrapText="1"/>
    </xf>
    <xf numFmtId="0" fontId="22" fillId="0" borderId="0" xfId="34" applyFont="1" applyBorder="1" applyAlignment="1">
      <alignment vertical="center" wrapText="1"/>
    </xf>
    <xf numFmtId="0" fontId="22" fillId="0" borderId="0" xfId="34" applyFont="1"/>
    <xf numFmtId="0" fontId="22" fillId="0" borderId="0" xfId="34" applyFont="1" applyAlignment="1">
      <alignment horizontal="center"/>
    </xf>
    <xf numFmtId="0" fontId="24" fillId="0" borderId="0" xfId="34" applyFont="1"/>
    <xf numFmtId="0" fontId="24" fillId="36" borderId="0" xfId="34" applyFont="1" applyFill="1"/>
    <xf numFmtId="0" fontId="25" fillId="0" borderId="0" xfId="34" applyFont="1" applyFill="1" applyAlignment="1">
      <alignment horizontal="center"/>
    </xf>
    <xf numFmtId="167" fontId="24" fillId="0" borderId="0" xfId="19" applyNumberFormat="1" applyFont="1" applyBorder="1"/>
    <xf numFmtId="171" fontId="24" fillId="0" borderId="0" xfId="37" applyNumberFormat="1" applyFont="1" applyBorder="1" applyAlignment="1">
      <alignment horizontal="left" indent="3"/>
    </xf>
    <xf numFmtId="0" fontId="24" fillId="0" borderId="0" xfId="34" applyFont="1" applyBorder="1" applyAlignment="1">
      <alignment horizontal="left"/>
    </xf>
    <xf numFmtId="41" fontId="24" fillId="0" borderId="0" xfId="19" applyNumberFormat="1" applyFont="1" applyBorder="1"/>
    <xf numFmtId="41" fontId="24" fillId="0" borderId="0" xfId="34" applyNumberFormat="1" applyFont="1" applyBorder="1"/>
    <xf numFmtId="10" fontId="24" fillId="0" borderId="0" xfId="34" applyNumberFormat="1" applyFont="1" applyBorder="1" applyAlignment="1">
      <alignment horizontal="center"/>
    </xf>
    <xf numFmtId="10" fontId="24" fillId="0" borderId="0" xfId="37" applyNumberFormat="1" applyFont="1" applyFill="1" applyBorder="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Font="1" applyBorder="1" applyAlignment="1">
      <alignment horizontal="right" wrapText="1"/>
    </xf>
    <xf numFmtId="0" fontId="22" fillId="0" borderId="0" xfId="34" applyFont="1" applyBorder="1" applyAlignment="1">
      <alignment horizontal="left" vertical="center" wrapText="1"/>
    </xf>
    <xf numFmtId="0" fontId="53" fillId="36" borderId="0" xfId="34" applyFont="1" applyFill="1"/>
    <xf numFmtId="0" fontId="24" fillId="36" borderId="0" xfId="0" applyFont="1" applyFill="1" applyAlignment="1"/>
    <xf numFmtId="0" fontId="24" fillId="0" borderId="0" xfId="0" quotePrefix="1" applyFont="1" applyAlignment="1">
      <alignment horizontal="center" vertical="justify"/>
    </xf>
    <xf numFmtId="0" fontId="22" fillId="36" borderId="0" xfId="0" applyFont="1" applyFill="1" applyAlignment="1">
      <alignment horizontal="center"/>
    </xf>
    <xf numFmtId="0" fontId="25" fillId="36" borderId="0" xfId="0" applyFont="1" applyFill="1" applyAlignment="1">
      <alignment horizontal="center"/>
    </xf>
    <xf numFmtId="0" fontId="22" fillId="0" borderId="0" xfId="28" applyFont="1" applyFill="1" applyBorder="1" applyAlignment="1">
      <alignment horizontal="left"/>
    </xf>
    <xf numFmtId="0" fontId="22" fillId="0" borderId="0" xfId="0" applyFont="1" applyBorder="1" applyAlignment="1">
      <alignment horizontal="center"/>
    </xf>
    <xf numFmtId="0" fontId="22" fillId="0" borderId="3" xfId="0" applyFont="1" applyBorder="1" applyAlignment="1">
      <alignment horizontal="center"/>
    </xf>
    <xf numFmtId="0" fontId="22" fillId="0" borderId="3" xfId="0" applyFont="1" applyFill="1" applyBorder="1" applyAlignment="1">
      <alignment horizontal="center"/>
    </xf>
    <xf numFmtId="0" fontId="22" fillId="0" borderId="3" xfId="0" applyNumberFormat="1" applyFont="1" applyBorder="1" applyAlignment="1">
      <alignment horizontal="center" wrapText="1"/>
    </xf>
    <xf numFmtId="0" fontId="22" fillId="0" borderId="3" xfId="0" applyNumberFormat="1" applyFont="1" applyFill="1" applyBorder="1" applyAlignment="1">
      <alignment wrapText="1"/>
    </xf>
    <xf numFmtId="0" fontId="22" fillId="0" borderId="3" xfId="0" applyNumberFormat="1" applyFont="1" applyBorder="1" applyAlignment="1">
      <alignment wrapText="1"/>
    </xf>
    <xf numFmtId="0" fontId="22" fillId="0" borderId="3" xfId="0" applyFont="1" applyFill="1" applyBorder="1" applyAlignment="1">
      <alignment horizontal="center" wrapText="1"/>
    </xf>
    <xf numFmtId="0" fontId="22" fillId="0" borderId="3" xfId="0" applyFont="1" applyBorder="1" applyAlignment="1">
      <alignment horizontal="center" wrapText="1"/>
    </xf>
    <xf numFmtId="0" fontId="24" fillId="0" borderId="3" xfId="0" quotePrefix="1" applyNumberFormat="1" applyFont="1" applyFill="1" applyBorder="1" applyAlignment="1">
      <alignment horizontal="center"/>
    </xf>
    <xf numFmtId="0" fontId="24" fillId="0" borderId="3" xfId="0" quotePrefix="1" applyNumberFormat="1" applyFont="1" applyFill="1" applyBorder="1" applyAlignment="1">
      <alignment horizontal="left"/>
    </xf>
    <xf numFmtId="0" fontId="24" fillId="0" borderId="3" xfId="0" quotePrefix="1" applyNumberFormat="1" applyFont="1" applyFill="1" applyBorder="1"/>
    <xf numFmtId="0" fontId="24" fillId="0" borderId="3" xfId="0" applyFont="1" applyFill="1" applyBorder="1" applyAlignment="1">
      <alignment horizontal="center"/>
    </xf>
    <xf numFmtId="37" fontId="24" fillId="0" borderId="3" xfId="0" applyNumberFormat="1" applyFont="1" applyFill="1" applyBorder="1" applyAlignment="1">
      <alignment horizontal="center"/>
    </xf>
    <xf numFmtId="0" fontId="24" fillId="0" borderId="3" xfId="0" quotePrefix="1" applyNumberFormat="1" applyFont="1" applyBorder="1" applyAlignment="1">
      <alignment horizontal="center"/>
    </xf>
    <xf numFmtId="0" fontId="24" fillId="0" borderId="3" xfId="0" quotePrefix="1" applyNumberFormat="1" applyFont="1" applyBorder="1"/>
    <xf numFmtId="0" fontId="24" fillId="0" borderId="3" xfId="0" applyFont="1" applyBorder="1" applyAlignment="1">
      <alignment horizontal="center"/>
    </xf>
    <xf numFmtId="0" fontId="22" fillId="0" borderId="0" xfId="0" quotePrefix="1" applyNumberFormat="1" applyFont="1" applyBorder="1" applyAlignment="1">
      <alignment horizontal="center"/>
    </xf>
    <xf numFmtId="0" fontId="22" fillId="0" borderId="0" xfId="0" applyNumberFormat="1" applyFont="1" applyFill="1" applyBorder="1"/>
    <xf numFmtId="0" fontId="22" fillId="0" borderId="0" xfId="0" quotePrefix="1" applyNumberFormat="1" applyFont="1" applyBorder="1"/>
    <xf numFmtId="0" fontId="22" fillId="0" borderId="0" xfId="0" quotePrefix="1" applyNumberFormat="1" applyFont="1" applyFill="1" applyBorder="1"/>
    <xf numFmtId="37" fontId="24" fillId="0" borderId="0" xfId="0" applyNumberFormat="1" applyFont="1" applyFill="1" applyBorder="1" applyAlignment="1">
      <alignment horizontal="center"/>
    </xf>
    <xf numFmtId="0" fontId="24" fillId="0" borderId="0" xfId="0" applyFont="1" applyBorder="1" applyAlignment="1">
      <alignment horizontal="center"/>
    </xf>
    <xf numFmtId="0" fontId="24" fillId="0" borderId="0" xfId="0" quotePrefix="1" applyNumberFormat="1" applyFont="1" applyBorder="1" applyAlignment="1">
      <alignment horizontal="center"/>
    </xf>
    <xf numFmtId="0" fontId="24" fillId="0" borderId="3" xfId="0" applyFont="1" applyFill="1" applyBorder="1"/>
    <xf numFmtId="37" fontId="22" fillId="0" borderId="0" xfId="0" applyNumberFormat="1" applyFont="1" applyFill="1" applyBorder="1" applyAlignment="1">
      <alignment horizontal="center"/>
    </xf>
    <xf numFmtId="0" fontId="24" fillId="0" borderId="3" xfId="0" quotePrefix="1" applyNumberFormat="1" applyFont="1" applyBorder="1" applyAlignment="1">
      <alignment horizontal="left"/>
    </xf>
    <xf numFmtId="0" fontId="24" fillId="0" borderId="3" xfId="0" applyNumberFormat="1" applyFont="1" applyFill="1" applyBorder="1"/>
    <xf numFmtId="0" fontId="24" fillId="0" borderId="3" xfId="0" applyNumberFormat="1" applyFont="1" applyFill="1" applyBorder="1" applyAlignment="1">
      <alignment horizontal="left"/>
    </xf>
    <xf numFmtId="39" fontId="24" fillId="0" borderId="0" xfId="19" applyNumberFormat="1" applyFont="1" applyBorder="1" applyAlignment="1">
      <alignment horizontal="center"/>
    </xf>
    <xf numFmtId="0" fontId="24" fillId="0" borderId="0" xfId="0" applyFont="1" applyFill="1" applyBorder="1" applyAlignment="1">
      <alignment horizontal="center"/>
    </xf>
    <xf numFmtId="39" fontId="24" fillId="0" borderId="0" xfId="19" applyNumberFormat="1" applyFont="1" applyFill="1" applyBorder="1" applyAlignment="1">
      <alignment horizontal="center"/>
    </xf>
    <xf numFmtId="0" fontId="24" fillId="0" borderId="0" xfId="0" applyFont="1" applyBorder="1"/>
    <xf numFmtId="0" fontId="22" fillId="0" borderId="3" xfId="0" applyNumberFormat="1" applyFont="1" applyFill="1" applyBorder="1" applyAlignment="1">
      <alignment horizontal="right"/>
    </xf>
    <xf numFmtId="0" fontId="24" fillId="0" borderId="0" xfId="0" quotePrefix="1" applyNumberFormat="1" applyFont="1" applyBorder="1"/>
    <xf numFmtId="0" fontId="24" fillId="0" borderId="0" xfId="0" quotePrefix="1" applyNumberFormat="1" applyFont="1" applyFill="1" applyBorder="1"/>
    <xf numFmtId="164" fontId="24" fillId="0" borderId="0" xfId="19" applyNumberFormat="1" applyFont="1" applyBorder="1" applyAlignment="1">
      <alignment horizontal="right"/>
    </xf>
    <xf numFmtId="0" fontId="28" fillId="0" borderId="0" xfId="0" applyFont="1" applyBorder="1" applyAlignment="1">
      <alignment horizontal="center"/>
    </xf>
    <xf numFmtId="49" fontId="24" fillId="0" borderId="0" xfId="19" applyNumberFormat="1" applyFont="1" applyBorder="1" applyAlignment="1">
      <alignment horizontal="left" indent="1"/>
    </xf>
    <xf numFmtId="0" fontId="54" fillId="0" borderId="0" xfId="0" applyFont="1"/>
    <xf numFmtId="0" fontId="54" fillId="0" borderId="0" xfId="0" applyFont="1" applyAlignment="1">
      <alignment horizontal="right"/>
    </xf>
    <xf numFmtId="164" fontId="54" fillId="0" borderId="0" xfId="0" applyNumberFormat="1" applyFont="1"/>
    <xf numFmtId="0" fontId="55" fillId="0" borderId="0" xfId="0" applyFont="1" applyAlignment="1">
      <alignment horizontal="center"/>
    </xf>
    <xf numFmtId="164" fontId="54" fillId="0" borderId="0" xfId="0" applyNumberFormat="1" applyFont="1" applyFill="1"/>
    <xf numFmtId="164" fontId="54" fillId="36" borderId="0" xfId="0" applyNumberFormat="1" applyFont="1" applyFill="1"/>
    <xf numFmtId="164" fontId="54" fillId="0" borderId="0" xfId="0" applyNumberFormat="1" applyFont="1" applyAlignment="1">
      <alignment horizontal="right"/>
    </xf>
    <xf numFmtId="164" fontId="54" fillId="0" borderId="0" xfId="0" quotePrefix="1" applyNumberFormat="1" applyFont="1" applyAlignment="1">
      <alignment horizontal="center"/>
    </xf>
    <xf numFmtId="0" fontId="54" fillId="0" borderId="0" xfId="0" applyFont="1" applyFill="1"/>
    <xf numFmtId="10" fontId="54" fillId="0" borderId="0" xfId="0" applyNumberFormat="1" applyFont="1" applyFill="1"/>
    <xf numFmtId="0" fontId="52" fillId="0" borderId="0" xfId="0" applyFont="1" applyAlignment="1">
      <alignment horizontal="center"/>
    </xf>
    <xf numFmtId="0" fontId="57" fillId="0" borderId="0" xfId="0" applyFont="1" applyAlignment="1">
      <alignment horizontal="center"/>
    </xf>
    <xf numFmtId="166" fontId="54" fillId="0" borderId="0" xfId="0" applyNumberFormat="1" applyFont="1"/>
    <xf numFmtId="164" fontId="54" fillId="34" borderId="0" xfId="0" applyNumberFormat="1" applyFont="1" applyFill="1"/>
    <xf numFmtId="0" fontId="54" fillId="0" borderId="0" xfId="0" applyFont="1" applyAlignment="1">
      <alignment horizontal="left" indent="1"/>
    </xf>
    <xf numFmtId="165" fontId="54" fillId="0" borderId="0" xfId="0" applyNumberFormat="1" applyFont="1"/>
    <xf numFmtId="0" fontId="54"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ont="1" applyFill="1"/>
    <xf numFmtId="0" fontId="22" fillId="0" borderId="0" xfId="28" applyFont="1" applyFill="1" applyBorder="1" applyAlignment="1">
      <alignment horizontal="left" vertical="center"/>
    </xf>
    <xf numFmtId="0" fontId="22" fillId="0" borderId="0" xfId="28" applyFont="1" applyFill="1" applyBorder="1" applyAlignment="1">
      <alignment horizontal="center" vertical="center" wrapText="1"/>
    </xf>
    <xf numFmtId="0" fontId="22" fillId="0" borderId="0" xfId="28" applyFont="1" applyFill="1" applyBorder="1" applyAlignment="1">
      <alignment horizontal="center" vertical="center"/>
    </xf>
    <xf numFmtId="0" fontId="22" fillId="0" borderId="0" xfId="28" applyFont="1" applyFill="1" applyBorder="1" applyAlignment="1">
      <alignment horizontal="center"/>
    </xf>
    <xf numFmtId="0" fontId="22" fillId="0" borderId="0" xfId="28" applyFont="1" applyBorder="1" applyAlignment="1">
      <alignment horizontal="center" vertical="center" wrapText="1"/>
    </xf>
    <xf numFmtId="0" fontId="24" fillId="0" borderId="0" xfId="28" applyFont="1" applyFill="1" applyBorder="1" applyAlignment="1">
      <alignment horizontal="left" vertical="center" indent="1"/>
    </xf>
    <xf numFmtId="164" fontId="24" fillId="0" borderId="0" xfId="28" applyNumberFormat="1" applyFont="1" applyFill="1" applyBorder="1" applyAlignment="1">
      <alignment horizontal="right" vertical="center" wrapText="1"/>
    </xf>
    <xf numFmtId="164" fontId="24" fillId="0" borderId="0" xfId="20" applyNumberFormat="1" applyFont="1" applyFill="1"/>
    <xf numFmtId="164" fontId="24" fillId="0" borderId="0" xfId="28" applyNumberFormat="1" applyFont="1" applyFill="1" applyBorder="1" applyAlignment="1">
      <alignment horizontal="right"/>
    </xf>
    <xf numFmtId="164" fontId="28" fillId="0" borderId="0" xfId="28" applyNumberFormat="1" applyFont="1" applyFill="1" applyBorder="1" applyAlignment="1">
      <alignment horizontal="right" vertical="center" wrapText="1"/>
    </xf>
    <xf numFmtId="164" fontId="28" fillId="0" borderId="0" xfId="20" applyNumberFormat="1" applyFont="1" applyFill="1"/>
    <xf numFmtId="164" fontId="28" fillId="0" borderId="0" xfId="28" applyNumberFormat="1" applyFont="1" applyFill="1" applyBorder="1" applyAlignment="1">
      <alignment horizontal="right"/>
    </xf>
    <xf numFmtId="164" fontId="24" fillId="0" borderId="0" xfId="28" applyNumberFormat="1" applyFont="1" applyFill="1" applyAlignment="1">
      <alignment vertical="center"/>
    </xf>
    <xf numFmtId="0" fontId="24" fillId="0" borderId="0" xfId="28" applyFont="1" applyFill="1"/>
    <xf numFmtId="41" fontId="24" fillId="0" borderId="0" xfId="20" applyNumberFormat="1" applyFont="1" applyFill="1"/>
    <xf numFmtId="41" fontId="24" fillId="0" borderId="0" xfId="28" applyNumberFormat="1" applyFont="1" applyFill="1"/>
    <xf numFmtId="41" fontId="24" fillId="0" borderId="0" xfId="20" applyNumberFormat="1" applyFont="1"/>
    <xf numFmtId="41" fontId="24" fillId="0" borderId="0" xfId="20" applyNumberFormat="1" applyFont="1" applyAlignment="1" applyProtection="1">
      <alignment horizontal="right" indent="2"/>
    </xf>
    <xf numFmtId="0" fontId="22" fillId="0" borderId="0" xfId="28" applyFont="1" applyFill="1"/>
    <xf numFmtId="0" fontId="24" fillId="0" borderId="0" xfId="28" applyFont="1" applyFill="1" applyAlignment="1">
      <alignment horizontal="left" wrapText="1" indent="1"/>
    </xf>
    <xf numFmtId="164" fontId="24" fillId="0" borderId="0" xfId="28" applyNumberFormat="1" applyFont="1" applyFill="1"/>
    <xf numFmtId="41" fontId="36" fillId="0" borderId="0" xfId="20" applyNumberFormat="1" applyFont="1" applyFill="1"/>
    <xf numFmtId="164" fontId="36" fillId="0" borderId="0" xfId="20" applyNumberFormat="1" applyFont="1" applyFill="1"/>
    <xf numFmtId="42" fontId="36" fillId="0" borderId="0" xfId="28" applyNumberFormat="1" applyFont="1"/>
    <xf numFmtId="42" fontId="24" fillId="0" borderId="0" xfId="28" applyNumberFormat="1" applyFont="1"/>
    <xf numFmtId="42" fontId="24" fillId="0" borderId="0" xfId="20" applyNumberFormat="1" applyFont="1" applyBorder="1"/>
    <xf numFmtId="42" fontId="24" fillId="0" borderId="0" xfId="28" applyNumberFormat="1" applyFont="1" applyBorder="1"/>
    <xf numFmtId="164" fontId="24" fillId="0" borderId="0" xfId="20" applyNumberFormat="1" applyFont="1" applyBorder="1"/>
    <xf numFmtId="43" fontId="24" fillId="0" borderId="0" xfId="28" applyNumberFormat="1" applyFont="1"/>
    <xf numFmtId="41" fontId="24" fillId="0" borderId="0" xfId="28" applyNumberFormat="1" applyFont="1"/>
    <xf numFmtId="0" fontId="22" fillId="0" borderId="0" xfId="28" applyFont="1" applyAlignment="1">
      <alignment horizontal="center" wrapText="1"/>
    </xf>
    <xf numFmtId="0" fontId="25" fillId="0" borderId="0" xfId="28" applyFont="1"/>
    <xf numFmtId="164" fontId="24" fillId="0" borderId="0" xfId="28" applyNumberFormat="1" applyFont="1" applyBorder="1"/>
    <xf numFmtId="0" fontId="24" fillId="0" borderId="0" xfId="28" applyFont="1" applyFill="1" applyBorder="1" applyAlignment="1">
      <alignment horizontal="right" vertical="center"/>
    </xf>
    <xf numFmtId="168" fontId="24" fillId="0" borderId="0" xfId="39" applyNumberFormat="1" applyFont="1" applyFill="1" applyBorder="1" applyAlignment="1">
      <alignment vertical="center"/>
    </xf>
    <xf numFmtId="10" fontId="24" fillId="0" borderId="0" xfId="39" applyNumberFormat="1" applyFont="1" applyFill="1" applyBorder="1" applyAlignment="1">
      <alignment vertical="center"/>
    </xf>
    <xf numFmtId="0" fontId="24" fillId="0" borderId="0" xfId="28" applyFont="1" applyFill="1" applyBorder="1"/>
    <xf numFmtId="10" fontId="24" fillId="0" borderId="0" xfId="39" applyNumberFormat="1" applyFont="1" applyFill="1" applyBorder="1"/>
    <xf numFmtId="42" fontId="24" fillId="0" borderId="0" xfId="20" applyNumberFormat="1" applyFont="1" applyFill="1"/>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39" fontId="24" fillId="0" borderId="3" xfId="22" quotePrefix="1" applyNumberFormat="1" applyFont="1" applyFill="1" applyBorder="1" applyAlignment="1">
      <alignment horizontal="center"/>
    </xf>
    <xf numFmtId="176" fontId="22" fillId="0" borderId="3" xfId="22" applyNumberFormat="1"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37" fontId="24" fillId="0" borderId="3" xfId="22" quotePrefix="1" applyNumberFormat="1" applyFont="1" applyFill="1" applyBorder="1" applyAlignment="1">
      <alignment horizontal="center"/>
    </xf>
    <xf numFmtId="39" fontId="24" fillId="0" borderId="0" xfId="22" quotePrefix="1" applyNumberFormat="1" applyFont="1" applyBorder="1" applyAlignment="1">
      <alignment horizontal="center"/>
    </xf>
    <xf numFmtId="176" fontId="24" fillId="0" borderId="0" xfId="22" applyNumberFormat="1" applyFont="1" applyBorder="1" applyAlignment="1">
      <alignment horizontal="center"/>
    </xf>
    <xf numFmtId="0" fontId="24" fillId="0" borderId="3" xfId="22" applyNumberFormat="1" applyFont="1" applyFill="1" applyBorder="1" applyAlignment="1">
      <alignment horizontal="left"/>
    </xf>
    <xf numFmtId="37" fontId="24" fillId="36" borderId="3" xfId="22" quotePrefix="1" applyNumberFormat="1" applyFont="1" applyFill="1" applyBorder="1" applyAlignment="1">
      <alignment horizontal="center"/>
    </xf>
    <xf numFmtId="0" fontId="24" fillId="36" borderId="3" xfId="0" applyFont="1" applyFill="1" applyBorder="1" applyAlignment="1">
      <alignment horizontal="center"/>
    </xf>
    <xf numFmtId="37" fontId="24" fillId="36" borderId="3" xfId="0" applyNumberFormat="1" applyFont="1" applyFill="1" applyBorder="1" applyAlignment="1">
      <alignment horizontal="center"/>
    </xf>
    <xf numFmtId="37" fontId="24" fillId="36" borderId="3" xfId="22" applyNumberFormat="1" applyFont="1" applyFill="1" applyBorder="1" applyAlignment="1">
      <alignment horizontal="center"/>
    </xf>
    <xf numFmtId="39" fontId="24" fillId="36" borderId="3" xfId="22" quotePrefix="1" applyNumberFormat="1" applyFont="1" applyFill="1" applyBorder="1" applyAlignment="1">
      <alignment horizontal="center"/>
    </xf>
    <xf numFmtId="39" fontId="24" fillId="36" borderId="4" xfId="22" quotePrefix="1" applyNumberFormat="1" applyFont="1" applyFill="1" applyBorder="1" applyAlignment="1">
      <alignment horizontal="center"/>
    </xf>
    <xf numFmtId="37" fontId="22" fillId="36" borderId="3" xfId="22" quotePrefix="1" applyNumberFormat="1" applyFont="1" applyFill="1" applyBorder="1" applyAlignment="1">
      <alignment horizontal="center"/>
    </xf>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24" fillId="0" borderId="0" xfId="22" quotePrefix="1" applyNumberFormat="1" applyFont="1" applyFill="1" applyBorder="1" applyAlignment="1">
      <alignment horizontal="center"/>
    </xf>
    <xf numFmtId="39" fontId="53" fillId="0" borderId="0" xfId="22" quotePrefix="1" applyNumberFormat="1" applyFont="1" applyBorder="1" applyAlignment="1">
      <alignment horizontal="center"/>
    </xf>
    <xf numFmtId="39" fontId="24" fillId="0" borderId="3" xfId="22" applyNumberFormat="1" applyFont="1" applyBorder="1" applyAlignment="1">
      <alignment horizontal="center" wrapText="1"/>
    </xf>
    <xf numFmtId="177" fontId="53" fillId="0" borderId="0" xfId="22" applyNumberFormat="1" applyFont="1" applyBorder="1" applyAlignment="1">
      <alignment horizontal="center"/>
    </xf>
    <xf numFmtId="39" fontId="53"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8"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NumberFormat="1" applyFont="1" applyFill="1" applyBorder="1"/>
    <xf numFmtId="0" fontId="22" fillId="37" borderId="0" xfId="0" applyFont="1" applyFill="1" applyBorder="1"/>
    <xf numFmtId="37" fontId="58" fillId="0" borderId="0" xfId="22" quotePrefix="1" applyNumberFormat="1" applyFont="1" applyBorder="1" applyAlignment="1">
      <alignment horizontal="center"/>
    </xf>
    <xf numFmtId="0" fontId="24" fillId="36" borderId="3" xfId="0" quotePrefix="1" applyNumberFormat="1" applyFont="1" applyFill="1" applyBorder="1"/>
    <xf numFmtId="0" fontId="24" fillId="36" borderId="3" xfId="0" quotePrefix="1" applyNumberFormat="1" applyFont="1" applyFill="1" applyBorder="1" applyAlignment="1">
      <alignment horizontal="left"/>
    </xf>
    <xf numFmtId="0" fontId="24" fillId="36" borderId="3" xfId="0" applyNumberFormat="1" applyFont="1" applyFill="1" applyBorder="1"/>
    <xf numFmtId="0" fontId="24" fillId="36" borderId="3" xfId="0" applyNumberFormat="1" applyFont="1" applyFill="1" applyBorder="1" applyAlignment="1">
      <alignment horizontal="left"/>
    </xf>
    <xf numFmtId="0" fontId="24" fillId="36" borderId="3" xfId="0" quotePrefix="1" applyNumberFormat="1" applyFont="1" applyFill="1" applyBorder="1" applyAlignment="1">
      <alignment horizontal="center"/>
    </xf>
    <xf numFmtId="0" fontId="24" fillId="37" borderId="3" xfId="0" applyFont="1" applyFill="1" applyBorder="1" applyAlignment="1">
      <alignment horizontal="center"/>
    </xf>
    <xf numFmtId="0" fontId="24" fillId="37" borderId="3" xfId="0" applyFont="1" applyFill="1" applyBorder="1"/>
    <xf numFmtId="39" fontId="24" fillId="37" borderId="3" xfId="22" applyNumberFormat="1" applyFont="1" applyFill="1" applyBorder="1" applyAlignment="1">
      <alignment horizontal="center"/>
    </xf>
    <xf numFmtId="0" fontId="22" fillId="37" borderId="3" xfId="0" applyFont="1" applyFill="1" applyBorder="1" applyAlignment="1">
      <alignment horizontal="center"/>
    </xf>
    <xf numFmtId="37" fontId="24" fillId="0" borderId="3" xfId="22" applyNumberFormat="1" applyFont="1" applyFill="1" applyBorder="1" applyAlignment="1">
      <alignment horizontal="center"/>
    </xf>
    <xf numFmtId="39" fontId="24" fillId="0" borderId="3" xfId="22" applyNumberFormat="1" applyFont="1" applyFill="1" applyBorder="1" applyAlignment="1">
      <alignment horizontal="center"/>
    </xf>
    <xf numFmtId="49" fontId="24" fillId="0" borderId="0" xfId="22" applyNumberFormat="1" applyFont="1" applyBorder="1" applyAlignment="1">
      <alignment horizontal="left"/>
    </xf>
    <xf numFmtId="39" fontId="24" fillId="0" borderId="3" xfId="22" applyNumberFormat="1" applyFont="1" applyBorder="1" applyAlignment="1">
      <alignment horizontal="right"/>
    </xf>
    <xf numFmtId="10" fontId="24" fillId="0" borderId="3" xfId="38" applyNumberFormat="1" applyFont="1" applyFill="1" applyBorder="1" applyAlignment="1">
      <alignment horizontal="center"/>
    </xf>
    <xf numFmtId="39" fontId="24" fillId="0" borderId="3" xfId="22" quotePrefix="1" applyNumberFormat="1" applyFont="1" applyBorder="1" applyAlignment="1">
      <alignment horizontal="center"/>
    </xf>
    <xf numFmtId="39" fontId="22" fillId="0" borderId="3" xfId="22" applyNumberFormat="1" applyFont="1" applyFill="1" applyBorder="1" applyAlignment="1">
      <alignment horizontal="right" wrapText="1"/>
    </xf>
    <xf numFmtId="0" fontId="24" fillId="37" borderId="3" xfId="0" quotePrefix="1" applyNumberFormat="1" applyFont="1" applyFill="1" applyBorder="1"/>
    <xf numFmtId="0" fontId="24" fillId="36" borderId="6" xfId="0" applyFont="1" applyFill="1" applyBorder="1" applyAlignment="1"/>
    <xf numFmtId="0" fontId="24" fillId="36" borderId="4" xfId="0" applyFont="1" applyFill="1" applyBorder="1" applyAlignment="1"/>
    <xf numFmtId="0" fontId="24" fillId="36" borderId="3" xfId="0" applyFont="1" applyFill="1" applyBorder="1"/>
    <xf numFmtId="39" fontId="24" fillId="36" borderId="3" xfId="22" applyNumberFormat="1" applyFont="1" applyFill="1" applyBorder="1" applyAlignment="1">
      <alignment horizontal="center"/>
    </xf>
    <xf numFmtId="39" fontId="24" fillId="36" borderId="3" xfId="0" applyNumberFormat="1" applyFont="1" applyFill="1" applyBorder="1" applyAlignment="1">
      <alignment horizontal="center"/>
    </xf>
    <xf numFmtId="0" fontId="22" fillId="36" borderId="3" xfId="0" quotePrefix="1" applyNumberFormat="1" applyFont="1" applyFill="1" applyBorder="1"/>
    <xf numFmtId="39" fontId="22" fillId="36" borderId="3" xfId="22" quotePrefix="1" applyNumberFormat="1" applyFont="1" applyFill="1" applyBorder="1" applyAlignment="1">
      <alignment horizontal="center"/>
    </xf>
    <xf numFmtId="0" fontId="22" fillId="36" borderId="3" xfId="0" applyNumberFormat="1"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0" fontId="25" fillId="0" borderId="0" xfId="0" quotePrefix="1" applyFont="1" applyFill="1" applyAlignment="1">
      <alignment horizontal="center"/>
    </xf>
    <xf numFmtId="164" fontId="22" fillId="0" borderId="0" xfId="0" applyNumberFormat="1" applyFont="1" applyFill="1" applyAlignment="1">
      <alignment horizontal="center"/>
    </xf>
    <xf numFmtId="164" fontId="25" fillId="0" borderId="0" xfId="0" applyNumberFormat="1" applyFont="1" applyFill="1" applyAlignment="1">
      <alignment horizontal="center"/>
    </xf>
    <xf numFmtId="164" fontId="25" fillId="36" borderId="0" xfId="0" applyNumberFormat="1" applyFont="1" applyFill="1" applyAlignment="1">
      <alignment horizontal="center"/>
    </xf>
    <xf numFmtId="0" fontId="24" fillId="0" borderId="0" xfId="0" quotePrefix="1" applyFont="1" applyFill="1" applyAlignment="1">
      <alignment horizontal="center"/>
    </xf>
    <xf numFmtId="0" fontId="24" fillId="0" borderId="0" xfId="0" applyFont="1" applyFill="1" applyAlignment="1">
      <alignment horizontal="right"/>
    </xf>
    <xf numFmtId="164" fontId="28" fillId="0" borderId="0" xfId="0" applyNumberFormat="1" applyFont="1" applyFill="1" applyAlignment="1">
      <alignment horizontal="right"/>
    </xf>
    <xf numFmtId="164" fontId="24" fillId="36" borderId="0" xfId="0" applyNumberFormat="1" applyFont="1" applyFill="1" applyAlignment="1">
      <alignment horizontal="right"/>
    </xf>
    <xf numFmtId="10" fontId="54" fillId="0" borderId="0" xfId="0" applyNumberFormat="1" applyFont="1"/>
    <xf numFmtId="164" fontId="59" fillId="0" borderId="0" xfId="0" applyNumberFormat="1" applyFont="1"/>
    <xf numFmtId="0" fontId="56" fillId="0" borderId="0" xfId="0" applyFont="1" applyAlignment="1">
      <alignment horizontal="center"/>
    </xf>
    <xf numFmtId="3" fontId="54" fillId="36" borderId="0" xfId="0" applyNumberFormat="1" applyFont="1" applyFill="1"/>
    <xf numFmtId="0" fontId="52" fillId="0" borderId="0" xfId="0" applyFont="1"/>
    <xf numFmtId="0" fontId="30" fillId="0" borderId="0" xfId="27" applyAlignment="1" applyProtection="1"/>
    <xf numFmtId="0" fontId="28" fillId="0" borderId="0" xfId="0" applyFont="1" applyFill="1" applyAlignment="1">
      <alignment horizontal="center"/>
    </xf>
    <xf numFmtId="168" fontId="24" fillId="0" borderId="0" xfId="0" applyNumberFormat="1" applyFont="1" applyFill="1" applyAlignment="1">
      <alignment horizontal="right"/>
    </xf>
    <xf numFmtId="0" fontId="24" fillId="0" borderId="0" xfId="0" applyFont="1" applyFill="1" applyAlignment="1">
      <alignment horizontal="left" indent="2"/>
    </xf>
    <xf numFmtId="0" fontId="0" fillId="0" borderId="0" xfId="0" applyFill="1" applyAlignment="1">
      <alignment horizontal="left" indent="2"/>
    </xf>
    <xf numFmtId="0" fontId="24" fillId="0" borderId="0" xfId="0" applyFont="1" applyFill="1" applyAlignment="1">
      <alignment horizontal="left" indent="3"/>
    </xf>
    <xf numFmtId="166" fontId="54" fillId="0" borderId="0" xfId="0" quotePrefix="1" applyNumberFormat="1" applyFont="1" applyAlignment="1">
      <alignment horizontal="right"/>
    </xf>
    <xf numFmtId="168" fontId="28" fillId="0" borderId="0" xfId="0" applyNumberFormat="1" applyFont="1"/>
    <xf numFmtId="0" fontId="60" fillId="0" borderId="0" xfId="0" applyFont="1" applyAlignment="1">
      <alignment horizontal="center"/>
    </xf>
    <xf numFmtId="164" fontId="42" fillId="0" borderId="0" xfId="0" applyNumberFormat="1" applyFont="1" applyBorder="1"/>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22" fillId="0" borderId="0" xfId="0" applyFont="1" applyFill="1" applyAlignment="1">
      <alignment horizontal="left"/>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4" fillId="0" borderId="0" xfId="0" applyNumberFormat="1" applyFont="1"/>
    <xf numFmtId="0" fontId="0" fillId="0" borderId="8" xfId="0" applyBorder="1" applyAlignment="1">
      <alignment horizontal="center"/>
    </xf>
    <xf numFmtId="0" fontId="55" fillId="0" borderId="0" xfId="0" applyFont="1"/>
    <xf numFmtId="0" fontId="54" fillId="36" borderId="0" xfId="0" applyFont="1" applyFill="1"/>
    <xf numFmtId="164" fontId="59" fillId="36" borderId="0" xfId="0" applyNumberFormat="1" applyFont="1" applyFill="1"/>
    <xf numFmtId="0" fontId="56" fillId="0" borderId="0" xfId="0" applyFont="1"/>
    <xf numFmtId="0" fontId="22" fillId="36" borderId="0" xfId="0" quotePrefix="1" applyFont="1" applyFill="1" applyAlignment="1">
      <alignment vertical="center"/>
    </xf>
    <xf numFmtId="164" fontId="24" fillId="36" borderId="8" xfId="0" applyNumberFormat="1" applyFont="1" applyFill="1" applyBorder="1"/>
    <xf numFmtId="164" fontId="57" fillId="0" borderId="0" xfId="0" applyNumberFormat="1" applyFont="1" applyAlignment="1">
      <alignment horizontal="center"/>
    </xf>
    <xf numFmtId="165" fontId="21" fillId="0" borderId="0" xfId="0" applyNumberFormat="1" applyFont="1" applyFill="1"/>
    <xf numFmtId="37" fontId="22" fillId="0" borderId="3" xfId="22" applyNumberFormat="1" applyFont="1" applyFill="1" applyBorder="1" applyAlignment="1">
      <alignment horizontal="center"/>
    </xf>
    <xf numFmtId="37" fontId="22" fillId="0" borderId="3" xfId="0" applyNumberFormat="1" applyFont="1" applyBorder="1" applyAlignment="1">
      <alignment horizontal="center"/>
    </xf>
    <xf numFmtId="37" fontId="22" fillId="37" borderId="3" xfId="0" applyNumberFormat="1" applyFont="1" applyFill="1" applyBorder="1" applyAlignment="1">
      <alignment horizontal="center"/>
    </xf>
    <xf numFmtId="164" fontId="24" fillId="0" borderId="0" xfId="19" applyNumberFormat="1" applyFont="1" applyBorder="1" applyAlignment="1">
      <alignment horizontal="center"/>
    </xf>
    <xf numFmtId="37" fontId="22" fillId="0" borderId="0" xfId="0" applyNumberFormat="1" applyFont="1" applyBorder="1" applyAlignment="1">
      <alignment horizontal="center"/>
    </xf>
    <xf numFmtId="164" fontId="28" fillId="36" borderId="0" xfId="0" applyNumberFormat="1" applyFont="1" applyFill="1" applyAlignment="1">
      <alignment horizontal="right"/>
    </xf>
    <xf numFmtId="0" fontId="24" fillId="36" borderId="0" xfId="0" applyFont="1" applyFill="1" applyAlignment="1">
      <alignment horizontal="right"/>
    </xf>
    <xf numFmtId="0" fontId="22" fillId="0" borderId="0" xfId="28" applyFont="1" applyAlignment="1">
      <alignment horizontal="left" vertical="center"/>
    </xf>
    <xf numFmtId="0" fontId="51" fillId="0" borderId="0" xfId="28" applyFont="1" applyFill="1" applyAlignment="1">
      <alignment horizontal="left"/>
    </xf>
    <xf numFmtId="0" fontId="51" fillId="0" borderId="0" xfId="28" applyFont="1" applyFill="1" applyAlignment="1">
      <alignment horizontal="center"/>
    </xf>
    <xf numFmtId="0" fontId="51" fillId="0" borderId="0" xfId="28" applyNumberFormat="1" applyFont="1" applyFill="1" applyAlignment="1">
      <alignment horizontal="center"/>
    </xf>
    <xf numFmtId="0" fontId="51" fillId="0" borderId="0" xfId="28" applyFont="1" applyAlignment="1">
      <alignment horizontal="center"/>
    </xf>
    <xf numFmtId="0" fontId="22" fillId="0" borderId="0" xfId="28" applyFont="1" applyAlignment="1">
      <alignment horizontal="left"/>
    </xf>
    <xf numFmtId="0" fontId="51" fillId="36" borderId="0" xfId="28" applyNumberFormat="1"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22" fillId="0" borderId="0" xfId="28" applyFont="1" applyFill="1" applyAlignment="1">
      <alignment horizontal="center" vertical="top"/>
    </xf>
    <xf numFmtId="0" fontId="22" fillId="0" borderId="0" xfId="28" applyNumberFormat="1" applyFont="1" applyFill="1" applyAlignment="1">
      <alignment horizontal="center" vertical="top"/>
    </xf>
    <xf numFmtId="0" fontId="51" fillId="0" borderId="0" xfId="28" applyFont="1" applyAlignment="1">
      <alignment horizontal="center" vertical="top"/>
    </xf>
    <xf numFmtId="0" fontId="22" fillId="0" borderId="0" xfId="28" applyFont="1" applyAlignment="1"/>
    <xf numFmtId="0" fontId="22" fillId="0" borderId="0" xfId="28" applyFont="1" applyFill="1" applyAlignment="1">
      <alignment horizontal="center"/>
    </xf>
    <xf numFmtId="0" fontId="22" fillId="0" borderId="0" xfId="28" applyNumberFormat="1" applyFont="1" applyFill="1" applyAlignment="1">
      <alignment horizontal="center"/>
    </xf>
    <xf numFmtId="0" fontId="25" fillId="0" borderId="0" xfId="0" quotePrefix="1" applyFont="1" applyAlignment="1">
      <alignment horizontal="center" vertical="top"/>
    </xf>
    <xf numFmtId="0" fontId="25" fillId="0" borderId="0" xfId="0" quotePrefix="1" applyNumberFormat="1" applyFont="1" applyAlignment="1">
      <alignment horizontal="center" vertical="top"/>
    </xf>
    <xf numFmtId="0" fontId="22" fillId="0" borderId="0" xfId="28" applyFont="1" applyAlignment="1">
      <alignment horizontal="center" vertical="center"/>
    </xf>
    <xf numFmtId="0" fontId="22" fillId="0" borderId="0" xfId="28" applyFont="1" applyBorder="1" applyAlignment="1"/>
    <xf numFmtId="0" fontId="22" fillId="0" borderId="6" xfId="28" applyNumberFormat="1" applyFont="1" applyFill="1" applyBorder="1" applyAlignment="1">
      <alignment horizontal="center"/>
    </xf>
    <xf numFmtId="0" fontId="22" fillId="0" borderId="3" xfId="28" applyFont="1" applyBorder="1" applyAlignment="1">
      <alignment horizontal="center"/>
    </xf>
    <xf numFmtId="0" fontId="22" fillId="0" borderId="3" xfId="28" applyNumberFormat="1" applyFont="1" applyBorder="1" applyAlignment="1">
      <alignment horizontal="center"/>
    </xf>
    <xf numFmtId="0" fontId="25" fillId="0" borderId="0" xfId="28" applyFont="1" applyBorder="1" applyAlignment="1"/>
    <xf numFmtId="0" fontId="22" fillId="0" borderId="0" xfId="28" applyFont="1" applyBorder="1" applyAlignment="1">
      <alignment horizontal="center"/>
    </xf>
    <xf numFmtId="0" fontId="22" fillId="0" borderId="0" xfId="28" applyNumberFormat="1" applyFont="1" applyBorder="1" applyAlignment="1">
      <alignment horizontal="center"/>
    </xf>
    <xf numFmtId="167" fontId="36" fillId="0" borderId="0" xfId="28" applyNumberFormat="1" applyFont="1" applyFill="1" applyBorder="1"/>
    <xf numFmtId="0" fontId="22" fillId="0" borderId="0" xfId="28" applyFont="1" applyFill="1" applyBorder="1"/>
    <xf numFmtId="0" fontId="25" fillId="0" borderId="0" xfId="28" applyFont="1" applyBorder="1"/>
    <xf numFmtId="167" fontId="22" fillId="0" borderId="0" xfId="28" applyNumberFormat="1" applyFont="1" applyBorder="1" applyAlignment="1">
      <alignment horizontal="center"/>
    </xf>
    <xf numFmtId="167" fontId="22" fillId="0" borderId="0" xfId="28" applyNumberFormat="1" applyFont="1" applyBorder="1"/>
    <xf numFmtId="0" fontId="22" fillId="0" borderId="0" xfId="28" applyFont="1" applyBorder="1" applyAlignment="1">
      <alignment horizontal="right"/>
    </xf>
    <xf numFmtId="0" fontId="22" fillId="0" borderId="0" xfId="28" applyFont="1" applyFill="1" applyBorder="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167" fontId="22" fillId="0" borderId="0" xfId="22" applyNumberFormat="1" applyFont="1" applyBorder="1"/>
    <xf numFmtId="0" fontId="25" fillId="0" borderId="0" xfId="28" applyFont="1" applyBorder="1" applyAlignment="1">
      <alignment vertical="top" wrapText="1"/>
    </xf>
    <xf numFmtId="0" fontId="54" fillId="34" borderId="0" xfId="0" applyFont="1" applyFill="1"/>
    <xf numFmtId="0" fontId="55" fillId="0" borderId="0" xfId="0" applyFont="1" applyFill="1" applyAlignment="1">
      <alignment horizontal="center"/>
    </xf>
    <xf numFmtId="0" fontId="56" fillId="0" borderId="0" xfId="0" applyFont="1" applyFill="1" applyAlignment="1">
      <alignment horizontal="center"/>
    </xf>
    <xf numFmtId="0" fontId="54" fillId="0" borderId="0" xfId="0" applyFont="1" applyFill="1" applyAlignment="1">
      <alignment horizontal="center"/>
    </xf>
    <xf numFmtId="0" fontId="54" fillId="0" borderId="0" xfId="0" applyFont="1" applyFill="1" applyAlignment="1">
      <alignment horizontal="left" indent="2"/>
    </xf>
    <xf numFmtId="0" fontId="55" fillId="0" borderId="0" xfId="0" applyFont="1" applyAlignment="1">
      <alignment horizontal="left" indent="1"/>
    </xf>
    <xf numFmtId="0" fontId="55" fillId="0" borderId="0" xfId="0" quotePrefix="1" applyFont="1" applyAlignment="1">
      <alignment horizontal="center"/>
    </xf>
    <xf numFmtId="0" fontId="56" fillId="0" borderId="0" xfId="0" quotePrefix="1" applyFont="1" applyAlignment="1">
      <alignment horizontal="center"/>
    </xf>
    <xf numFmtId="164" fontId="59" fillId="0" borderId="0" xfId="0" applyNumberFormat="1" applyFont="1" applyFill="1"/>
    <xf numFmtId="0" fontId="54" fillId="0" borderId="0" xfId="0" quotePrefix="1" applyFont="1"/>
    <xf numFmtId="0" fontId="56" fillId="0" borderId="0" xfId="0" applyFont="1" applyAlignment="1">
      <alignment horizontal="left"/>
    </xf>
    <xf numFmtId="1" fontId="54" fillId="36" borderId="0" xfId="0" applyNumberFormat="1" applyFont="1" applyFill="1"/>
    <xf numFmtId="174" fontId="54" fillId="0" borderId="0" xfId="0" applyNumberFormat="1" applyFont="1"/>
    <xf numFmtId="0" fontId="54" fillId="0" borderId="0" xfId="0" applyFont="1" applyFill="1" applyAlignment="1">
      <alignment horizontal="left" indent="1"/>
    </xf>
    <xf numFmtId="164" fontId="0" fillId="0" borderId="0" xfId="0" quotePrefix="1" applyNumberFormat="1" applyAlignment="1">
      <alignment horizontal="center"/>
    </xf>
    <xf numFmtId="164" fontId="52" fillId="0" borderId="0" xfId="0" applyNumberFormat="1" applyFont="1" applyAlignment="1">
      <alignment horizontal="center"/>
    </xf>
    <xf numFmtId="0" fontId="22" fillId="0" borderId="0" xfId="0" applyFont="1" applyAlignment="1">
      <alignment horizontal="center"/>
    </xf>
    <xf numFmtId="0" fontId="0" fillId="0" borderId="0" xfId="0" applyAlignment="1">
      <alignment horizontal="center"/>
    </xf>
    <xf numFmtId="0" fontId="25" fillId="0" borderId="0" xfId="28"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164" fontId="0" fillId="0" borderId="0" xfId="0" applyNumberFormat="1" applyFill="1" applyAlignment="1"/>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xf>
    <xf numFmtId="0" fontId="21" fillId="0" borderId="0" xfId="0" applyFont="1" applyFill="1" applyAlignment="1">
      <alignment horizontal="left" indent="1"/>
    </xf>
    <xf numFmtId="0" fontId="21" fillId="0" borderId="0" xfId="0" applyFont="1"/>
    <xf numFmtId="0" fontId="21" fillId="0" borderId="0" xfId="0" applyFont="1" applyAlignment="1">
      <alignment horizontal="center"/>
    </xf>
    <xf numFmtId="0" fontId="21" fillId="0" borderId="0" xfId="0" applyFont="1" applyFill="1"/>
    <xf numFmtId="164" fontId="21" fillId="0" borderId="0" xfId="0" applyNumberFormat="1" applyFont="1" applyFill="1" applyBorder="1"/>
    <xf numFmtId="0" fontId="21" fillId="0" borderId="0" xfId="0" applyFont="1" applyAlignment="1">
      <alignment horizontal="left" indent="1"/>
    </xf>
    <xf numFmtId="179" fontId="21" fillId="34" borderId="0" xfId="35" applyNumberFormat="1" applyFont="1" applyFill="1" applyAlignment="1">
      <alignment horizontal="left"/>
    </xf>
    <xf numFmtId="179" fontId="21" fillId="0" borderId="0" xfId="35" applyNumberFormat="1" applyFont="1" applyFill="1" applyAlignment="1">
      <alignment horizontal="left"/>
    </xf>
    <xf numFmtId="164" fontId="21" fillId="0" borderId="0" xfId="0" applyNumberFormat="1" applyFont="1"/>
    <xf numFmtId="179" fontId="21" fillId="0" borderId="0" xfId="35" applyNumberFormat="1" applyFont="1" applyFill="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applyFill="1"/>
    <xf numFmtId="10" fontId="0" fillId="0" borderId="0" xfId="37" applyNumberFormat="1" applyFont="1"/>
    <xf numFmtId="0" fontId="21" fillId="0" borderId="0" xfId="28" applyFont="1"/>
    <xf numFmtId="164" fontId="21" fillId="0" borderId="0" xfId="0" applyNumberFormat="1" applyFont="1" applyFill="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22" fillId="0" borderId="0" xfId="0" applyFont="1" applyAlignment="1">
      <alignment horizontal="center"/>
    </xf>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indent="1"/>
    </xf>
    <xf numFmtId="0" fontId="21" fillId="0" borderId="0" xfId="0" applyFont="1" applyAlignment="1">
      <alignment horizontal="left" indent="2"/>
    </xf>
    <xf numFmtId="0" fontId="22" fillId="0" borderId="0" xfId="0" applyFont="1" applyAlignment="1">
      <alignment horizontal="center"/>
    </xf>
    <xf numFmtId="0" fontId="21" fillId="0" borderId="0" xfId="0" quotePrefix="1" applyFont="1" applyAlignment="1">
      <alignment horizontal="center" vertical="justify"/>
    </xf>
    <xf numFmtId="10" fontId="28" fillId="0" borderId="0" xfId="0" applyNumberFormat="1" applyFont="1"/>
    <xf numFmtId="0" fontId="22" fillId="0" borderId="0" xfId="0" applyFont="1" applyAlignment="1">
      <alignment horizontal="center"/>
    </xf>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NumberFormat="1" applyFont="1" applyFill="1" applyBorder="1" applyAlignment="1">
      <alignment horizontal="left"/>
    </xf>
    <xf numFmtId="164" fontId="21" fillId="36" borderId="0" xfId="0" applyNumberFormat="1" applyFont="1" applyFill="1"/>
    <xf numFmtId="0" fontId="21" fillId="0" borderId="0" xfId="28" applyFont="1" applyBorder="1" applyAlignment="1">
      <alignment horizontal="left"/>
    </xf>
    <xf numFmtId="0" fontId="21" fillId="0" borderId="0" xfId="28" applyNumberFormat="1" applyFont="1" applyFill="1" applyBorder="1" applyAlignment="1">
      <alignment horizontal="right"/>
    </xf>
    <xf numFmtId="0" fontId="21" fillId="0" borderId="0" xfId="28" applyFont="1" applyBorder="1"/>
    <xf numFmtId="3" fontId="21" fillId="0" borderId="0" xfId="28" applyNumberFormat="1" applyFont="1" applyFill="1" applyBorder="1" applyAlignment="1">
      <alignment horizontal="left" indent="1"/>
    </xf>
    <xf numFmtId="1" fontId="21" fillId="0" borderId="0" xfId="28" applyNumberFormat="1" applyFont="1" applyFill="1" applyBorder="1" applyAlignment="1">
      <alignment horizontal="center"/>
    </xf>
    <xf numFmtId="37" fontId="21" fillId="0" borderId="0" xfId="36" applyNumberFormat="1" applyFont="1" applyFill="1" applyAlignment="1">
      <alignment horizontal="left" indent="1"/>
    </xf>
    <xf numFmtId="10" fontId="21" fillId="0" borderId="0" xfId="0" applyNumberFormat="1" applyFont="1" applyFill="1"/>
    <xf numFmtId="0" fontId="21" fillId="36" borderId="0" xfId="34" applyFont="1" applyFill="1"/>
    <xf numFmtId="0" fontId="21" fillId="0" borderId="0" xfId="0" quotePrefix="1" applyFont="1" applyAlignment="1"/>
    <xf numFmtId="0" fontId="56" fillId="0" borderId="0" xfId="0" applyFont="1" applyFill="1"/>
    <xf numFmtId="0" fontId="24" fillId="0" borderId="0" xfId="28" applyFont="1" applyFill="1" applyBorder="1" applyAlignment="1"/>
    <xf numFmtId="0" fontId="22" fillId="0" borderId="0" xfId="0" applyFont="1" applyAlignment="1">
      <alignment horizontal="center"/>
    </xf>
    <xf numFmtId="0" fontId="22" fillId="0" borderId="0" xfId="28" applyFont="1" applyBorder="1" applyAlignment="1">
      <alignment horizontal="left"/>
    </xf>
    <xf numFmtId="1" fontId="21" fillId="0" borderId="0" xfId="28" quotePrefix="1" applyNumberFormat="1" applyFont="1" applyFill="1" applyBorder="1" applyAlignment="1">
      <alignment horizontal="right"/>
    </xf>
    <xf numFmtId="164" fontId="21" fillId="0" borderId="0" xfId="0" applyNumberFormat="1" applyFont="1" applyFill="1" applyAlignment="1">
      <alignment horizontal="right"/>
    </xf>
    <xf numFmtId="164" fontId="22" fillId="0" borderId="0" xfId="0" applyNumberFormat="1" applyFont="1" applyFill="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Fill="1" applyAlignment="1">
      <alignment horizontal="left" indent="1"/>
    </xf>
    <xf numFmtId="0" fontId="0" fillId="0" borderId="0" xfId="0" applyFill="1" applyBorder="1"/>
    <xf numFmtId="0" fontId="61" fillId="0" borderId="0" xfId="0" applyFont="1"/>
    <xf numFmtId="37" fontId="54" fillId="0" borderId="0" xfId="0" applyNumberFormat="1" applyFont="1" applyFill="1"/>
    <xf numFmtId="165" fontId="54" fillId="0" borderId="0" xfId="0" applyNumberFormat="1" applyFont="1" applyFill="1"/>
    <xf numFmtId="165" fontId="54" fillId="0" borderId="0" xfId="0" applyNumberFormat="1" applyFont="1" applyFill="1" applyAlignment="1">
      <alignment horizontal="left" indent="1"/>
    </xf>
    <xf numFmtId="164" fontId="56" fillId="0" borderId="0" xfId="0" applyNumberFormat="1" applyFont="1" applyFill="1"/>
    <xf numFmtId="39" fontId="54" fillId="0" borderId="0" xfId="0" applyNumberFormat="1" applyFont="1" applyAlignment="1">
      <alignment horizontal="left" indent="1"/>
    </xf>
    <xf numFmtId="39" fontId="54" fillId="0" borderId="0" xfId="0" applyNumberFormat="1" applyFont="1"/>
    <xf numFmtId="0" fontId="21" fillId="36" borderId="0" xfId="0" quotePrefix="1" applyFont="1" applyFill="1" applyAlignment="1">
      <alignment horizontal="center"/>
    </xf>
    <xf numFmtId="0" fontId="21" fillId="0" borderId="0" xfId="0" quotePrefix="1" applyFont="1" applyFill="1" applyAlignment="1">
      <alignment horizontal="center"/>
    </xf>
    <xf numFmtId="0" fontId="21" fillId="36" borderId="0" xfId="0" applyFont="1" applyFill="1" applyBorder="1" applyProtection="1"/>
    <xf numFmtId="164" fontId="21" fillId="36" borderId="0" xfId="0" applyNumberFormat="1" applyFont="1" applyFill="1" applyBorder="1" applyProtection="1"/>
    <xf numFmtId="170" fontId="21" fillId="0" borderId="0" xfId="0" applyNumberFormat="1" applyFont="1" applyFill="1" applyBorder="1" applyAlignment="1" applyProtection="1">
      <alignment horizontal="center"/>
    </xf>
    <xf numFmtId="0" fontId="21" fillId="0" borderId="0" xfId="0" applyFont="1" applyFill="1" applyBorder="1" applyProtection="1"/>
    <xf numFmtId="164" fontId="21" fillId="0" borderId="0" xfId="0" applyNumberFormat="1" applyFont="1" applyFill="1" applyBorder="1" applyProtection="1"/>
    <xf numFmtId="0" fontId="21" fillId="0" borderId="0" xfId="0" quotePrefix="1" applyFont="1" applyFill="1" applyBorder="1"/>
    <xf numFmtId="0" fontId="21" fillId="0" borderId="0" xfId="0" applyFont="1" applyFill="1" applyBorder="1"/>
    <xf numFmtId="0" fontId="21" fillId="0" borderId="0" xfId="0" applyFont="1" applyAlignment="1">
      <alignment horizontal="left"/>
    </xf>
    <xf numFmtId="164" fontId="28" fillId="0" borderId="0" xfId="28" applyNumberFormat="1" applyFont="1" applyFill="1"/>
    <xf numFmtId="0" fontId="22" fillId="0" borderId="0" xfId="0" applyFont="1" applyFill="1" applyBorder="1" applyAlignment="1">
      <alignment horizontal="center"/>
    </xf>
    <xf numFmtId="37" fontId="21" fillId="0" borderId="0" xfId="0" applyNumberFormat="1" applyFont="1" applyFill="1" applyAlignment="1">
      <alignment horizontal="left" indent="1"/>
    </xf>
    <xf numFmtId="0" fontId="22" fillId="0" borderId="0" xfId="0" applyFont="1" applyAlignment="1">
      <alignment horizontal="center"/>
    </xf>
    <xf numFmtId="0" fontId="22" fillId="0" borderId="0" xfId="0" applyFont="1" applyAlignment="1">
      <alignment horizontal="center"/>
    </xf>
    <xf numFmtId="0" fontId="25" fillId="0" borderId="0" xfId="0" applyFont="1" applyFill="1" applyAlignment="1">
      <alignment horizontal="left"/>
    </xf>
    <xf numFmtId="0" fontId="21" fillId="0" borderId="0" xfId="0" quotePrefix="1" applyFont="1" applyAlignment="1">
      <alignment horizontal="left" indent="1"/>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Font="1" applyFill="1" applyBorder="1"/>
    <xf numFmtId="39" fontId="21" fillId="0" borderId="3" xfId="22" applyNumberFormat="1" applyFont="1" applyFill="1" applyBorder="1" applyAlignment="1">
      <alignment horizontal="center"/>
    </xf>
    <xf numFmtId="0" fontId="21" fillId="0" borderId="0" xfId="0" applyFont="1" applyFill="1" applyBorder="1" applyAlignment="1">
      <alignment vertical="top"/>
    </xf>
    <xf numFmtId="37" fontId="54" fillId="36" borderId="0" xfId="81" applyNumberFormat="1" applyFont="1" applyFill="1" applyAlignment="1">
      <alignment horizontal="right"/>
    </xf>
    <xf numFmtId="0" fontId="22" fillId="0" borderId="0" xfId="0" applyFont="1" applyAlignment="1">
      <alignment horizontal="center"/>
    </xf>
    <xf numFmtId="6" fontId="0" fillId="0" borderId="0" xfId="0" applyNumberFormat="1"/>
    <xf numFmtId="0" fontId="22" fillId="0" borderId="0" xfId="0" applyFont="1" applyAlignment="1">
      <alignment horizontal="center"/>
    </xf>
    <xf numFmtId="180" fontId="0" fillId="0" borderId="0" xfId="0" applyNumberFormat="1"/>
    <xf numFmtId="0" fontId="22" fillId="0" borderId="0" xfId="0" quotePrefix="1" applyFont="1" applyFill="1" applyAlignment="1">
      <alignment horizontal="right"/>
    </xf>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1" fillId="0" borderId="0" xfId="108" applyFont="1"/>
    <xf numFmtId="0" fontId="25" fillId="0" borderId="0" xfId="108" applyFont="1" applyAlignment="1">
      <alignment horizontal="center"/>
    </xf>
    <xf numFmtId="0" fontId="25" fillId="0" borderId="0" xfId="108" applyFont="1" applyAlignment="1">
      <alignment horizontal="left"/>
    </xf>
    <xf numFmtId="164" fontId="21" fillId="0" borderId="0" xfId="108" applyNumberFormat="1" applyFill="1"/>
    <xf numFmtId="0" fontId="21" fillId="36" borderId="0" xfId="108" applyFont="1" applyFill="1"/>
    <xf numFmtId="164" fontId="21" fillId="36" borderId="0" xfId="108" applyNumberFormat="1" applyFill="1"/>
    <xf numFmtId="164" fontId="28" fillId="36" borderId="0" xfId="108" applyNumberFormat="1" applyFont="1" applyFill="1"/>
    <xf numFmtId="164" fontId="21" fillId="0" borderId="0" xfId="108" applyNumberFormat="1"/>
    <xf numFmtId="0" fontId="21" fillId="0" borderId="0" xfId="108" applyFont="1" applyFill="1"/>
    <xf numFmtId="3" fontId="32" fillId="0" borderId="0" xfId="34" applyNumberFormat="1" applyFont="1" applyBorder="1"/>
    <xf numFmtId="39" fontId="24" fillId="36" borderId="0" xfId="22" applyNumberFormat="1" applyFont="1" applyFill="1" applyBorder="1" applyAlignment="1">
      <alignment horizontal="center"/>
    </xf>
    <xf numFmtId="0" fontId="30" fillId="0" borderId="0" xfId="27" applyAlignment="1" applyProtection="1"/>
    <xf numFmtId="164" fontId="0" fillId="36" borderId="0" xfId="0" applyNumberFormat="1" applyFill="1" applyAlignment="1">
      <alignment horizontal="right"/>
    </xf>
    <xf numFmtId="0" fontId="21" fillId="0" borderId="0" xfId="0" quotePrefix="1" applyFont="1" applyFill="1"/>
    <xf numFmtId="171" fontId="0" fillId="36" borderId="0" xfId="0" applyNumberFormat="1" applyFill="1"/>
    <xf numFmtId="167" fontId="21" fillId="0" borderId="0" xfId="28" applyNumberFormat="1" applyFont="1" applyBorder="1"/>
    <xf numFmtId="0" fontId="67" fillId="0" borderId="0" xfId="0" applyFont="1"/>
    <xf numFmtId="0" fontId="21" fillId="0" borderId="0" xfId="28" applyFont="1" applyFill="1" applyBorder="1" applyAlignment="1" applyProtection="1">
      <alignment horizontal="left" indent="1"/>
      <protection locked="0"/>
    </xf>
    <xf numFmtId="0" fontId="21" fillId="0" borderId="0" xfId="100" applyFill="1"/>
    <xf numFmtId="0" fontId="21" fillId="36" borderId="0" xfId="108" applyFill="1"/>
    <xf numFmtId="0" fontId="21" fillId="0" borderId="0" xfId="100" applyFont="1" applyAlignment="1">
      <alignment horizontal="left" indent="1"/>
    </xf>
    <xf numFmtId="164" fontId="21" fillId="0" borderId="0" xfId="100" applyNumberFormat="1"/>
    <xf numFmtId="164" fontId="53" fillId="0" borderId="0" xfId="100" applyNumberFormat="1" applyFont="1" applyFill="1"/>
    <xf numFmtId="0" fontId="22" fillId="0" borderId="0" xfId="100" applyFont="1"/>
    <xf numFmtId="0" fontId="21" fillId="0" borderId="0" xfId="100" applyFont="1"/>
    <xf numFmtId="0" fontId="22" fillId="0" borderId="0" xfId="100" applyFont="1" applyAlignment="1">
      <alignment horizontal="left" indent="1"/>
    </xf>
    <xf numFmtId="0" fontId="62" fillId="0" borderId="0" xfId="100" applyFont="1" applyBorder="1" applyAlignment="1">
      <alignment horizontal="left"/>
    </xf>
    <xf numFmtId="0" fontId="22" fillId="0" borderId="0" xfId="100" applyFont="1" applyBorder="1" applyAlignment="1">
      <alignment horizontal="center"/>
    </xf>
    <xf numFmtId="0" fontId="21" fillId="0" borderId="0" xfId="100" applyFont="1" applyBorder="1" applyAlignment="1">
      <alignment horizontal="right"/>
    </xf>
    <xf numFmtId="0" fontId="22" fillId="0" borderId="0" xfId="100" applyFont="1" applyBorder="1" applyAlignment="1">
      <alignment horizontal="right"/>
    </xf>
    <xf numFmtId="0" fontId="22" fillId="0" borderId="8" xfId="100" applyFont="1" applyBorder="1" applyAlignment="1">
      <alignment horizontal="center"/>
    </xf>
    <xf numFmtId="0" fontId="21" fillId="36" borderId="0" xfId="100" applyFont="1" applyFill="1"/>
    <xf numFmtId="164" fontId="21" fillId="36" borderId="0" xfId="100" applyNumberFormat="1" applyFont="1" applyFill="1"/>
    <xf numFmtId="170" fontId="21" fillId="0" borderId="0" xfId="100" applyNumberFormat="1" applyFont="1" applyFill="1" applyAlignment="1">
      <alignment horizontal="center"/>
    </xf>
    <xf numFmtId="0" fontId="21" fillId="0" borderId="0" xfId="100" applyFont="1" applyFill="1"/>
    <xf numFmtId="164" fontId="21" fillId="0" borderId="0" xfId="100" applyNumberFormat="1" applyFont="1" applyFill="1"/>
    <xf numFmtId="170" fontId="21" fillId="0" borderId="0" xfId="100" quotePrefix="1" applyNumberFormat="1" applyFont="1" applyFill="1" applyAlignment="1">
      <alignment horizontal="center"/>
    </xf>
    <xf numFmtId="164" fontId="21" fillId="0" borderId="0" xfId="100" applyNumberFormat="1" applyFont="1"/>
    <xf numFmtId="164" fontId="21" fillId="0" borderId="0" xfId="96" applyNumberFormat="1" applyFont="1" applyBorder="1"/>
    <xf numFmtId="164" fontId="21" fillId="0" borderId="0" xfId="96" applyNumberFormat="1" applyFont="1"/>
    <xf numFmtId="168" fontId="21" fillId="0" borderId="0" xfId="96" applyNumberFormat="1" applyFont="1" applyBorder="1"/>
    <xf numFmtId="164" fontId="21" fillId="0" borderId="14" xfId="96" applyNumberFormat="1" applyFont="1" applyBorder="1"/>
    <xf numFmtId="0" fontId="21" fillId="0" borderId="0" xfId="100" quotePrefix="1" applyFont="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0" fontId="21" fillId="0" borderId="0" xfId="100" applyFont="1" applyBorder="1"/>
    <xf numFmtId="164" fontId="22" fillId="0" borderId="0" xfId="100" applyNumberFormat="1" applyFont="1" applyBorder="1" applyAlignment="1">
      <alignment horizontal="center"/>
    </xf>
    <xf numFmtId="164" fontId="22" fillId="0" borderId="8" xfId="100" applyNumberFormat="1" applyFont="1" applyBorder="1" applyAlignment="1">
      <alignment horizontal="center"/>
    </xf>
    <xf numFmtId="0" fontId="25" fillId="0" borderId="0" xfId="100" applyFont="1" applyBorder="1" applyAlignment="1">
      <alignment horizontal="center"/>
    </xf>
    <xf numFmtId="0" fontId="21" fillId="0" borderId="0" xfId="100" applyFont="1" applyBorder="1" applyAlignment="1">
      <alignment horizontal="left"/>
    </xf>
    <xf numFmtId="1" fontId="21" fillId="36" borderId="0" xfId="100" applyNumberFormat="1" applyFont="1" applyFill="1" applyBorder="1" applyAlignment="1">
      <alignment horizontal="center"/>
    </xf>
    <xf numFmtId="164" fontId="21" fillId="0" borderId="0" xfId="0" applyNumberFormat="1" applyFont="1" applyFill="1" applyAlignment="1">
      <alignment horizontal="center"/>
    </xf>
    <xf numFmtId="0" fontId="21" fillId="0" borderId="0" xfId="100" applyNumberFormat="1" applyFont="1" applyFill="1" applyBorder="1" applyAlignment="1">
      <alignment horizontal="left"/>
    </xf>
    <xf numFmtId="1" fontId="21" fillId="0" borderId="0" xfId="100" quotePrefix="1" applyNumberFormat="1" applyFont="1" applyFill="1" applyBorder="1" applyAlignment="1">
      <alignment horizontal="right"/>
    </xf>
    <xf numFmtId="164" fontId="21" fillId="36" borderId="0" xfId="0" quotePrefix="1" applyNumberFormat="1" applyFont="1" applyFill="1" applyAlignment="1">
      <alignment horizontal="center"/>
    </xf>
    <xf numFmtId="164" fontId="21" fillId="0" borderId="0" xfId="0" quotePrefix="1" applyNumberFormat="1" applyFont="1" applyFill="1" applyAlignment="1">
      <alignment horizontal="center"/>
    </xf>
    <xf numFmtId="0" fontId="22" fillId="0" borderId="0" xfId="100" applyFont="1" applyFill="1" applyBorder="1" applyAlignment="1">
      <alignment horizontal="left"/>
    </xf>
    <xf numFmtId="0" fontId="22" fillId="0" borderId="0" xfId="100" applyNumberFormat="1" applyFont="1" applyFill="1" applyBorder="1" applyAlignment="1">
      <alignment horizontal="left"/>
    </xf>
    <xf numFmtId="0" fontId="21" fillId="0" borderId="0" xfId="100"/>
    <xf numFmtId="0" fontId="21" fillId="36" borderId="0" xfId="100" applyFill="1"/>
    <xf numFmtId="0" fontId="25" fillId="0" borderId="0" xfId="100" quotePrefix="1" applyFont="1" applyAlignment="1">
      <alignment horizontal="center"/>
    </xf>
    <xf numFmtId="0" fontId="25" fillId="0" borderId="0" xfId="100" applyFont="1" applyAlignment="1">
      <alignment horizontal="center"/>
    </xf>
    <xf numFmtId="0" fontId="21" fillId="0" borderId="0" xfId="100" quotePrefix="1" applyFont="1" applyAlignment="1">
      <alignment horizontal="center"/>
    </xf>
    <xf numFmtId="0" fontId="21" fillId="0" borderId="0" xfId="100" applyAlignment="1">
      <alignment horizontal="center"/>
    </xf>
    <xf numFmtId="0" fontId="22" fillId="0" borderId="0" xfId="100" applyFont="1" applyAlignment="1">
      <alignment horizontal="center"/>
    </xf>
    <xf numFmtId="0" fontId="22" fillId="0" borderId="0" xfId="100" applyFont="1" applyFill="1" applyAlignment="1">
      <alignment horizontal="center"/>
    </xf>
    <xf numFmtId="0" fontId="25" fillId="0" borderId="0" xfId="100" applyFont="1"/>
    <xf numFmtId="0" fontId="25" fillId="0" borderId="0" xfId="100" applyFont="1" applyFill="1" applyAlignment="1">
      <alignment horizontal="center"/>
    </xf>
    <xf numFmtId="164" fontId="21" fillId="0" borderId="0" xfId="100" applyNumberFormat="1" applyFont="1" applyFill="1" applyAlignme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Font="1" applyAlignment="1">
      <alignment horizontal="right" indent="1"/>
    </xf>
    <xf numFmtId="167" fontId="0" fillId="0" borderId="0" xfId="19" applyNumberFormat="1" applyFont="1"/>
    <xf numFmtId="164" fontId="21" fillId="0" borderId="0" xfId="100" applyNumberFormat="1" applyFont="1" applyFill="1" applyAlignment="1">
      <alignment horizontal="right"/>
    </xf>
    <xf numFmtId="164" fontId="21" fillId="36" borderId="0" xfId="100" applyNumberFormat="1" applyFont="1" applyFill="1" applyAlignment="1">
      <alignment horizontal="right"/>
    </xf>
    <xf numFmtId="0" fontId="21" fillId="0" borderId="0" xfId="100" applyAlignment="1">
      <alignment horizontal="left" indent="1"/>
    </xf>
    <xf numFmtId="10" fontId="0" fillId="0" borderId="0" xfId="37" applyNumberFormat="1" applyFont="1" applyAlignment="1">
      <alignment horizontal="center"/>
    </xf>
    <xf numFmtId="10" fontId="25" fillId="0" borderId="0" xfId="100" applyNumberFormat="1" applyFont="1" applyAlignment="1">
      <alignment horizontal="center"/>
    </xf>
    <xf numFmtId="0" fontId="21" fillId="0" borderId="0" xfId="100" applyNumberFormat="1"/>
    <xf numFmtId="10" fontId="21" fillId="0" borderId="0" xfId="37" applyNumberFormat="1" applyAlignment="1">
      <alignment horizontal="center"/>
    </xf>
    <xf numFmtId="0" fontId="22" fillId="0" borderId="0" xfId="100" applyFont="1" applyFill="1"/>
    <xf numFmtId="0" fontId="25" fillId="0" borderId="0" xfId="0" applyNumberFormat="1" applyFont="1" applyFill="1" applyAlignment="1">
      <alignment horizontal="center"/>
    </xf>
    <xf numFmtId="0" fontId="23" fillId="0" borderId="0" xfId="0" applyFont="1" applyAlignment="1">
      <alignment horizontal="center"/>
    </xf>
    <xf numFmtId="0" fontId="22" fillId="0" borderId="0" xfId="0" applyNumberFormat="1" applyFont="1" applyFill="1" applyAlignment="1">
      <alignment horizontal="center"/>
    </xf>
    <xf numFmtId="0" fontId="22" fillId="0" borderId="0" xfId="0" applyNumberFormat="1" applyFont="1" applyFill="1" applyAlignment="1">
      <alignment horizontal="center" wrapText="1"/>
    </xf>
    <xf numFmtId="164" fontId="22" fillId="0" borderId="0" xfId="0" applyNumberFormat="1" applyFont="1" applyFill="1" applyAlignment="1">
      <alignment horizontal="right" indent="1"/>
    </xf>
    <xf numFmtId="0" fontId="0" fillId="0" borderId="0" xfId="0" applyNumberFormat="1" applyFill="1"/>
    <xf numFmtId="0" fontId="22" fillId="0" borderId="0" xfId="0" applyNumberFormat="1" applyFont="1" applyFill="1" applyAlignment="1">
      <alignment horizontal="left" indent="2"/>
    </xf>
    <xf numFmtId="0" fontId="25" fillId="0" borderId="0" xfId="0" quotePrefix="1" applyNumberFormat="1" applyFont="1" applyFill="1" applyAlignment="1">
      <alignment horizontal="center"/>
    </xf>
    <xf numFmtId="0" fontId="21" fillId="0" borderId="0" xfId="0" quotePrefix="1" applyNumberFormat="1" applyFont="1" applyFill="1" applyAlignment="1">
      <alignment horizontal="center" wrapText="1"/>
    </xf>
    <xf numFmtId="0" fontId="21" fillId="0" borderId="0" xfId="0" quotePrefix="1" applyNumberFormat="1" applyFont="1" applyFill="1" applyAlignment="1">
      <alignment horizontal="center"/>
    </xf>
    <xf numFmtId="0" fontId="23" fillId="0" borderId="0" xfId="0" quotePrefix="1" applyNumberFormat="1" applyFont="1" applyFill="1" applyAlignment="1">
      <alignment horizontal="center"/>
    </xf>
    <xf numFmtId="0" fontId="21" fillId="0" borderId="0" xfId="100" quotePrefix="1" applyNumberFormat="1" applyFont="1" applyFill="1" applyBorder="1" applyAlignment="1">
      <alignment horizontal="right"/>
    </xf>
    <xf numFmtId="0" fontId="21" fillId="0" borderId="0" xfId="0" applyNumberFormat="1" applyFont="1" applyFill="1" applyAlignment="1">
      <alignment horizontal="left" indent="1"/>
    </xf>
    <xf numFmtId="0" fontId="22" fillId="0" borderId="0" xfId="100" applyFont="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5" fontId="21" fillId="0" borderId="0" xfId="100" applyNumberFormat="1" applyFont="1"/>
    <xf numFmtId="172" fontId="0" fillId="0" borderId="0" xfId="0" applyNumberFormat="1"/>
    <xf numFmtId="0" fontId="21" fillId="36" borderId="0" xfId="0" applyFont="1" applyFill="1" applyAlignment="1">
      <alignment horizontal="center"/>
    </xf>
    <xf numFmtId="0" fontId="22" fillId="0" borderId="0" xfId="108" applyFont="1" applyFill="1"/>
    <xf numFmtId="0" fontId="21" fillId="0" borderId="0" xfId="108" applyFill="1"/>
    <xf numFmtId="0" fontId="25" fillId="0" borderId="0" xfId="108" applyFont="1" applyFill="1"/>
    <xf numFmtId="0" fontId="22" fillId="0" borderId="0" xfId="108" applyFont="1" applyFill="1" applyAlignment="1">
      <alignment horizontal="center"/>
    </xf>
    <xf numFmtId="0" fontId="22" fillId="0" borderId="8" xfId="108" applyFont="1" applyFill="1" applyBorder="1" applyAlignment="1">
      <alignment horizontal="center"/>
    </xf>
    <xf numFmtId="0" fontId="22" fillId="0" borderId="0" xfId="108" applyFont="1" applyFill="1" applyBorder="1" applyAlignment="1">
      <alignment horizontal="center"/>
    </xf>
    <xf numFmtId="0" fontId="22" fillId="0" borderId="8" xfId="108" applyFont="1" applyBorder="1" applyAlignment="1">
      <alignment horizontal="center"/>
    </xf>
    <xf numFmtId="0" fontId="42" fillId="0" borderId="0" xfId="0" applyFont="1"/>
    <xf numFmtId="164" fontId="21" fillId="0" borderId="15" xfId="108" applyNumberFormat="1" applyFill="1" applyBorder="1"/>
    <xf numFmtId="0" fontId="22" fillId="0" borderId="0" xfId="108" quotePrefix="1" applyFont="1" applyFill="1" applyAlignment="1">
      <alignment horizontal="center"/>
    </xf>
    <xf numFmtId="0" fontId="40" fillId="0" borderId="0" xfId="0" applyFont="1" applyFill="1" applyAlignment="1">
      <alignment horizontal="center"/>
    </xf>
    <xf numFmtId="164" fontId="21" fillId="0" borderId="0" xfId="108" applyNumberFormat="1" applyFill="1" applyBorder="1"/>
    <xf numFmtId="164" fontId="21" fillId="0" borderId="8" xfId="108" applyNumberFormat="1" applyFont="1" applyFill="1" applyBorder="1" applyAlignment="1">
      <alignment horizontal="right"/>
    </xf>
    <xf numFmtId="164" fontId="21" fillId="0" borderId="0" xfId="108" applyNumberFormat="1" applyFont="1" applyFill="1" applyBorder="1" applyAlignment="1">
      <alignment horizontal="right"/>
    </xf>
    <xf numFmtId="164" fontId="21" fillId="0" borderId="16" xfId="108" applyNumberFormat="1" applyBorder="1"/>
    <xf numFmtId="0" fontId="21" fillId="0" borderId="0" xfId="108" applyFill="1" applyBorder="1"/>
    <xf numFmtId="0" fontId="0" fillId="0" borderId="0" xfId="0" applyFill="1" applyBorder="1" applyAlignment="1">
      <alignment horizontal="center"/>
    </xf>
    <xf numFmtId="0" fontId="21" fillId="0" borderId="8" xfId="0" applyFont="1" applyBorder="1" applyAlignment="1">
      <alignment horizontal="center"/>
    </xf>
    <xf numFmtId="164" fontId="21" fillId="34" borderId="0" xfId="19" applyNumberFormat="1" applyFont="1" applyFill="1"/>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2" fillId="0" borderId="0" xfId="0" applyFont="1" applyAlignment="1">
      <alignment wrapText="1"/>
    </xf>
    <xf numFmtId="164" fontId="21" fillId="36" borderId="0" xfId="19" applyNumberFormat="1" applyFont="1" applyFill="1" applyBorder="1"/>
    <xf numFmtId="9" fontId="0" fillId="0" borderId="8" xfId="0" applyNumberFormat="1" applyBorder="1"/>
    <xf numFmtId="164" fontId="0" fillId="0" borderId="0" xfId="0" applyNumberFormat="1" applyFill="1" applyBorder="1"/>
    <xf numFmtId="0" fontId="21" fillId="36" borderId="0" xfId="100" quotePrefix="1" applyNumberFormat="1" applyFont="1" applyFill="1" applyBorder="1" applyAlignment="1">
      <alignment horizontal="left"/>
    </xf>
    <xf numFmtId="0" fontId="21" fillId="36" borderId="0" xfId="100" quotePrefix="1" applyFont="1" applyFill="1" applyBorder="1" applyAlignment="1">
      <alignment horizontal="left"/>
    </xf>
    <xf numFmtId="10" fontId="54" fillId="36" borderId="0" xfId="0" applyNumberFormat="1" applyFont="1" applyFill="1"/>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0" fontId="24" fillId="36" borderId="4" xfId="0" applyNumberFormat="1" applyFont="1" applyFill="1" applyBorder="1"/>
    <xf numFmtId="37" fontId="21" fillId="36" borderId="3" xfId="0" applyNumberFormat="1" applyFont="1" applyFill="1" applyBorder="1" applyAlignment="1">
      <alignment horizontal="center"/>
    </xf>
    <xf numFmtId="0" fontId="53" fillId="36" borderId="0" xfId="0" applyFont="1" applyFill="1"/>
    <xf numFmtId="164" fontId="54" fillId="36" borderId="0" xfId="125" applyNumberFormat="1" applyFont="1" applyFill="1" applyBorder="1" applyProtection="1"/>
    <xf numFmtId="164" fontId="21" fillId="36" borderId="0" xfId="125" applyNumberFormat="1" applyFont="1" applyFill="1" applyBorder="1" applyProtection="1"/>
    <xf numFmtId="39" fontId="21" fillId="0" borderId="0" xfId="0" applyNumberFormat="1" applyFont="1" applyFill="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69" fillId="0" borderId="0" xfId="126" applyFont="1"/>
    <xf numFmtId="0" fontId="21" fillId="0" borderId="0" xfId="126" applyFont="1"/>
    <xf numFmtId="0" fontId="21" fillId="0" borderId="0" xfId="126" applyFont="1" applyBorder="1"/>
    <xf numFmtId="0" fontId="21" fillId="0" borderId="0" xfId="126" applyFill="1" applyAlignment="1">
      <alignment horizontal="center"/>
    </xf>
    <xf numFmtId="0" fontId="21" fillId="0" borderId="0" xfId="126"/>
    <xf numFmtId="0" fontId="25" fillId="0" borderId="0" xfId="126" applyFont="1" applyAlignment="1">
      <alignment horizontal="center"/>
    </xf>
    <xf numFmtId="0" fontId="21" fillId="0" borderId="0" xfId="126" applyBorder="1"/>
    <xf numFmtId="0" fontId="22" fillId="0" borderId="0" xfId="126" applyFont="1" applyAlignment="1">
      <alignment horizontal="right"/>
    </xf>
    <xf numFmtId="167" fontId="21" fillId="0" borderId="0" xfId="19" applyNumberFormat="1" applyFont="1"/>
    <xf numFmtId="0" fontId="21" fillId="0" borderId="0" xfId="126" applyFont="1" applyAlignment="1">
      <alignment horizontal="left" indent="1"/>
    </xf>
    <xf numFmtId="0" fontId="22" fillId="34" borderId="0" xfId="127" applyFont="1" applyFill="1"/>
    <xf numFmtId="0" fontId="21" fillId="36" borderId="0" xfId="127" applyFont="1" applyFill="1"/>
    <xf numFmtId="0" fontId="21" fillId="0" borderId="0" xfId="126" applyFill="1"/>
    <xf numFmtId="164" fontId="21" fillId="0" borderId="0" xfId="126" applyNumberFormat="1"/>
    <xf numFmtId="0" fontId="25" fillId="0" borderId="0" xfId="126" quotePrefix="1" applyFont="1" applyAlignment="1">
      <alignment horizontal="center"/>
    </xf>
    <xf numFmtId="0" fontId="21" fillId="0" borderId="0" xfId="126" applyFont="1" applyAlignment="1">
      <alignment horizontal="center"/>
    </xf>
    <xf numFmtId="0" fontId="21" fillId="0" borderId="0" xfId="126" applyAlignment="1"/>
    <xf numFmtId="0" fontId="21" fillId="0" borderId="0" xfId="126" quotePrefix="1" applyFont="1" applyBorder="1" applyAlignment="1">
      <alignment horizontal="center" wrapText="1"/>
    </xf>
    <xf numFmtId="0" fontId="21" fillId="0" borderId="0" xfId="126" applyFill="1" applyAlignment="1"/>
    <xf numFmtId="0" fontId="25" fillId="0" borderId="0" xfId="126" quotePrefix="1" applyFont="1" applyAlignment="1">
      <alignment horizontal="center" vertical="center" wrapText="1"/>
    </xf>
    <xf numFmtId="0" fontId="22" fillId="0" borderId="3" xfId="126" applyFont="1" applyFill="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Fill="1" applyBorder="1" applyAlignment="1">
      <alignment horizontal="center"/>
    </xf>
    <xf numFmtId="0" fontId="22" fillId="0" borderId="4" xfId="126" applyFont="1" applyBorder="1" applyAlignment="1">
      <alignment horizontal="center" wrapText="1"/>
    </xf>
    <xf numFmtId="0" fontId="22" fillId="0" borderId="3" xfId="126" applyFont="1" applyBorder="1" applyAlignment="1">
      <alignment horizontal="center" wrapText="1"/>
    </xf>
    <xf numFmtId="0" fontId="22" fillId="0" borderId="0" xfId="126" applyFont="1" applyAlignment="1">
      <alignment horizontal="center"/>
    </xf>
    <xf numFmtId="0" fontId="21" fillId="0" borderId="0" xfId="126" quotePrefix="1" applyNumberFormat="1" applyFont="1" applyAlignment="1">
      <alignment horizontal="center"/>
    </xf>
    <xf numFmtId="0" fontId="21" fillId="0" borderId="0" xfId="126" quotePrefix="1" applyNumberFormat="1" applyFont="1" applyBorder="1" applyAlignment="1">
      <alignment horizontal="center"/>
    </xf>
    <xf numFmtId="164" fontId="21" fillId="0" borderId="0" xfId="126" applyNumberFormat="1" applyFont="1"/>
    <xf numFmtId="179" fontId="21" fillId="34" borderId="0" xfId="35" quotePrefix="1" applyNumberFormat="1" applyFont="1" applyFill="1" applyAlignment="1">
      <alignment horizontal="left"/>
    </xf>
    <xf numFmtId="3" fontId="21" fillId="0" borderId="0" xfId="126" applyNumberFormat="1" applyFill="1"/>
    <xf numFmtId="3" fontId="44" fillId="0" borderId="0" xfId="129" applyNumberFormat="1" applyFill="1"/>
    <xf numFmtId="0" fontId="25" fillId="0" borderId="0" xfId="126" quotePrefix="1" applyFont="1" applyBorder="1" applyAlignment="1">
      <alignment horizontal="center"/>
    </xf>
    <xf numFmtId="2" fontId="22" fillId="0" borderId="3" xfId="126" applyNumberFormat="1" applyFont="1" applyFill="1" applyBorder="1" applyAlignment="1">
      <alignment horizontal="center" wrapText="1"/>
    </xf>
    <xf numFmtId="2" fontId="22" fillId="0" borderId="3" xfId="126" applyNumberFormat="1" applyFont="1" applyBorder="1" applyAlignment="1">
      <alignment horizontal="center" wrapText="1"/>
    </xf>
    <xf numFmtId="2" fontId="21" fillId="0" borderId="0" xfId="126" applyNumberFormat="1" applyFont="1" applyAlignment="1">
      <alignment horizontal="center" wrapText="1"/>
    </xf>
    <xf numFmtId="2" fontId="22" fillId="0" borderId="0" xfId="126" applyNumberFormat="1" applyFont="1" applyAlignment="1">
      <alignment horizontal="center"/>
    </xf>
    <xf numFmtId="2" fontId="21" fillId="0" borderId="0" xfId="126" applyNumberFormat="1" applyFont="1"/>
    <xf numFmtId="2" fontId="21" fillId="0" borderId="0" xfId="126" applyNumberFormat="1" applyFont="1" applyFill="1" applyAlignment="1">
      <alignment horizontal="center"/>
    </xf>
    <xf numFmtId="0" fontId="22" fillId="0" borderId="0" xfId="126" applyFont="1" applyAlignment="1">
      <alignment horizontal="center" vertical="center" wrapText="1"/>
    </xf>
    <xf numFmtId="0" fontId="21" fillId="0" borderId="0" xfId="126" applyFont="1" applyFill="1" applyAlignment="1">
      <alignment horizontal="center"/>
    </xf>
    <xf numFmtId="179" fontId="22" fillId="0" borderId="3" xfId="35" applyNumberFormat="1" applyFont="1" applyFill="1" applyBorder="1" applyAlignment="1">
      <alignment horizontal="center"/>
    </xf>
    <xf numFmtId="0" fontId="25" fillId="0" borderId="0" xfId="126" applyFont="1"/>
    <xf numFmtId="0" fontId="21" fillId="0" borderId="0" xfId="126" applyFont="1" applyFill="1"/>
    <xf numFmtId="0" fontId="21" fillId="0" borderId="0" xfId="126" applyAlignment="1">
      <alignment horizontal="left"/>
    </xf>
    <xf numFmtId="0" fontId="22" fillId="0" borderId="6" xfId="126" applyFont="1" applyFill="1" applyBorder="1"/>
    <xf numFmtId="0" fontId="21" fillId="0" borderId="9" xfId="126" applyFont="1" applyFill="1" applyBorder="1"/>
    <xf numFmtId="179" fontId="21" fillId="36" borderId="0" xfId="35" applyNumberFormat="1" applyFont="1" applyFill="1" applyAlignment="1">
      <alignment horizontal="left"/>
    </xf>
    <xf numFmtId="0" fontId="21" fillId="36" borderId="0" xfId="35" applyFont="1" applyFill="1" applyAlignment="1">
      <alignment horizontal="left" vertical="top" indent="1"/>
    </xf>
    <xf numFmtId="0" fontId="21" fillId="36" borderId="0" xfId="126" applyFont="1" applyFill="1"/>
    <xf numFmtId="179" fontId="21" fillId="36" borderId="0" xfId="35" quotePrefix="1" applyNumberFormat="1" applyFont="1" applyFill="1" applyAlignment="1">
      <alignment horizontal="left"/>
    </xf>
    <xf numFmtId="0" fontId="25" fillId="0" borderId="0" xfId="126" quotePrefix="1" applyFont="1" applyFill="1" applyAlignment="1">
      <alignment horizontal="center"/>
    </xf>
    <xf numFmtId="0" fontId="22" fillId="0" borderId="0" xfId="126" applyFont="1" applyAlignment="1">
      <alignment horizontal="center" vertical="center"/>
    </xf>
    <xf numFmtId="0" fontId="25" fillId="0" borderId="0" xfId="126" quotePrefix="1" applyFont="1" applyFill="1" applyAlignment="1">
      <alignment horizontal="center" vertical="center" wrapText="1"/>
    </xf>
    <xf numFmtId="0" fontId="25" fillId="0" borderId="0" xfId="126" quotePrefix="1" applyFont="1" applyAlignment="1">
      <alignment horizontal="center" wrapText="1"/>
    </xf>
    <xf numFmtId="0" fontId="25" fillId="0" borderId="0" xfId="126" quotePrefix="1" applyFont="1" applyFill="1" applyAlignment="1">
      <alignment horizontal="center" wrapText="1"/>
    </xf>
    <xf numFmtId="0" fontId="22" fillId="34" borderId="7" xfId="126" applyFont="1" applyFill="1" applyBorder="1" applyAlignment="1">
      <alignment horizontal="center" wrapText="1"/>
    </xf>
    <xf numFmtId="0" fontId="25" fillId="0" borderId="7" xfId="126" quotePrefix="1" applyFont="1" applyBorder="1" applyAlignment="1">
      <alignment horizontal="center"/>
    </xf>
    <xf numFmtId="0" fontId="22" fillId="0" borderId="5" xfId="126" applyFont="1" applyFill="1" applyBorder="1" applyAlignment="1">
      <alignment horizontal="center" wrapText="1"/>
    </xf>
    <xf numFmtId="0" fontId="22" fillId="34" borderId="11" xfId="126" applyFont="1" applyFill="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2" fontId="21" fillId="0" borderId="0" xfId="126" applyNumberFormat="1" applyFont="1" applyBorder="1"/>
    <xf numFmtId="164" fontId="53" fillId="0" borderId="0" xfId="135" applyNumberFormat="1" applyFont="1" applyFill="1"/>
    <xf numFmtId="164" fontId="71" fillId="0" borderId="0" xfId="135" applyNumberFormat="1" applyFont="1" applyFill="1"/>
    <xf numFmtId="164" fontId="28" fillId="0" borderId="0" xfId="0" applyNumberFormat="1" applyFont="1" applyFill="1" applyBorder="1"/>
    <xf numFmtId="0" fontId="23" fillId="0" borderId="0" xfId="0" applyFont="1" applyFill="1" applyAlignment="1">
      <alignment horizontal="center"/>
    </xf>
    <xf numFmtId="164" fontId="58" fillId="0" borderId="0" xfId="135" applyNumberFormat="1" applyFont="1" applyFill="1"/>
    <xf numFmtId="0" fontId="22" fillId="0" borderId="3" xfId="28" applyFont="1" applyFill="1" applyBorder="1" applyAlignment="1">
      <alignment horizontal="center"/>
    </xf>
    <xf numFmtId="0" fontId="21" fillId="0" borderId="0" xfId="28" applyNumberFormat="1" applyFont="1" applyFill="1" applyAlignment="1">
      <alignment horizontal="center" vertical="center"/>
    </xf>
    <xf numFmtId="167" fontId="21" fillId="0" borderId="0" xfId="28" applyNumberFormat="1" applyFont="1" applyFill="1"/>
    <xf numFmtId="43" fontId="21" fillId="0" borderId="0" xfId="0" applyNumberFormat="1" applyFont="1"/>
    <xf numFmtId="0" fontId="21" fillId="0" borderId="0" xfId="0" applyNumberFormat="1" applyFont="1"/>
    <xf numFmtId="0" fontId="21" fillId="0" borderId="0" xfId="28" applyFont="1" applyAlignment="1">
      <alignment horizontal="center"/>
    </xf>
    <xf numFmtId="167" fontId="21" fillId="0" borderId="0" xfId="22" applyNumberFormat="1" applyFont="1"/>
    <xf numFmtId="167" fontId="21" fillId="0" borderId="0" xfId="28" applyNumberFormat="1" applyFont="1"/>
    <xf numFmtId="164" fontId="21" fillId="0" borderId="0" xfId="28" applyNumberFormat="1" applyFont="1" applyFill="1" applyBorder="1"/>
    <xf numFmtId="164" fontId="21" fillId="0" borderId="0" xfId="28" applyNumberFormat="1" applyFont="1" applyBorder="1" applyAlignment="1">
      <alignment horizontal="center"/>
    </xf>
    <xf numFmtId="164" fontId="21" fillId="0" borderId="0" xfId="28" applyNumberFormat="1" applyFont="1" applyFill="1" applyBorder="1" applyAlignment="1">
      <alignment horizontal="center"/>
    </xf>
    <xf numFmtId="0" fontId="21" fillId="36" borderId="0" xfId="28" applyFont="1" applyFill="1"/>
    <xf numFmtId="167" fontId="21" fillId="36" borderId="0" xfId="28" quotePrefix="1" applyNumberFormat="1" applyFont="1" applyFill="1" applyBorder="1" applyAlignment="1">
      <alignment horizontal="center"/>
    </xf>
    <xf numFmtId="167" fontId="21" fillId="0" borderId="8" xfId="28" applyNumberFormat="1" applyFont="1" applyBorder="1" applyAlignment="1">
      <alignment horizontal="center"/>
    </xf>
    <xf numFmtId="164" fontId="21" fillId="0" borderId="8" xfId="28" applyNumberFormat="1" applyFont="1" applyFill="1" applyBorder="1" applyAlignment="1">
      <alignment horizontal="center"/>
    </xf>
    <xf numFmtId="5" fontId="21" fillId="0" borderId="8" xfId="28" quotePrefix="1" applyNumberFormat="1" applyFont="1" applyFill="1" applyBorder="1" applyAlignment="1">
      <alignment horizontal="right"/>
    </xf>
    <xf numFmtId="5" fontId="21" fillId="0" borderId="8" xfId="28" applyNumberFormat="1" applyFont="1" applyBorder="1"/>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0" fontId="21" fillId="0" borderId="0" xfId="28" applyFont="1" applyFill="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Border="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0" xfId="28" applyNumberFormat="1" applyFont="1" applyFill="1" applyBorder="1"/>
    <xf numFmtId="167" fontId="21" fillId="0" borderId="8" xfId="28" applyNumberFormat="1" applyFont="1" applyFill="1" applyBorder="1" applyAlignment="1">
      <alignment horizontal="center"/>
    </xf>
    <xf numFmtId="167" fontId="21" fillId="0" borderId="8" xfId="28" quotePrefix="1" applyNumberFormat="1" applyFont="1" applyFill="1" applyBorder="1" applyAlignment="1">
      <alignment horizontal="center"/>
    </xf>
    <xf numFmtId="167" fontId="21" fillId="0" borderId="8" xfId="28" applyNumberFormat="1" applyFont="1" applyBorder="1"/>
    <xf numFmtId="0" fontId="21" fillId="0" borderId="0" xfId="22" applyNumberFormat="1" applyFont="1" applyFill="1" applyBorder="1"/>
    <xf numFmtId="0" fontId="21" fillId="0" borderId="0" xfId="28" applyNumberFormat="1" applyFont="1" applyFill="1" applyBorder="1"/>
    <xf numFmtId="0" fontId="21" fillId="0" borderId="0" xfId="28" applyFont="1" applyBorder="1" applyAlignment="1">
      <alignment horizontal="center"/>
    </xf>
    <xf numFmtId="167" fontId="21" fillId="0" borderId="0" xfId="28" applyNumberFormat="1" applyFont="1" applyFill="1" applyBorder="1" applyAlignment="1"/>
    <xf numFmtId="164" fontId="21" fillId="0" borderId="0" xfId="28" applyNumberFormat="1" applyFont="1" applyFill="1" applyBorder="1" applyAlignment="1">
      <alignment vertical="top" wrapText="1"/>
    </xf>
    <xf numFmtId="167" fontId="21" fillId="0" borderId="0" xfId="22" applyNumberFormat="1" applyFont="1" applyFill="1" applyBorder="1" applyAlignment="1">
      <alignment horizontal="center" wrapText="1"/>
    </xf>
    <xf numFmtId="0" fontId="21" fillId="0" borderId="0" xfId="0" quotePrefix="1" applyFont="1" applyFill="1" applyAlignment="1"/>
    <xf numFmtId="167" fontId="21" fillId="0" borderId="0" xfId="22" applyNumberFormat="1" applyFont="1" applyFill="1" applyBorder="1" applyAlignment="1"/>
    <xf numFmtId="167" fontId="21" fillId="0" borderId="8" xfId="28" applyNumberFormat="1" applyFont="1" applyFill="1" applyBorder="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Border="1" applyAlignment="1">
      <alignment vertical="justify"/>
    </xf>
    <xf numFmtId="0" fontId="21" fillId="0" borderId="0" xfId="28" applyNumberFormat="1" applyFont="1" applyFill="1"/>
    <xf numFmtId="0" fontId="21" fillId="0" borderId="0" xfId="28" applyFont="1" applyFill="1" applyBorder="1" applyAlignment="1">
      <alignment vertical="top"/>
    </xf>
    <xf numFmtId="0" fontId="21" fillId="0" borderId="0" xfId="28" applyFont="1" applyFill="1" applyAlignment="1">
      <alignment horizontal="center"/>
    </xf>
    <xf numFmtId="167" fontId="21" fillId="0" borderId="0" xfId="22" applyNumberFormat="1" applyFont="1" applyFill="1"/>
    <xf numFmtId="0" fontId="21" fillId="0" borderId="0" xfId="28" applyFont="1" applyFill="1" applyBorder="1" applyAlignment="1">
      <alignment vertical="top" wrapText="1"/>
    </xf>
    <xf numFmtId="0" fontId="21" fillId="0" borderId="0" xfId="28" applyFont="1" applyFill="1" applyBorder="1" applyAlignment="1" applyProtection="1">
      <alignment horizontal="left" vertical="top" indent="1"/>
      <protection locked="0"/>
    </xf>
    <xf numFmtId="0" fontId="21" fillId="0" borderId="0" xfId="28" applyFont="1" applyFill="1" applyAlignment="1">
      <alignment horizontal="left" indent="1"/>
    </xf>
    <xf numFmtId="165" fontId="21" fillId="0" borderId="0" xfId="28" applyNumberFormat="1" applyFont="1" applyFill="1"/>
    <xf numFmtId="0" fontId="25" fillId="0" borderId="0" xfId="0" applyFont="1" applyFill="1"/>
    <xf numFmtId="10" fontId="21" fillId="0" borderId="0" xfId="0" applyNumberFormat="1" applyFont="1"/>
    <xf numFmtId="0" fontId="22" fillId="0" borderId="3" xfId="28" applyFont="1" applyFill="1" applyBorder="1" applyAlignment="1">
      <alignment horizontal="center"/>
    </xf>
    <xf numFmtId="0" fontId="24" fillId="0" borderId="6" xfId="0" applyFont="1" applyFill="1" applyBorder="1" applyAlignment="1">
      <alignment horizontal="left"/>
    </xf>
    <xf numFmtId="0" fontId="21"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168" fontId="24" fillId="0" borderId="0" xfId="0" applyNumberFormat="1" applyFont="1" applyFill="1"/>
    <xf numFmtId="0" fontId="21" fillId="0" borderId="0" xfId="0" applyFont="1" applyFill="1" applyAlignment="1">
      <alignment horizontal="left"/>
    </xf>
    <xf numFmtId="0" fontId="21" fillId="0" borderId="0" xfId="0" applyFont="1" applyFill="1" applyAlignment="1">
      <alignment horizontal="right"/>
    </xf>
    <xf numFmtId="0" fontId="21" fillId="0" borderId="0" xfId="0" quotePrefix="1" applyFont="1" applyFill="1" applyAlignment="1">
      <alignment horizontal="right"/>
    </xf>
    <xf numFmtId="168" fontId="0" fillId="0" borderId="0" xfId="0" applyNumberFormat="1" applyFill="1"/>
    <xf numFmtId="0" fontId="21" fillId="0" borderId="0" xfId="0" applyFont="1" applyFill="1" applyAlignment="1">
      <alignment horizontal="left" indent="2"/>
    </xf>
    <xf numFmtId="0" fontId="21" fillId="0" borderId="0" xfId="0" quotePrefix="1" applyFont="1" applyFill="1" applyAlignment="1">
      <alignment horizontal="left" indent="2"/>
    </xf>
    <xf numFmtId="0" fontId="21" fillId="0" borderId="0" xfId="0" applyFont="1" applyFill="1" applyAlignment="1">
      <alignment horizontal="left" indent="3"/>
    </xf>
    <xf numFmtId="0" fontId="54" fillId="0" borderId="0" xfId="0" applyFont="1" applyFill="1" applyAlignment="1">
      <alignment horizontal="left"/>
    </xf>
    <xf numFmtId="0" fontId="21" fillId="0" borderId="0" xfId="0" quotePrefix="1" applyFont="1" applyFill="1" applyAlignment="1">
      <alignment horizontal="left" indent="1"/>
    </xf>
    <xf numFmtId="0" fontId="28" fillId="0" borderId="0" xfId="0" applyFont="1" applyFill="1" applyAlignment="1">
      <alignment horizontal="left"/>
    </xf>
    <xf numFmtId="0" fontId="24" fillId="0" borderId="0" xfId="28" applyFont="1" applyFill="1" applyBorder="1" applyAlignment="1">
      <alignment horizontal="left" indent="1"/>
    </xf>
    <xf numFmtId="0" fontId="22" fillId="0" borderId="0" xfId="0" applyNumberFormat="1" applyFont="1" applyFill="1" applyAlignment="1">
      <alignment horizontal="left"/>
    </xf>
    <xf numFmtId="0" fontId="21" fillId="0" borderId="0" xfId="0" applyFont="1" applyFill="1" applyAlignment="1"/>
    <xf numFmtId="0" fontId="22" fillId="0" borderId="0" xfId="0" quotePrefix="1" applyFont="1" applyFill="1" applyAlignment="1">
      <alignment horizontal="center"/>
    </xf>
    <xf numFmtId="10" fontId="21" fillId="0" borderId="0" xfId="0" quotePrefix="1" applyNumberFormat="1" applyFont="1" applyFill="1" applyAlignment="1">
      <alignment horizontal="right"/>
    </xf>
    <xf numFmtId="3" fontId="0" fillId="0" borderId="0" xfId="0" applyNumberFormat="1" applyFill="1" applyAlignment="1">
      <alignment horizontal="center"/>
    </xf>
    <xf numFmtId="0" fontId="55" fillId="36" borderId="0" xfId="0" quotePrefix="1" applyFont="1" applyFill="1" applyAlignment="1">
      <alignment horizontal="center"/>
    </xf>
    <xf numFmtId="0" fontId="54" fillId="0" borderId="0" xfId="0" applyFont="1" applyFill="1" applyAlignment="1">
      <alignment horizontal="right"/>
    </xf>
    <xf numFmtId="0" fontId="65" fillId="0" borderId="0" xfId="0" applyFont="1" applyFill="1" applyAlignment="1">
      <alignment horizontal="left" vertical="center"/>
    </xf>
    <xf numFmtId="0" fontId="22" fillId="0" borderId="0" xfId="34" applyFont="1" applyFill="1"/>
    <xf numFmtId="0" fontId="24" fillId="0" borderId="0" xfId="34" applyFont="1" applyFill="1"/>
    <xf numFmtId="0" fontId="21" fillId="0" borderId="0" xfId="34" applyFont="1" applyFill="1" applyAlignment="1">
      <alignment horizontal="right"/>
    </xf>
    <xf numFmtId="0" fontId="56" fillId="0" borderId="0" xfId="0" applyFont="1" applyFill="1" applyAlignment="1">
      <alignment horizontal="left" indent="1"/>
    </xf>
    <xf numFmtId="0" fontId="21" fillId="0" borderId="0" xfId="100" applyFont="1" applyFill="1" applyAlignment="1">
      <alignment horizontal="left" indent="1"/>
    </xf>
    <xf numFmtId="0" fontId="55" fillId="0" borderId="0" xfId="0" applyFont="1" applyFill="1"/>
    <xf numFmtId="0" fontId="54" fillId="0" borderId="0" xfId="0" quotePrefix="1" applyFont="1" applyFill="1" applyAlignment="1">
      <alignment horizontal="center"/>
    </xf>
    <xf numFmtId="0" fontId="21" fillId="0" borderId="0" xfId="0" applyFont="1" applyFill="1" applyBorder="1" applyAlignment="1">
      <alignment horizontal="left" indent="1"/>
    </xf>
    <xf numFmtId="0" fontId="0" fillId="0" borderId="0" xfId="0" quotePrefix="1" applyFill="1"/>
    <xf numFmtId="0" fontId="21" fillId="0" borderId="0" xfId="100" applyFont="1" applyFill="1" applyBorder="1" applyAlignment="1"/>
    <xf numFmtId="0" fontId="24"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2" fillId="0" borderId="0" xfId="100" applyNumberFormat="1" applyFont="1" applyFill="1"/>
    <xf numFmtId="10" fontId="21" fillId="0" borderId="0" xfId="37" applyNumberFormat="1" applyFont="1" applyFill="1" applyAlignment="1">
      <alignment horizontal="center"/>
    </xf>
    <xf numFmtId="5" fontId="21" fillId="0" borderId="0" xfId="100" applyNumberFormat="1" applyFill="1"/>
    <xf numFmtId="166" fontId="54" fillId="0" borderId="0" xfId="0" applyNumberFormat="1" applyFont="1" applyFill="1"/>
    <xf numFmtId="167" fontId="21" fillId="0" borderId="0" xfId="28" applyNumberFormat="1" applyFont="1" applyFill="1" applyBorder="1" applyAlignment="1">
      <alignment horizontal="center"/>
    </xf>
    <xf numFmtId="0" fontId="25" fillId="0" borderId="0" xfId="0" quotePrefix="1" applyFont="1" applyFill="1" applyAlignment="1">
      <alignment horizontal="center" vertical="top"/>
    </xf>
    <xf numFmtId="0" fontId="22" fillId="0" borderId="7" xfId="28" applyFont="1" applyFill="1" applyBorder="1" applyAlignment="1">
      <alignment horizontal="center"/>
    </xf>
    <xf numFmtId="0" fontId="21" fillId="0" borderId="0" xfId="28" quotePrefix="1" applyFont="1" applyFill="1"/>
    <xf numFmtId="0" fontId="21" fillId="0" borderId="0" xfId="28" applyFont="1" applyFill="1" applyBorder="1" applyAlignment="1" applyProtection="1">
      <alignment horizontal="left" indent="2"/>
      <protection locked="0"/>
    </xf>
    <xf numFmtId="0" fontId="21" fillId="0" borderId="0" xfId="28" applyFont="1" applyFill="1" applyAlignment="1">
      <alignment horizontal="right"/>
    </xf>
    <xf numFmtId="10" fontId="21" fillId="0" borderId="0" xfId="28" applyNumberFormat="1" applyFont="1" applyFill="1"/>
    <xf numFmtId="165" fontId="29" fillId="0" borderId="0" xfId="0" applyNumberFormat="1" applyFont="1" applyFill="1"/>
    <xf numFmtId="0" fontId="64" fillId="0" borderId="0" xfId="0" applyFont="1" applyFill="1"/>
    <xf numFmtId="0" fontId="21" fillId="0" borderId="0" xfId="100" applyFont="1" applyFill="1" applyAlignment="1">
      <alignment horizontal="left"/>
    </xf>
    <xf numFmtId="37" fontId="21" fillId="0" borderId="3" xfId="0" applyNumberFormat="1" applyFont="1" applyFill="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NumberFormat="1" applyFont="1" applyFill="1" applyBorder="1"/>
    <xf numFmtId="0" fontId="21" fillId="0" borderId="3" xfId="0" quotePrefix="1" applyNumberFormat="1" applyFont="1" applyFill="1" applyBorder="1" applyAlignment="1">
      <alignment horizontal="center"/>
    </xf>
    <xf numFmtId="0" fontId="24" fillId="0" borderId="4" xfId="0" applyFont="1" applyFill="1" applyBorder="1" applyAlignment="1">
      <alignment horizontal="left"/>
    </xf>
    <xf numFmtId="49" fontId="21" fillId="0" borderId="0" xfId="22" applyNumberFormat="1" applyFont="1" applyFill="1" applyBorder="1" applyAlignment="1">
      <alignment horizontal="left"/>
    </xf>
    <xf numFmtId="49" fontId="24" fillId="0" borderId="0" xfId="22" quotePrefix="1" applyNumberFormat="1" applyFont="1" applyFill="1" applyBorder="1" applyAlignment="1">
      <alignment horizontal="left"/>
    </xf>
    <xf numFmtId="49" fontId="24" fillId="0" borderId="0" xfId="22" applyNumberFormat="1" applyFont="1" applyFill="1" applyBorder="1" applyAlignment="1">
      <alignment horizontal="left"/>
    </xf>
    <xf numFmtId="49" fontId="24" fillId="0" borderId="0" xfId="0" applyNumberFormat="1" applyFont="1" applyFill="1" applyBorder="1" applyAlignment="1">
      <alignment horizontal="left"/>
    </xf>
    <xf numFmtId="176" fontId="24" fillId="0" borderId="0" xfId="22" applyNumberFormat="1" applyFont="1" applyFill="1" applyBorder="1" applyAlignment="1">
      <alignment horizontal="center"/>
    </xf>
    <xf numFmtId="39" fontId="21" fillId="0" borderId="0" xfId="22" applyNumberFormat="1" applyFont="1" applyFill="1" applyBorder="1" applyAlignment="1">
      <alignment horizontal="right"/>
    </xf>
    <xf numFmtId="0" fontId="25" fillId="0" borderId="0" xfId="108" applyFont="1" applyFill="1" applyAlignment="1">
      <alignment horizontal="center"/>
    </xf>
    <xf numFmtId="0" fontId="25" fillId="0" borderId="0" xfId="108" applyFont="1" applyFill="1" applyAlignment="1">
      <alignment horizontal="left"/>
    </xf>
    <xf numFmtId="0" fontId="52" fillId="0" borderId="0" xfId="0" applyFont="1" applyFill="1"/>
    <xf numFmtId="0" fontId="22" fillId="0" borderId="0" xfId="108" applyFont="1" applyFill="1" applyAlignment="1"/>
    <xf numFmtId="0" fontId="25" fillId="0" borderId="0" xfId="108" applyFont="1" applyFill="1" applyAlignment="1"/>
    <xf numFmtId="0" fontId="21" fillId="0" borderId="0" xfId="108" applyFont="1" applyFill="1" applyAlignment="1">
      <alignment horizontal="left" indent="1"/>
    </xf>
    <xf numFmtId="0" fontId="22" fillId="0" borderId="0" xfId="0" applyFont="1" applyFill="1" applyAlignment="1">
      <alignment horizontal="left" indent="2"/>
    </xf>
    <xf numFmtId="0" fontId="52" fillId="0" borderId="0" xfId="0" applyFont="1" applyFill="1" applyAlignment="1">
      <alignment horizontal="center"/>
    </xf>
    <xf numFmtId="0" fontId="55" fillId="0" borderId="0" xfId="0" applyFont="1" applyFill="1" applyAlignment="1">
      <alignment horizontal="left" indent="1"/>
    </xf>
    <xf numFmtId="0" fontId="54" fillId="0" borderId="0" xfId="0" quotePrefix="1" applyFont="1" applyFill="1"/>
    <xf numFmtId="0" fontId="22" fillId="0" borderId="0" xfId="0" applyFont="1" applyFill="1" applyAlignment="1">
      <alignment horizontal="left" indent="1"/>
    </xf>
    <xf numFmtId="164" fontId="21" fillId="0" borderId="0" xfId="0" applyNumberFormat="1" applyFont="1" applyFill="1" applyAlignment="1"/>
    <xf numFmtId="0" fontId="55" fillId="0" borderId="0" xfId="0" applyFont="1" applyFill="1" applyAlignment="1">
      <alignment horizontal="left"/>
    </xf>
    <xf numFmtId="0" fontId="21" fillId="0" borderId="0" xfId="0" applyNumberFormat="1" applyFont="1" applyFill="1" applyAlignment="1">
      <alignment horizontal="left"/>
    </xf>
    <xf numFmtId="0" fontId="21" fillId="0" borderId="0" xfId="0" applyFont="1" applyFill="1" applyBorder="1" applyAlignment="1">
      <alignment horizontal="left"/>
    </xf>
    <xf numFmtId="171" fontId="0" fillId="0" borderId="0" xfId="0" applyNumberFormat="1" applyFill="1"/>
    <xf numFmtId="0" fontId="25" fillId="0" borderId="0" xfId="0" applyFont="1" applyFill="1" applyAlignment="1"/>
    <xf numFmtId="172" fontId="0" fillId="0" borderId="0" xfId="0" applyNumberFormat="1" applyFill="1"/>
    <xf numFmtId="0" fontId="22" fillId="0" borderId="0" xfId="28" applyFont="1" applyFill="1" applyAlignment="1">
      <alignment horizontal="right"/>
    </xf>
    <xf numFmtId="42" fontId="24" fillId="0" borderId="0" xfId="20" applyNumberFormat="1" applyFont="1" applyFill="1" applyBorder="1"/>
    <xf numFmtId="164" fontId="24" fillId="0" borderId="0" xfId="20" applyNumberFormat="1" applyFont="1" applyFill="1" applyBorder="1"/>
    <xf numFmtId="0" fontId="37" fillId="0" borderId="0" xfId="28" applyFont="1" applyFill="1" applyAlignment="1">
      <alignment vertical="center"/>
    </xf>
    <xf numFmtId="164" fontId="24" fillId="0" borderId="0" xfId="39" applyNumberFormat="1" applyFont="1" applyFill="1"/>
    <xf numFmtId="164" fontId="21" fillId="0" borderId="0" xfId="106" applyNumberFormat="1" applyFont="1" applyFill="1"/>
    <xf numFmtId="0" fontId="32" fillId="0" borderId="0" xfId="100" applyFont="1" applyFill="1"/>
    <xf numFmtId="42" fontId="24" fillId="0" borderId="0" xfId="39" applyNumberFormat="1" applyFont="1" applyFill="1"/>
    <xf numFmtId="42" fontId="24" fillId="0" borderId="0" xfId="28" applyNumberFormat="1" applyFont="1" applyFill="1"/>
    <xf numFmtId="0" fontId="22" fillId="0" borderId="0" xfId="28" applyFont="1" applyFill="1" applyAlignment="1">
      <alignment horizontal="center" wrapText="1"/>
    </xf>
    <xf numFmtId="0" fontId="25" fillId="0" borderId="0" xfId="28" applyFont="1" applyFill="1"/>
    <xf numFmtId="164" fontId="21" fillId="0" borderId="0" xfId="28" applyNumberFormat="1" applyFont="1" applyFill="1"/>
    <xf numFmtId="168" fontId="24" fillId="0" borderId="0" xfId="28" applyNumberFormat="1" applyFont="1" applyFill="1"/>
    <xf numFmtId="0" fontId="21" fillId="0" borderId="0" xfId="28" applyFont="1" applyFill="1" applyAlignment="1">
      <alignment vertical="center"/>
    </xf>
    <xf numFmtId="0" fontId="32" fillId="0" borderId="0" xfId="28" applyFont="1" applyFill="1"/>
    <xf numFmtId="164" fontId="21" fillId="0" borderId="8" xfId="96" applyNumberFormat="1" applyFont="1" applyBorder="1"/>
    <xf numFmtId="17" fontId="21"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1"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0" applyNumberFormat="1" applyFont="1" applyFill="1" applyAlignment="1">
      <alignment wrapText="1"/>
    </xf>
    <xf numFmtId="164" fontId="21" fillId="36" borderId="0" xfId="19" applyNumberFormat="1" applyFont="1" applyFill="1" applyBorder="1" applyAlignment="1">
      <alignment wrapText="1"/>
    </xf>
    <xf numFmtId="167" fontId="54" fillId="36" borderId="0" xfId="133" applyNumberFormat="1" applyFont="1" applyFill="1"/>
    <xf numFmtId="167" fontId="54" fillId="36" borderId="0" xfId="133" applyNumberFormat="1" applyFont="1" applyFill="1" applyBorder="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3" fontId="21" fillId="36" borderId="0" xfId="126" applyNumberFormat="1" applyFont="1" applyFill="1" applyBorder="1"/>
    <xf numFmtId="3" fontId="21" fillId="36" borderId="0" xfId="128" applyNumberFormat="1" applyFont="1" applyFill="1" applyBorder="1"/>
    <xf numFmtId="3" fontId="21" fillId="36" borderId="0" xfId="129" applyNumberFormat="1" applyFont="1" applyFill="1" applyBorder="1"/>
    <xf numFmtId="3" fontId="21" fillId="36" borderId="0" xfId="130" applyNumberFormat="1" applyFont="1" applyFill="1" applyBorder="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5" fontId="21" fillId="36" borderId="0" xfId="22" applyNumberFormat="1" applyFont="1" applyFill="1" applyBorder="1"/>
    <xf numFmtId="3" fontId="0" fillId="36" borderId="0" xfId="0" applyNumberFormat="1" applyFill="1"/>
    <xf numFmtId="170" fontId="21" fillId="36" borderId="0" xfId="100" applyNumberFormat="1" applyFont="1" applyFill="1" applyAlignment="1">
      <alignment horizontal="center"/>
    </xf>
    <xf numFmtId="0" fontId="21" fillId="36" borderId="0" xfId="100" applyFont="1" applyFill="1"/>
    <xf numFmtId="164" fontId="21" fillId="36" borderId="0" xfId="100" applyNumberFormat="1" applyFont="1" applyFill="1"/>
    <xf numFmtId="0" fontId="0" fillId="0" borderId="0" xfId="0"/>
    <xf numFmtId="0" fontId="21" fillId="36" borderId="0" xfId="0" applyFont="1" applyFill="1"/>
    <xf numFmtId="164" fontId="54" fillId="36" borderId="0" xfId="0" applyNumberFormat="1" applyFont="1" applyFill="1"/>
    <xf numFmtId="0" fontId="54" fillId="36" borderId="0" xfId="0" applyFont="1" applyFill="1"/>
    <xf numFmtId="170" fontId="21" fillId="36" borderId="0" xfId="100" applyNumberFormat="1" applyFont="1" applyFill="1" applyAlignment="1">
      <alignment horizontal="center"/>
    </xf>
    <xf numFmtId="164" fontId="21" fillId="36" borderId="0" xfId="96" applyNumberFormat="1" applyFont="1" applyFill="1" applyBorder="1"/>
    <xf numFmtId="0" fontId="21" fillId="36" borderId="0" xfId="0" applyFont="1" applyFill="1"/>
    <xf numFmtId="0" fontId="22" fillId="36" borderId="0" xfId="0" applyFont="1" applyFill="1" applyAlignment="1">
      <alignment horizontal="center"/>
    </xf>
    <xf numFmtId="164" fontId="54" fillId="36" borderId="0" xfId="0" applyNumberFormat="1" applyFont="1" applyFill="1"/>
    <xf numFmtId="170" fontId="21" fillId="36" borderId="0" xfId="100" applyNumberFormat="1" applyFont="1" applyFill="1" applyAlignment="1">
      <alignment horizontal="center"/>
    </xf>
    <xf numFmtId="164" fontId="21" fillId="36" borderId="0" xfId="96" applyNumberFormat="1" applyFont="1" applyFill="1" applyBorder="1"/>
    <xf numFmtId="164" fontId="54" fillId="36" borderId="0" xfId="125" applyNumberFormat="1" applyFont="1" applyFill="1"/>
    <xf numFmtId="0" fontId="54" fillId="36" borderId="0" xfId="125" applyFont="1" applyFill="1"/>
    <xf numFmtId="170" fontId="21" fillId="36" borderId="0" xfId="125" quotePrefix="1" applyNumberFormat="1" applyFont="1" applyFill="1" applyAlignment="1">
      <alignment horizontal="center"/>
    </xf>
    <xf numFmtId="0" fontId="21" fillId="36" borderId="0" xfId="125" applyFont="1" applyFill="1"/>
    <xf numFmtId="164" fontId="54" fillId="36" borderId="0" xfId="96" applyNumberFormat="1" applyFont="1" applyFill="1" applyBorder="1"/>
    <xf numFmtId="0" fontId="21" fillId="36" borderId="0" xfId="125" applyFont="1" applyFill="1" applyBorder="1" applyProtection="1"/>
    <xf numFmtId="164" fontId="65" fillId="36" borderId="0" xfId="0" applyNumberFormat="1" applyFont="1" applyFill="1"/>
    <xf numFmtId="0" fontId="24" fillId="0" borderId="4" xfId="0" applyNumberFormat="1" applyFont="1" applyFill="1" applyBorder="1"/>
    <xf numFmtId="0" fontId="21" fillId="36" borderId="0" xfId="0" applyFont="1" applyFill="1" applyAlignment="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1" fillId="34" borderId="0" xfId="0" applyNumberFormat="1" applyFont="1" applyFill="1"/>
    <xf numFmtId="164" fontId="21" fillId="0" borderId="14" xfId="96" applyNumberFormat="1" applyFont="1" applyFill="1" applyBorder="1"/>
    <xf numFmtId="164" fontId="21" fillId="36" borderId="0" xfId="0" applyNumberFormat="1" applyFont="1" applyFill="1" applyBorder="1"/>
    <xf numFmtId="0" fontId="25" fillId="0" borderId="0" xfId="0" applyFont="1" applyFill="1" applyBorder="1"/>
    <xf numFmtId="0" fontId="24" fillId="0" borderId="0" xfId="0" applyFont="1" applyBorder="1" applyAlignment="1">
      <alignment horizontal="right"/>
    </xf>
    <xf numFmtId="164" fontId="28" fillId="36" borderId="0" xfId="0" applyNumberFormat="1" applyFont="1" applyFill="1" applyBorder="1" applyAlignment="1"/>
    <xf numFmtId="0" fontId="22" fillId="0" borderId="0" xfId="0" applyFont="1" applyBorder="1"/>
    <xf numFmtId="0" fontId="21" fillId="0" borderId="0" xfId="0" applyFont="1" applyBorder="1" applyAlignment="1">
      <alignment horizontal="left" indent="1"/>
    </xf>
    <xf numFmtId="0" fontId="21" fillId="36" borderId="0" xfId="0" applyFont="1" applyFill="1" applyBorder="1"/>
    <xf numFmtId="0" fontId="21" fillId="0" borderId="0" xfId="0" applyFont="1" applyBorder="1" applyAlignment="1">
      <alignment horizontal="right"/>
    </xf>
    <xf numFmtId="164" fontId="21" fillId="36" borderId="0" xfId="0" applyNumberFormat="1" applyFont="1" applyFill="1" applyBorder="1" applyAlignment="1">
      <alignment horizontal="right"/>
    </xf>
    <xf numFmtId="181" fontId="22" fillId="36" borderId="0" xfId="19" applyNumberFormat="1" applyFont="1" applyFill="1" applyAlignment="1">
      <alignment horizontal="center"/>
    </xf>
    <xf numFmtId="164" fontId="54" fillId="36" borderId="0" xfId="125" applyNumberFormat="1" applyFont="1" applyFill="1" applyBorder="1"/>
    <xf numFmtId="164" fontId="54" fillId="36" borderId="0" xfId="0" applyNumberFormat="1" applyFont="1" applyFill="1" applyBorder="1"/>
    <xf numFmtId="0" fontId="22" fillId="36" borderId="0" xfId="0" applyFont="1" applyFill="1" applyBorder="1" applyAlignment="1">
      <alignment horizontal="center"/>
    </xf>
    <xf numFmtId="170" fontId="21" fillId="36" borderId="0" xfId="0" quotePrefix="1" applyNumberFormat="1" applyFont="1" applyFill="1" applyBorder="1" applyAlignment="1" applyProtection="1">
      <alignment horizontal="center"/>
    </xf>
    <xf numFmtId="0" fontId="54" fillId="36" borderId="0" xfId="125" applyFont="1" applyFill="1" applyBorder="1"/>
    <xf numFmtId="164" fontId="24" fillId="0" borderId="0" xfId="0" applyNumberFormat="1" applyFont="1" applyFill="1" applyBorder="1" applyAlignment="1">
      <alignment horizontal="right"/>
    </xf>
    <xf numFmtId="10" fontId="21" fillId="0" borderId="0" xfId="0" applyNumberFormat="1" applyFont="1" applyAlignment="1">
      <alignment horizontal="right" wrapText="1"/>
    </xf>
    <xf numFmtId="0" fontId="53" fillId="0" borderId="0" xfId="126" applyFont="1" applyFill="1" applyAlignment="1">
      <alignment horizontal="center"/>
    </xf>
    <xf numFmtId="0" fontId="21" fillId="0" borderId="5" xfId="126" applyFont="1" applyFill="1" applyBorder="1" applyAlignment="1">
      <alignment horizontal="center" wrapText="1"/>
    </xf>
    <xf numFmtId="0" fontId="21" fillId="0" borderId="0" xfId="126" applyFont="1" applyFill="1" applyAlignment="1">
      <alignment horizontal="center" wrapText="1"/>
    </xf>
    <xf numFmtId="0" fontId="21" fillId="0" borderId="19" xfId="126" applyFont="1" applyFill="1" applyBorder="1" applyAlignment="1">
      <alignment horizontal="center"/>
    </xf>
    <xf numFmtId="9" fontId="21" fillId="0" borderId="0" xfId="37" applyFont="1" applyFill="1"/>
    <xf numFmtId="0" fontId="159" fillId="0" borderId="0" xfId="126" applyFont="1" applyFill="1" applyAlignment="1">
      <alignment horizontal="center"/>
    </xf>
    <xf numFmtId="0" fontId="21" fillId="0" borderId="0" xfId="126" applyFont="1" applyFill="1" applyAlignment="1">
      <alignment horizontal="left"/>
    </xf>
    <xf numFmtId="179" fontId="21" fillId="36" borderId="0" xfId="35" applyNumberFormat="1" applyFont="1" applyFill="1" applyBorder="1" applyAlignment="1">
      <alignment horizontal="left"/>
    </xf>
    <xf numFmtId="0" fontId="21" fillId="36" borderId="0" xfId="35" applyFont="1" applyFill="1" applyBorder="1" applyAlignment="1">
      <alignment horizontal="left" vertical="top" indent="1"/>
    </xf>
    <xf numFmtId="0" fontId="21" fillId="36" borderId="0" xfId="126" applyFont="1" applyFill="1" applyBorder="1"/>
    <xf numFmtId="3" fontId="21" fillId="0" borderId="0" xfId="126" applyNumberFormat="1" applyFont="1"/>
    <xf numFmtId="0" fontId="22" fillId="0" borderId="4" xfId="126" applyFont="1" applyFill="1" applyBorder="1" applyAlignment="1">
      <alignment horizontal="center"/>
    </xf>
    <xf numFmtId="0" fontId="69" fillId="0" borderId="0" xfId="126" applyFont="1" applyFill="1"/>
    <xf numFmtId="0" fontId="159" fillId="0" borderId="0" xfId="126" quotePrefix="1" applyFont="1" applyAlignment="1">
      <alignment horizontal="center" wrapText="1"/>
    </xf>
    <xf numFmtId="0" fontId="161" fillId="0" borderId="0" xfId="126" quotePrefix="1" applyFont="1" applyAlignment="1">
      <alignment horizontal="center"/>
    </xf>
    <xf numFmtId="0" fontId="161" fillId="0" borderId="0" xfId="126" quotePrefix="1" applyFont="1" applyBorder="1" applyAlignment="1">
      <alignment horizontal="center"/>
    </xf>
    <xf numFmtId="2" fontId="162" fillId="0" borderId="29" xfId="126" applyNumberFormat="1" applyFont="1" applyBorder="1" applyAlignment="1">
      <alignment horizontal="center" wrapText="1"/>
    </xf>
    <xf numFmtId="2" fontId="162" fillId="0" borderId="0" xfId="126" applyNumberFormat="1" applyFont="1" applyBorder="1" applyAlignment="1">
      <alignment horizontal="center" wrapText="1"/>
    </xf>
    <xf numFmtId="164" fontId="21" fillId="0" borderId="0" xfId="126" applyNumberFormat="1" applyFont="1" applyFill="1"/>
    <xf numFmtId="2" fontId="159" fillId="0" borderId="0" xfId="126" applyNumberFormat="1" applyFont="1"/>
    <xf numFmtId="164" fontId="159" fillId="0" borderId="0" xfId="126" applyNumberFormat="1" applyFont="1" applyFill="1"/>
    <xf numFmtId="1" fontId="159" fillId="0" borderId="0" xfId="126" applyNumberFormat="1" applyFont="1"/>
    <xf numFmtId="166" fontId="21" fillId="0" borderId="0" xfId="126" quotePrefix="1" applyNumberFormat="1" applyFont="1" applyFill="1" applyAlignment="1">
      <alignment horizontal="center"/>
    </xf>
    <xf numFmtId="166" fontId="21" fillId="0" borderId="0" xfId="126" applyNumberFormat="1" applyFont="1" applyFill="1" applyAlignment="1">
      <alignment horizontal="center"/>
    </xf>
    <xf numFmtId="0" fontId="21" fillId="0" borderId="0" xfId="126" applyFont="1" applyFill="1" applyAlignment="1">
      <alignment readingOrder="1"/>
    </xf>
    <xf numFmtId="0" fontId="21" fillId="0" borderId="0" xfId="126" applyFont="1" applyAlignment="1">
      <alignment wrapText="1"/>
    </xf>
    <xf numFmtId="0" fontId="22" fillId="0" borderId="5" xfId="126" applyFont="1" applyBorder="1" applyAlignment="1">
      <alignment horizontal="center" wrapText="1"/>
    </xf>
    <xf numFmtId="3" fontId="21" fillId="36" borderId="0" xfId="126" applyNumberFormat="1" applyFont="1" applyFill="1"/>
    <xf numFmtId="10" fontId="21" fillId="0" borderId="0" xfId="126" applyNumberFormat="1" applyFont="1"/>
    <xf numFmtId="3" fontId="21" fillId="0" borderId="0" xfId="126" applyNumberFormat="1" applyFont="1" applyFill="1"/>
    <xf numFmtId="164" fontId="21" fillId="0" borderId="0" xfId="0" applyNumberFormat="1" applyFont="1" applyAlignment="1"/>
    <xf numFmtId="166" fontId="21" fillId="0" borderId="0" xfId="0" applyNumberFormat="1" applyFont="1" applyFill="1" applyAlignment="1">
      <alignment horizontal="left" indent="1"/>
    </xf>
    <xf numFmtId="164" fontId="21" fillId="0" borderId="0" xfId="0" quotePrefix="1" applyNumberFormat="1" applyFont="1" applyAlignment="1">
      <alignment horizontal="center"/>
    </xf>
    <xf numFmtId="0" fontId="21" fillId="0" borderId="0" xfId="100" applyNumberFormat="1" applyFont="1" applyFill="1" applyBorder="1" applyAlignment="1">
      <alignment horizontal="left" indent="2"/>
    </xf>
    <xf numFmtId="0" fontId="21" fillId="0" borderId="0" xfId="0" applyFont="1" applyFill="1" applyAlignment="1">
      <alignment horizontal="left" indent="4"/>
    </xf>
    <xf numFmtId="0" fontId="21" fillId="0" borderId="0" xfId="100" applyNumberFormat="1" applyFont="1" applyFill="1" applyBorder="1" applyAlignment="1">
      <alignment horizontal="left" indent="1"/>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0" fontId="21" fillId="0" borderId="0" xfId="0" quotePrefix="1" applyFont="1" applyAlignment="1">
      <alignment horizontal="left" indent="2"/>
    </xf>
    <xf numFmtId="37" fontId="0" fillId="36" borderId="0" xfId="19" applyNumberFormat="1" applyFont="1" applyFill="1"/>
    <xf numFmtId="3" fontId="21" fillId="0" borderId="0" xfId="100" applyNumberFormat="1" applyFont="1" applyFill="1" applyBorder="1" applyAlignment="1">
      <alignment horizontal="left" indent="1"/>
    </xf>
    <xf numFmtId="167" fontId="22" fillId="0" borderId="0" xfId="96" applyNumberFormat="1" applyFont="1" applyFill="1" applyBorder="1" applyAlignment="1">
      <alignment horizontal="center"/>
    </xf>
    <xf numFmtId="0" fontId="21" fillId="0" borderId="0" xfId="100" applyFont="1" applyFill="1" applyBorder="1"/>
    <xf numFmtId="0" fontId="21" fillId="36" borderId="0" xfId="0" applyNumberFormat="1" applyFont="1" applyFill="1" applyAlignment="1"/>
    <xf numFmtId="165" fontId="0" fillId="36" borderId="0" xfId="0" applyNumberFormat="1" applyFill="1"/>
    <xf numFmtId="164" fontId="21" fillId="36" borderId="0" xfId="100" applyNumberFormat="1" applyFont="1" applyFill="1" applyBorder="1" applyAlignment="1">
      <alignment vertical="top" wrapText="1"/>
    </xf>
    <xf numFmtId="5" fontId="21" fillId="36" borderId="0" xfId="22" applyNumberFormat="1" applyFont="1" applyFill="1" applyBorder="1" applyAlignment="1">
      <alignment horizontal="center"/>
    </xf>
    <xf numFmtId="0" fontId="0" fillId="0" borderId="0" xfId="0" applyFill="1" applyAlignment="1"/>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36" borderId="0" xfId="100" applyFont="1" applyFill="1" applyBorder="1" applyAlignment="1">
      <alignment horizontal="center"/>
    </xf>
    <xf numFmtId="164" fontId="28" fillId="34" borderId="0" xfId="0" applyNumberFormat="1" applyFont="1" applyFill="1" applyAlignment="1"/>
    <xf numFmtId="0" fontId="21" fillId="0" borderId="0" xfId="100" quotePrefix="1" applyNumberFormat="1" applyFont="1" applyFill="1" applyBorder="1" applyAlignment="1">
      <alignment horizontal="left"/>
    </xf>
    <xf numFmtId="0" fontId="21" fillId="0" borderId="0" xfId="100" applyNumberFormat="1" applyFont="1" applyFill="1" applyBorder="1" applyAlignment="1">
      <alignment horizontal="right"/>
    </xf>
    <xf numFmtId="164" fontId="21" fillId="0" borderId="0" xfId="96" applyNumberFormat="1" applyFont="1" applyFill="1" applyBorder="1" applyAlignment="1">
      <alignment horizontal="right"/>
    </xf>
    <xf numFmtId="167" fontId="21" fillId="0" borderId="0" xfId="100" quotePrefix="1" applyNumberFormat="1" applyFont="1" applyFill="1" applyBorder="1" applyAlignment="1">
      <alignment horizontal="left" indent="1"/>
    </xf>
    <xf numFmtId="0" fontId="25" fillId="0" borderId="0" xfId="100" applyNumberFormat="1" applyFont="1" applyFill="1" applyBorder="1" applyAlignment="1">
      <alignment horizontal="left"/>
    </xf>
    <xf numFmtId="0" fontId="25" fillId="0" borderId="0" xfId="100" applyNumberFormat="1" applyFont="1" applyFill="1" applyBorder="1" applyAlignment="1">
      <alignment horizontal="center"/>
    </xf>
    <xf numFmtId="167" fontId="21" fillId="0" borderId="0" xfId="100" applyNumberFormat="1" applyFont="1" applyFill="1" applyBorder="1" applyAlignment="1">
      <alignment horizontal="left" indent="1"/>
    </xf>
    <xf numFmtId="0" fontId="21" fillId="0" borderId="0" xfId="100" applyFont="1" applyBorder="1" applyAlignment="1"/>
    <xf numFmtId="167" fontId="21" fillId="0" borderId="0" xfId="96" applyNumberFormat="1" applyFont="1" applyFill="1" applyBorder="1" applyAlignment="1">
      <alignment horizontal="right"/>
    </xf>
    <xf numFmtId="167" fontId="21" fillId="0" borderId="0" xfId="100" applyNumberFormat="1" applyFont="1" applyFill="1" applyBorder="1" applyAlignment="1">
      <alignment horizontal="right"/>
    </xf>
    <xf numFmtId="0" fontId="25" fillId="0" borderId="0" xfId="100" applyFont="1" applyFill="1" applyBorder="1" applyAlignment="1">
      <alignment horizontal="center"/>
    </xf>
    <xf numFmtId="1" fontId="21" fillId="0" borderId="0" xfId="100" applyNumberFormat="1" applyFont="1" applyFill="1" applyBorder="1" applyAlignment="1">
      <alignment horizontal="center"/>
    </xf>
    <xf numFmtId="3" fontId="21" fillId="0" borderId="0" xfId="100" applyNumberFormat="1" applyFont="1" applyFill="1" applyBorder="1" applyAlignment="1"/>
    <xf numFmtId="3" fontId="25" fillId="0" borderId="0" xfId="100" applyNumberFormat="1" applyFont="1" applyFill="1" applyBorder="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5" fontId="21" fillId="0" borderId="0" xfId="0" quotePrefix="1" applyNumberFormat="1" applyFont="1" applyAlignment="1">
      <alignment horizontal="center"/>
    </xf>
    <xf numFmtId="5" fontId="28" fillId="0" borderId="0" xfId="0" quotePrefix="1" applyNumberFormat="1" applyFont="1" applyAlignment="1">
      <alignment horizontal="center"/>
    </xf>
    <xf numFmtId="0" fontId="22" fillId="0" borderId="0" xfId="0" quotePrefix="1" applyFont="1" applyFill="1"/>
    <xf numFmtId="164" fontId="28" fillId="0" borderId="0" xfId="0" quotePrefix="1" applyNumberFormat="1" applyFont="1" applyAlignment="1">
      <alignment horizontal="center"/>
    </xf>
    <xf numFmtId="0" fontId="21" fillId="0" borderId="0" xfId="0" quotePrefix="1" applyFont="1" applyFill="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Font="1" applyFill="1" applyBorder="1" applyAlignment="1">
      <alignment horizontal="left"/>
    </xf>
    <xf numFmtId="0" fontId="65" fillId="0" borderId="0" xfId="0" applyFont="1" applyFill="1" applyAlignment="1">
      <alignment horizontal="left" vertical="center" indent="1"/>
    </xf>
    <xf numFmtId="171" fontId="21" fillId="0" borderId="0" xfId="0" applyNumberFormat="1" applyFont="1" applyFill="1"/>
    <xf numFmtId="37" fontId="22" fillId="36" borderId="3" xfId="97" quotePrefix="1" applyNumberFormat="1" applyFont="1" applyFill="1" applyBorder="1" applyAlignment="1">
      <alignment horizontal="center"/>
    </xf>
    <xf numFmtId="0" fontId="21" fillId="36" borderId="3" xfId="0" quotePrefix="1" applyNumberFormat="1" applyFont="1" applyFill="1" applyBorder="1" applyAlignment="1">
      <alignment horizontal="center"/>
    </xf>
    <xf numFmtId="0" fontId="21" fillId="36" borderId="3" xfId="0" applyNumberFormat="1" applyFont="1" applyFill="1" applyBorder="1"/>
    <xf numFmtId="0" fontId="21" fillId="36" borderId="3" xfId="0" applyFont="1" applyFill="1" applyBorder="1" applyAlignment="1">
      <alignment horizontal="center"/>
    </xf>
    <xf numFmtId="0" fontId="21" fillId="36" borderId="3" xfId="0" quotePrefix="1" applyNumberFormat="1" applyFont="1" applyFill="1" applyBorder="1"/>
    <xf numFmtId="164" fontId="21" fillId="36" borderId="0" xfId="100" applyNumberFormat="1" applyFont="1" applyFill="1" applyBorder="1" applyAlignment="1">
      <alignment horizontal="right" vertical="center" wrapText="1"/>
    </xf>
    <xf numFmtId="164" fontId="28" fillId="36" borderId="0" xfId="100" applyNumberFormat="1" applyFont="1" applyFill="1" applyBorder="1" applyAlignment="1">
      <alignment horizontal="right" vertical="center" wrapText="1"/>
    </xf>
    <xf numFmtId="164" fontId="21" fillId="36" borderId="0" xfId="96" applyNumberFormat="1" applyFont="1" applyFill="1"/>
    <xf numFmtId="164" fontId="36" fillId="36" borderId="0" xfId="96" applyNumberFormat="1" applyFont="1" applyFill="1"/>
    <xf numFmtId="164" fontId="36" fillId="36" borderId="0" xfId="100" applyNumberFormat="1" applyFont="1" applyFill="1"/>
    <xf numFmtId="1" fontId="21" fillId="36" borderId="0" xfId="126" applyNumberFormat="1" applyFont="1" applyFill="1"/>
    <xf numFmtId="164" fontId="36" fillId="0" borderId="0" xfId="0" quotePrefix="1" applyNumberFormat="1" applyFont="1" applyAlignment="1">
      <alignment horizontal="right"/>
    </xf>
    <xf numFmtId="164" fontId="21" fillId="0" borderId="0" xfId="0" quotePrefix="1" applyNumberFormat="1" applyFont="1" applyAlignment="1">
      <alignment horizontal="right"/>
    </xf>
    <xf numFmtId="164" fontId="24" fillId="36" borderId="0" xfId="0" applyNumberFormat="1" applyFont="1" applyFill="1" applyBorder="1" applyAlignment="1">
      <alignment horizontal="right"/>
    </xf>
    <xf numFmtId="206" fontId="24" fillId="0" borderId="0" xfId="0" applyNumberFormat="1" applyFont="1" applyFill="1"/>
    <xf numFmtId="0" fontId="53" fillId="0" borderId="0" xfId="0" applyFont="1"/>
    <xf numFmtId="0" fontId="21" fillId="0" borderId="11" xfId="0" applyNumberFormat="1" applyFont="1" applyFill="1" applyBorder="1" applyAlignment="1">
      <alignment horizontal="center"/>
    </xf>
    <xf numFmtId="0" fontId="21" fillId="0" borderId="4" xfId="0" applyNumberFormat="1" applyFont="1" applyFill="1" applyBorder="1" applyAlignment="1">
      <alignment horizontal="center"/>
    </xf>
    <xf numFmtId="0" fontId="21" fillId="0" borderId="57" xfId="0" applyNumberFormat="1" applyFont="1" applyFill="1" applyBorder="1" applyAlignment="1">
      <alignment horizontal="center"/>
    </xf>
    <xf numFmtId="0" fontId="21" fillId="0" borderId="3" xfId="0" applyNumberFormat="1" applyFont="1" applyFill="1" applyBorder="1" applyAlignment="1">
      <alignment horizontal="center"/>
    </xf>
    <xf numFmtId="0" fontId="21" fillId="0" borderId="3" xfId="0" quotePrefix="1" applyNumberFormat="1" applyFont="1" applyBorder="1" applyAlignment="1">
      <alignment horizontal="center"/>
    </xf>
    <xf numFmtId="164" fontId="21" fillId="36" borderId="0" xfId="0" applyNumberFormat="1" applyFont="1" applyFill="1" applyAlignment="1">
      <alignment horizontal="center"/>
    </xf>
    <xf numFmtId="164" fontId="28" fillId="36" borderId="0" xfId="0" quotePrefix="1" applyNumberFormat="1" applyFont="1" applyFill="1" applyAlignment="1">
      <alignment horizontal="right"/>
    </xf>
    <xf numFmtId="0" fontId="22" fillId="36" borderId="0" xfId="0" applyFont="1" applyFill="1" applyAlignment="1">
      <alignment horizontal="left"/>
    </xf>
    <xf numFmtId="164" fontId="24" fillId="0" borderId="0" xfId="0" applyNumberFormat="1" applyFont="1" applyFill="1" applyAlignment="1"/>
    <xf numFmtId="164" fontId="24" fillId="0" borderId="0" xfId="0" applyNumberFormat="1" applyFont="1" applyFill="1" applyAlignment="1">
      <alignment horizontal="right" indent="1"/>
    </xf>
    <xf numFmtId="3" fontId="54" fillId="0" borderId="0" xfId="0" applyNumberFormat="1" applyFont="1"/>
    <xf numFmtId="0" fontId="21" fillId="0" borderId="0" xfId="28" applyFont="1" applyFill="1" applyBorder="1" applyAlignment="1">
      <alignment horizontal="left"/>
    </xf>
    <xf numFmtId="164" fontId="21" fillId="0" borderId="0" xfId="23" applyNumberFormat="1" applyFont="1" applyFill="1" applyAlignment="1">
      <alignment horizontal="right"/>
    </xf>
    <xf numFmtId="164" fontId="21" fillId="0" borderId="0" xfId="0" applyNumberFormat="1" applyFont="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3" fillId="0" borderId="0" xfId="0" applyFont="1" applyAlignment="1">
      <alignment horizontal="left" wrapText="1"/>
    </xf>
    <xf numFmtId="49" fontId="73" fillId="0" borderId="0" xfId="0" quotePrefix="1" applyNumberFormat="1" applyFont="1" applyAlignment="1">
      <alignment horizontal="left" indent="1"/>
    </xf>
    <xf numFmtId="0" fontId="73" fillId="0" borderId="0" xfId="0" applyFont="1"/>
    <xf numFmtId="49" fontId="73" fillId="0" borderId="0" xfId="0" applyNumberFormat="1" applyFont="1" applyAlignment="1">
      <alignment horizontal="left" indent="1"/>
    </xf>
    <xf numFmtId="0" fontId="21" fillId="0" borderId="0" xfId="0" applyFont="1" applyBorder="1"/>
    <xf numFmtId="3" fontId="21" fillId="0" borderId="0" xfId="23" applyNumberFormat="1" applyFont="1" applyBorder="1" applyAlignment="1">
      <alignment horizontal="right"/>
    </xf>
    <xf numFmtId="3" fontId="21" fillId="0" borderId="0" xfId="0" applyNumberFormat="1" applyFont="1"/>
    <xf numFmtId="164" fontId="54" fillId="36" borderId="0" xfId="23" applyNumberFormat="1" applyFont="1" applyFill="1" applyAlignment="1">
      <alignment horizontal="right"/>
    </xf>
    <xf numFmtId="49" fontId="56" fillId="0" borderId="0" xfId="0" applyNumberFormat="1" applyFont="1" applyAlignment="1">
      <alignment horizontal="center"/>
    </xf>
    <xf numFmtId="0" fontId="22" fillId="0" borderId="0" xfId="0" applyFont="1" applyAlignment="1">
      <alignment horizontal="center" vertical="top"/>
    </xf>
    <xf numFmtId="3" fontId="21" fillId="36" borderId="0" xfId="0" applyNumberFormat="1" applyFont="1" applyFill="1"/>
    <xf numFmtId="3" fontId="54" fillId="36" borderId="0" xfId="247" applyNumberFormat="1" applyFont="1" applyFill="1"/>
    <xf numFmtId="0" fontId="58" fillId="0" borderId="0" xfId="0" applyFont="1" applyFill="1" applyAlignment="1">
      <alignment horizontal="center"/>
    </xf>
    <xf numFmtId="37" fontId="53" fillId="0" borderId="0" xfId="0" applyNumberFormat="1" applyFont="1" applyFill="1"/>
    <xf numFmtId="0" fontId="21" fillId="0" borderId="3" xfId="0" applyNumberFormat="1" applyFont="1" applyFill="1" applyBorder="1" applyAlignment="1">
      <alignment horizontal="left"/>
    </xf>
    <xf numFmtId="0" fontId="21" fillId="0" borderId="3" xfId="97" applyNumberFormat="1" applyFont="1" applyFill="1" applyBorder="1" applyAlignment="1">
      <alignment horizontal="left"/>
    </xf>
    <xf numFmtId="0" fontId="21" fillId="0" borderId="3" xfId="0" applyNumberFormat="1" applyFont="1" applyFill="1" applyBorder="1"/>
    <xf numFmtId="0" fontId="21" fillId="0" borderId="3" xfId="0" quotePrefix="1" applyNumberFormat="1" applyFont="1" applyFill="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Fill="1" applyBorder="1" applyAlignment="1">
      <alignment horizontal="center"/>
    </xf>
    <xf numFmtId="10" fontId="21" fillId="36" borderId="0" xfId="0" applyNumberFormat="1" applyFont="1" applyFill="1" applyAlignment="1">
      <alignment horizontal="right"/>
    </xf>
    <xf numFmtId="0" fontId="53" fillId="0" borderId="0" xfId="126" applyFont="1" applyAlignment="1">
      <alignment horizontal="center"/>
    </xf>
    <xf numFmtId="2" fontId="21" fillId="0" borderId="3" xfId="126" applyNumberFormat="1" applyFont="1" applyBorder="1" applyAlignment="1">
      <alignment horizontal="center" wrapText="1"/>
    </xf>
    <xf numFmtId="165" fontId="21" fillId="0" borderId="0" xfId="0" applyNumberFormat="1" applyFont="1"/>
    <xf numFmtId="0" fontId="71" fillId="0" borderId="0" xfId="0" applyFont="1"/>
    <xf numFmtId="164" fontId="21" fillId="0" borderId="0" xfId="100" applyNumberFormat="1" applyFill="1"/>
    <xf numFmtId="0" fontId="21" fillId="36" borderId="0" xfId="35" applyFont="1" applyFill="1" applyBorder="1" applyAlignment="1">
      <alignment horizontal="left" vertical="top" indent="2"/>
    </xf>
    <xf numFmtId="167" fontId="21" fillId="0" borderId="0" xfId="28" applyNumberFormat="1" applyFont="1" applyBorder="1" applyAlignment="1">
      <alignment vertical="center"/>
    </xf>
    <xf numFmtId="0" fontId="22" fillId="0" borderId="0" xfId="0" applyFont="1" applyFill="1" applyAlignment="1">
      <alignment horizontal="center" vertical="center"/>
    </xf>
    <xf numFmtId="171" fontId="21" fillId="0" borderId="0" xfId="39" applyNumberFormat="1" applyFont="1" applyFill="1" applyBorder="1" applyAlignment="1">
      <alignment horizontal="center" vertical="justify" wrapText="1"/>
    </xf>
    <xf numFmtId="171" fontId="21" fillId="0" borderId="8" xfId="39" applyNumberFormat="1" applyFont="1" applyFill="1" applyBorder="1" applyAlignment="1">
      <alignment horizontal="center" wrapText="1"/>
    </xf>
    <xf numFmtId="0" fontId="21" fillId="0" borderId="0" xfId="100" quotePrefix="1" applyFill="1"/>
    <xf numFmtId="0" fontId="21" fillId="0" borderId="0" xfId="100" applyNumberFormat="1" applyFont="1" applyFill="1" applyAlignment="1">
      <alignment horizontal="center"/>
    </xf>
    <xf numFmtId="0" fontId="21" fillId="0" borderId="0" xfId="100" quotePrefix="1" applyFont="1" applyFill="1" applyAlignment="1">
      <alignment horizontal="center"/>
    </xf>
    <xf numFmtId="0" fontId="21" fillId="0" borderId="0" xfId="100" quotePrefix="1" applyFill="1" applyAlignment="1">
      <alignment horizontal="center" wrapText="1"/>
    </xf>
    <xf numFmtId="0" fontId="21" fillId="0" borderId="0" xfId="100" quotePrefix="1" applyFont="1" applyFill="1" applyAlignment="1">
      <alignment horizontal="center" wrapText="1"/>
    </xf>
    <xf numFmtId="10" fontId="21" fillId="0" borderId="0" xfId="37" quotePrefix="1" applyNumberFormat="1" applyFont="1" applyFill="1" applyAlignment="1">
      <alignment horizontal="center" wrapText="1"/>
    </xf>
    <xf numFmtId="0" fontId="21" fillId="0" borderId="0" xfId="100" applyFill="1" applyAlignment="1">
      <alignment horizontal="center" wrapText="1"/>
    </xf>
    <xf numFmtId="164" fontId="21" fillId="0" borderId="0" xfId="100" quotePrefix="1" applyNumberFormat="1" applyFill="1" applyAlignment="1">
      <alignment horizontal="center"/>
    </xf>
    <xf numFmtId="0" fontId="21" fillId="0" borderId="0" xfId="100" applyFill="1" applyAlignment="1">
      <alignment horizontal="center"/>
    </xf>
    <xf numFmtId="10" fontId="0" fillId="0" borderId="0" xfId="37" applyNumberFormat="1" applyFont="1" applyFill="1" applyAlignment="1">
      <alignment horizontal="center"/>
    </xf>
    <xf numFmtId="1" fontId="24" fillId="0" borderId="0" xfId="28" quotePrefix="1" applyNumberFormat="1" applyFont="1" applyFill="1" applyBorder="1" applyAlignment="1">
      <alignment horizontal="right"/>
    </xf>
    <xf numFmtId="0" fontId="21" fillId="0" borderId="0" xfId="0" applyFont="1" applyFill="1" applyAlignment="1">
      <alignment horizontal="center"/>
    </xf>
    <xf numFmtId="0" fontId="21" fillId="0" borderId="0" xfId="100" applyFont="1" applyFill="1" applyBorder="1" applyAlignment="1">
      <alignment horizontal="left"/>
    </xf>
    <xf numFmtId="0" fontId="61" fillId="0" borderId="0" xfId="0" applyFont="1" applyFill="1"/>
    <xf numFmtId="39" fontId="54" fillId="0" borderId="0" xfId="0" applyNumberFormat="1" applyFont="1" applyFill="1" applyAlignment="1">
      <alignment horizontal="left" indent="1"/>
    </xf>
    <xf numFmtId="0" fontId="21" fillId="0" borderId="0" xfId="100" quotePrefix="1" applyFont="1" applyFill="1" applyAlignment="1">
      <alignment horizontal="left" indent="1"/>
    </xf>
    <xf numFmtId="164" fontId="21" fillId="0" borderId="0" xfId="96" applyNumberFormat="1" applyFont="1" applyFill="1" applyBorder="1" applyAlignment="1">
      <alignment horizontal="left" indent="1"/>
    </xf>
    <xf numFmtId="42" fontId="21" fillId="0" borderId="0" xfId="0" quotePrefix="1" applyNumberFormat="1" applyFont="1" applyFill="1" applyAlignment="1">
      <alignment horizontal="center"/>
    </xf>
    <xf numFmtId="164" fontId="0" fillId="0" borderId="0" xfId="0" quotePrefix="1" applyNumberFormat="1" applyFill="1" applyAlignment="1">
      <alignment horizontal="center"/>
    </xf>
    <xf numFmtId="164" fontId="52" fillId="0" borderId="0" xfId="0" applyNumberFormat="1" applyFont="1" applyFill="1" applyAlignment="1">
      <alignment horizontal="center"/>
    </xf>
    <xf numFmtId="164" fontId="57" fillId="0" borderId="0" xfId="0" applyNumberFormat="1" applyFont="1" applyFill="1" applyAlignment="1">
      <alignment horizontal="center"/>
    </xf>
    <xf numFmtId="164" fontId="24" fillId="0" borderId="0" xfId="0" quotePrefix="1" applyNumberFormat="1" applyFont="1" applyFill="1" applyAlignment="1">
      <alignment horizontal="center"/>
    </xf>
    <xf numFmtId="0" fontId="21" fillId="0" borderId="0" xfId="28" quotePrefix="1" applyFont="1" applyFill="1" applyAlignment="1">
      <alignment horizontal="center" vertical="center"/>
    </xf>
    <xf numFmtId="0" fontId="21" fillId="0" borderId="0" xfId="28" quotePrefix="1" applyFont="1" applyFill="1" applyAlignment="1">
      <alignment horizontal="center"/>
    </xf>
    <xf numFmtId="0" fontId="21" fillId="0" borderId="0" xfId="28" applyFont="1" applyFill="1" applyBorder="1" applyAlignment="1">
      <alignment horizontal="center"/>
    </xf>
    <xf numFmtId="0" fontId="21" fillId="0" borderId="0" xfId="28" quotePrefix="1" applyFont="1" applyFill="1" applyBorder="1" applyAlignment="1">
      <alignment horizontal="center"/>
    </xf>
    <xf numFmtId="0" fontId="21" fillId="0" borderId="0" xfId="100" quotePrefix="1" applyFont="1" applyFill="1"/>
    <xf numFmtId="167" fontId="21" fillId="0" borderId="0" xfId="28" quotePrefix="1" applyNumberFormat="1" applyFont="1" applyFill="1" applyBorder="1" applyAlignment="1">
      <alignment horizontal="center"/>
    </xf>
    <xf numFmtId="0" fontId="21" fillId="0" borderId="0" xfId="28" quotePrefix="1" applyFont="1" applyFill="1" applyAlignment="1">
      <alignment vertical="center"/>
    </xf>
    <xf numFmtId="0" fontId="22" fillId="0" borderId="0" xfId="28" applyFont="1" applyFill="1" applyAlignment="1">
      <alignment horizontal="center" vertical="center"/>
    </xf>
    <xf numFmtId="0" fontId="24" fillId="0" borderId="0" xfId="28" applyFont="1" applyFill="1" applyAlignment="1">
      <alignment vertical="center"/>
    </xf>
    <xf numFmtId="0" fontId="22" fillId="0" borderId="0" xfId="28" applyFont="1" applyFill="1" applyAlignment="1">
      <alignment horizontal="right" vertical="center"/>
    </xf>
    <xf numFmtId="0" fontId="21" fillId="0" borderId="0" xfId="126" applyFont="1" applyAlignment="1">
      <alignment vertical="center" wrapText="1"/>
    </xf>
    <xf numFmtId="0" fontId="21" fillId="0" borderId="0" xfId="126" applyFont="1" applyFill="1" applyAlignment="1">
      <alignment horizontal="center" vertical="center" wrapText="1"/>
    </xf>
    <xf numFmtId="0" fontId="21" fillId="0" borderId="0" xfId="126" applyFont="1" applyFill="1" applyAlignment="1">
      <alignment vertical="center" wrapText="1"/>
    </xf>
    <xf numFmtId="0" fontId="21" fillId="0" borderId="0" xfId="126" applyFont="1" applyFill="1" applyAlignment="1"/>
    <xf numFmtId="173" fontId="21" fillId="0" borderId="0" xfId="126" applyNumberFormat="1" applyFont="1" applyAlignment="1">
      <alignment horizontal="center"/>
    </xf>
    <xf numFmtId="10" fontId="21" fillId="0" borderId="0" xfId="126" applyNumberFormat="1" applyFont="1" applyBorder="1"/>
    <xf numFmtId="166" fontId="21" fillId="0" borderId="17" xfId="126" applyNumberFormat="1" applyFont="1" applyBorder="1" applyAlignment="1">
      <alignment horizontal="center"/>
    </xf>
    <xf numFmtId="164" fontId="21" fillId="0" borderId="18" xfId="126" applyNumberFormat="1" applyFont="1" applyBorder="1"/>
    <xf numFmtId="166" fontId="21" fillId="0" borderId="18" xfId="126" applyNumberFormat="1" applyFont="1" applyBorder="1" applyAlignment="1">
      <alignment horizontal="center"/>
    </xf>
    <xf numFmtId="0" fontId="21" fillId="0" borderId="18" xfId="0" applyFont="1" applyBorder="1" applyAlignment="1">
      <alignment horizontal="center"/>
    </xf>
    <xf numFmtId="166" fontId="21" fillId="0" borderId="0" xfId="126" applyNumberFormat="1" applyFont="1" applyAlignment="1">
      <alignment horizontal="center"/>
    </xf>
    <xf numFmtId="166" fontId="21" fillId="0" borderId="0" xfId="126" applyNumberFormat="1" applyFont="1"/>
    <xf numFmtId="3" fontId="21" fillId="0" borderId="0" xfId="131" applyNumberFormat="1" applyFont="1" applyFill="1" applyBorder="1"/>
    <xf numFmtId="3" fontId="21" fillId="0" borderId="0" xfId="132" applyNumberFormat="1" applyFont="1" applyFill="1"/>
    <xf numFmtId="0" fontId="21" fillId="0" borderId="0" xfId="126" applyFont="1" applyFill="1" applyBorder="1"/>
    <xf numFmtId="166" fontId="21" fillId="0" borderId="0" xfId="126" applyNumberFormat="1" applyFont="1" applyFill="1"/>
    <xf numFmtId="3" fontId="21" fillId="0" borderId="0" xfId="130" applyNumberFormat="1" applyFont="1" applyFill="1" applyBorder="1" applyAlignment="1">
      <alignment horizontal="center"/>
    </xf>
    <xf numFmtId="0" fontId="21" fillId="0" borderId="0" xfId="126" applyFont="1" applyFill="1" applyBorder="1" applyAlignment="1">
      <alignment horizontal="center"/>
    </xf>
    <xf numFmtId="3" fontId="21" fillId="0" borderId="0" xfId="0" applyNumberFormat="1" applyFont="1" applyFill="1" applyAlignment="1">
      <alignment horizontal="right"/>
    </xf>
    <xf numFmtId="166" fontId="21" fillId="0" borderId="0" xfId="0" applyNumberFormat="1" applyFont="1" applyFill="1" applyAlignment="1">
      <alignment horizontal="right"/>
    </xf>
    <xf numFmtId="173" fontId="21" fillId="0" borderId="0" xfId="126" quotePrefix="1" applyNumberFormat="1" applyFont="1" applyFill="1" applyAlignment="1">
      <alignment horizontal="center"/>
    </xf>
    <xf numFmtId="164" fontId="21" fillId="0" borderId="0" xfId="126" quotePrefix="1" applyNumberFormat="1" applyFont="1" applyFill="1" applyAlignment="1">
      <alignment horizontal="center"/>
    </xf>
    <xf numFmtId="164" fontId="21" fillId="0" borderId="0" xfId="126" applyNumberFormat="1" applyFont="1" applyAlignment="1">
      <alignment horizontal="right"/>
    </xf>
    <xf numFmtId="166" fontId="21" fillId="0" borderId="17" xfId="126" quotePrefix="1" applyNumberFormat="1" applyFont="1" applyFill="1" applyBorder="1" applyAlignment="1">
      <alignment horizontal="center"/>
    </xf>
    <xf numFmtId="166" fontId="21" fillId="0" borderId="18" xfId="126" applyNumberFormat="1" applyFont="1" applyFill="1" applyBorder="1" applyAlignment="1">
      <alignment horizontal="center"/>
    </xf>
    <xf numFmtId="164" fontId="21" fillId="0" borderId="0" xfId="126" applyNumberFormat="1" applyFont="1" applyBorder="1" applyAlignment="1">
      <alignment horizontal="right"/>
    </xf>
    <xf numFmtId="173" fontId="21" fillId="0" borderId="0" xfId="126" applyNumberFormat="1" applyFont="1" applyFill="1" applyAlignment="1">
      <alignment horizontal="center"/>
    </xf>
    <xf numFmtId="166" fontId="21" fillId="0" borderId="17" xfId="126" applyNumberFormat="1" applyFont="1" applyFill="1" applyBorder="1" applyAlignment="1">
      <alignment horizontal="center"/>
    </xf>
    <xf numFmtId="164" fontId="21" fillId="0" borderId="0" xfId="126" applyNumberFormat="1" applyFont="1" applyBorder="1"/>
    <xf numFmtId="179" fontId="22" fillId="0" borderId="0" xfId="35" applyNumberFormat="1" applyFont="1" applyFill="1" applyAlignment="1">
      <alignment horizontal="left"/>
    </xf>
    <xf numFmtId="0" fontId="21" fillId="0" borderId="7" xfId="126" applyFont="1" applyFill="1" applyBorder="1"/>
    <xf numFmtId="0" fontId="21" fillId="0" borderId="7" xfId="126" applyFont="1" applyBorder="1"/>
    <xf numFmtId="0" fontId="21" fillId="0" borderId="7" xfId="126" applyFont="1" applyBorder="1" applyAlignment="1">
      <alignment horizontal="center"/>
    </xf>
    <xf numFmtId="174" fontId="21" fillId="36" borderId="0" xfId="0" applyNumberFormat="1" applyFont="1" applyFill="1" applyAlignment="1">
      <alignment horizontal="center"/>
    </xf>
    <xf numFmtId="0" fontId="53" fillId="0" borderId="10" xfId="126" applyFont="1" applyFill="1" applyBorder="1" applyAlignment="1">
      <alignment horizontal="center"/>
    </xf>
    <xf numFmtId="9" fontId="0" fillId="0" borderId="0" xfId="0" applyNumberFormat="1" applyFill="1" applyAlignment="1">
      <alignment horizontal="left"/>
    </xf>
    <xf numFmtId="0" fontId="21" fillId="0" borderId="4" xfId="126" applyFont="1" applyFill="1" applyBorder="1" applyAlignment="1">
      <alignment wrapText="1"/>
    </xf>
    <xf numFmtId="0" fontId="21" fillId="0" borderId="0" xfId="126" quotePrefix="1" applyFont="1" applyFill="1" applyAlignment="1">
      <alignment horizontal="center" vertical="center" wrapText="1"/>
    </xf>
    <xf numFmtId="0" fontId="21" fillId="0" borderId="0" xfId="126" quotePrefix="1" applyFont="1" applyFill="1" applyAlignment="1">
      <alignment horizontal="center" wrapText="1"/>
    </xf>
    <xf numFmtId="0" fontId="21" fillId="0" borderId="0" xfId="126" quotePrefix="1" applyFont="1" applyFill="1" applyAlignment="1">
      <alignment horizontal="center" vertical="top" wrapText="1"/>
    </xf>
    <xf numFmtId="0" fontId="21" fillId="0" borderId="0" xfId="126" applyFont="1" applyFill="1" applyAlignment="1">
      <alignment wrapText="1"/>
    </xf>
    <xf numFmtId="3" fontId="21" fillId="0" borderId="3" xfId="126" applyNumberFormat="1" applyFont="1" applyFill="1" applyBorder="1"/>
    <xf numFmtId="10" fontId="21" fillId="0" borderId="3" xfId="126" applyNumberFormat="1" applyFont="1" applyFill="1" applyBorder="1"/>
    <xf numFmtId="10" fontId="54" fillId="0" borderId="3" xfId="134" applyNumberFormat="1" applyFont="1" applyFill="1" applyBorder="1"/>
    <xf numFmtId="164" fontId="21" fillId="0" borderId="3" xfId="126" applyNumberFormat="1" applyFont="1" applyFill="1" applyBorder="1"/>
    <xf numFmtId="0" fontId="21" fillId="0" borderId="0" xfId="126" quotePrefix="1" applyFont="1" applyFill="1" applyAlignment="1">
      <alignment horizontal="center"/>
    </xf>
    <xf numFmtId="0" fontId="64" fillId="0" borderId="0" xfId="126" quotePrefix="1" applyFont="1" applyFill="1" applyAlignment="1">
      <alignment horizontal="center" vertical="center" wrapText="1"/>
    </xf>
    <xf numFmtId="0" fontId="21" fillId="0" borderId="6" xfId="126" quotePrefix="1" applyFont="1" applyFill="1" applyBorder="1" applyAlignment="1">
      <alignment horizontal="center" wrapText="1"/>
    </xf>
    <xf numFmtId="0" fontId="21" fillId="0" borderId="5" xfId="126" quotePrefix="1" applyFont="1" applyFill="1" applyBorder="1" applyAlignment="1">
      <alignment horizontal="center" wrapText="1"/>
    </xf>
    <xf numFmtId="0" fontId="21" fillId="0" borderId="0" xfId="126" applyFont="1" applyFill="1" applyAlignment="1">
      <alignment horizontal="left" indent="1"/>
    </xf>
    <xf numFmtId="0" fontId="163" fillId="0" borderId="0" xfId="0" applyFont="1" applyAlignment="1">
      <alignment horizontal="center"/>
    </xf>
    <xf numFmtId="0" fontId="22" fillId="36" borderId="0" xfId="100" applyFont="1" applyFill="1" applyBorder="1" applyAlignment="1">
      <alignment horizontal="left"/>
    </xf>
    <xf numFmtId="164" fontId="21" fillId="36" borderId="0" xfId="125" applyNumberFormat="1" applyFont="1" applyFill="1"/>
    <xf numFmtId="164" fontId="21" fillId="0" borderId="0" xfId="19" applyNumberFormat="1" applyFont="1"/>
    <xf numFmtId="173" fontId="53" fillId="0" borderId="0" xfId="126" applyNumberFormat="1" applyFont="1" applyAlignment="1">
      <alignment horizontal="center"/>
    </xf>
    <xf numFmtId="173" fontId="21" fillId="0" borderId="59" xfId="126" applyNumberFormat="1" applyFont="1" applyBorder="1" applyAlignment="1">
      <alignment horizontal="center"/>
    </xf>
    <xf numFmtId="173" fontId="21" fillId="0" borderId="61" xfId="126" applyNumberFormat="1" applyFont="1" applyBorder="1" applyAlignment="1">
      <alignment horizontal="center"/>
    </xf>
    <xf numFmtId="0" fontId="22" fillId="0" borderId="9" xfId="126" applyFont="1" applyFill="1" applyBorder="1"/>
    <xf numFmtId="0" fontId="21" fillId="0" borderId="4" xfId="126" applyFont="1" applyBorder="1"/>
    <xf numFmtId="2" fontId="23" fillId="34" borderId="0" xfId="35" applyNumberFormat="1" applyFont="1" applyFill="1" applyAlignment="1">
      <alignment horizontal="left"/>
    </xf>
    <xf numFmtId="179" fontId="23" fillId="34" borderId="0" xfId="35" quotePrefix="1" applyNumberFormat="1" applyFont="1" applyFill="1" applyAlignment="1">
      <alignment horizontal="left"/>
    </xf>
    <xf numFmtId="164" fontId="59" fillId="36" borderId="0" xfId="0" applyNumberFormat="1" applyFont="1" applyFill="1" applyBorder="1"/>
    <xf numFmtId="164" fontId="54" fillId="36" borderId="0" xfId="0" applyNumberFormat="1" applyFont="1" applyFill="1" applyBorder="1" applyAlignment="1">
      <alignment horizontal="right"/>
    </xf>
    <xf numFmtId="10" fontId="54" fillId="36" borderId="0" xfId="0" applyNumberFormat="1" applyFont="1" applyFill="1" applyBorder="1"/>
    <xf numFmtId="0" fontId="54" fillId="36" borderId="0" xfId="0" applyFont="1" applyFill="1" applyBorder="1"/>
    <xf numFmtId="0" fontId="0" fillId="36" borderId="0" xfId="0" applyFill="1" applyBorder="1"/>
    <xf numFmtId="164" fontId="54" fillId="34" borderId="0" xfId="0" applyNumberFormat="1" applyFont="1" applyFill="1" applyBorder="1"/>
    <xf numFmtId="0" fontId="26" fillId="0" borderId="0" xfId="0" applyFont="1"/>
    <xf numFmtId="0" fontId="27" fillId="0" borderId="0" xfId="0" applyFont="1"/>
    <xf numFmtId="164" fontId="21" fillId="0" borderId="14" xfId="0" applyNumberFormat="1" applyFont="1" applyBorder="1"/>
    <xf numFmtId="164" fontId="21" fillId="0" borderId="8" xfId="0" applyNumberFormat="1" applyFont="1" applyBorder="1"/>
    <xf numFmtId="208" fontId="0" fillId="36" borderId="0" xfId="0" applyNumberFormat="1" applyFill="1" applyAlignment="1">
      <alignment horizontal="center"/>
    </xf>
    <xf numFmtId="0" fontId="21" fillId="36" borderId="0" xfId="125" quotePrefix="1" applyFill="1"/>
    <xf numFmtId="208" fontId="21" fillId="36" borderId="0" xfId="0" quotePrefix="1" applyNumberFormat="1" applyFont="1" applyFill="1" applyAlignment="1">
      <alignment horizontal="center"/>
    </xf>
    <xf numFmtId="0" fontId="163" fillId="0" borderId="0" xfId="0" applyFont="1" applyAlignment="1">
      <alignment horizontal="left"/>
    </xf>
    <xf numFmtId="0" fontId="71" fillId="0" borderId="0" xfId="0" applyFont="1" applyAlignment="1">
      <alignment horizontal="left" indent="2"/>
    </xf>
    <xf numFmtId="0" fontId="71" fillId="0" borderId="0" xfId="0" applyFont="1" applyFill="1"/>
    <xf numFmtId="0" fontId="165" fillId="0" borderId="0" xfId="0" applyFont="1"/>
    <xf numFmtId="0" fontId="71" fillId="0" borderId="0" xfId="0" applyFont="1" applyAlignment="1">
      <alignment horizontal="left" indent="1"/>
    </xf>
    <xf numFmtId="0" fontId="0" fillId="0" borderId="0" xfId="0" applyAlignment="1"/>
    <xf numFmtId="0" fontId="26" fillId="37" borderId="0" xfId="0" applyFont="1" applyFill="1"/>
    <xf numFmtId="0" fontId="71" fillId="36" borderId="0" xfId="0" applyFont="1" applyFill="1"/>
    <xf numFmtId="0" fontId="165" fillId="0" borderId="0" xfId="0" applyFont="1" applyAlignment="1">
      <alignment horizontal="right"/>
    </xf>
    <xf numFmtId="0" fontId="166" fillId="36" borderId="0" xfId="0" applyFont="1" applyFill="1"/>
    <xf numFmtId="0" fontId="51" fillId="36" borderId="0" xfId="28" applyFont="1" applyFill="1" applyAlignment="1">
      <alignment horizontal="center"/>
    </xf>
    <xf numFmtId="0" fontId="165" fillId="0" borderId="0" xfId="0" applyFont="1" applyFill="1" applyAlignment="1">
      <alignment horizontal="right"/>
    </xf>
    <xf numFmtId="0" fontId="65" fillId="0" borderId="0" xfId="0" applyFont="1"/>
    <xf numFmtId="10" fontId="24" fillId="0" borderId="0" xfId="0" applyNumberFormat="1" applyFont="1" applyFill="1"/>
    <xf numFmtId="10" fontId="54" fillId="0" borderId="0" xfId="0" applyNumberFormat="1" applyFont="1" applyFill="1" applyBorder="1"/>
    <xf numFmtId="0" fontId="167" fillId="0" borderId="0" xfId="0" applyFont="1"/>
    <xf numFmtId="0" fontId="22" fillId="0" borderId="0" xfId="100" applyFont="1" applyFill="1" applyAlignment="1">
      <alignment horizontal="left" indent="1"/>
    </xf>
    <xf numFmtId="164" fontId="21" fillId="0" borderId="0" xfId="100" applyNumberFormat="1" applyFont="1" applyFill="1" applyBorder="1" applyAlignment="1">
      <alignment horizontal="right"/>
    </xf>
    <xf numFmtId="0" fontId="0" fillId="0" borderId="0" xfId="0" applyFill="1" applyAlignment="1">
      <alignment horizontal="left" vertical="center" indent="1"/>
    </xf>
    <xf numFmtId="3" fontId="61" fillId="0" borderId="0" xfId="0" applyNumberFormat="1" applyFont="1"/>
    <xf numFmtId="0" fontId="168" fillId="0" borderId="0" xfId="0" applyFont="1" applyAlignment="1">
      <alignment horizontal="center"/>
    </xf>
    <xf numFmtId="0" fontId="169" fillId="0" borderId="0" xfId="0" quotePrefix="1" applyFont="1" applyAlignment="1">
      <alignment horizontal="center"/>
    </xf>
    <xf numFmtId="0" fontId="22" fillId="0" borderId="0" xfId="34" applyFont="1" applyAlignment="1">
      <alignment horizontal="right"/>
    </xf>
    <xf numFmtId="0" fontId="22" fillId="0" borderId="0" xfId="0" applyFont="1" applyAlignment="1">
      <alignment horizontal="right" indent="1"/>
    </xf>
    <xf numFmtId="0" fontId="22" fillId="0" borderId="0" xfId="0" applyFont="1" applyFill="1" applyAlignment="1">
      <alignment horizontal="right"/>
    </xf>
    <xf numFmtId="170" fontId="21" fillId="36" borderId="0" xfId="100" quotePrefix="1" applyNumberFormat="1" applyFont="1" applyFill="1" applyAlignment="1">
      <alignment horizontal="center"/>
    </xf>
    <xf numFmtId="172" fontId="54" fillId="34" borderId="0" xfId="0" applyNumberFormat="1" applyFont="1" applyFill="1" applyAlignment="1">
      <alignment wrapText="1"/>
    </xf>
    <xf numFmtId="172" fontId="54" fillId="34" borderId="0" xfId="0" applyNumberFormat="1" applyFont="1" applyFill="1"/>
    <xf numFmtId="0" fontId="21" fillId="36" borderId="0" xfId="34" applyFont="1" applyFill="1" applyAlignment="1">
      <alignment horizontal="left" indent="1"/>
    </xf>
    <xf numFmtId="3" fontId="21" fillId="36" borderId="62" xfId="19" applyNumberFormat="1" applyFont="1" applyFill="1" applyBorder="1" applyAlignment="1">
      <alignment horizontal="center"/>
    </xf>
    <xf numFmtId="3" fontId="21" fillId="36" borderId="11" xfId="19" applyNumberFormat="1" applyFont="1" applyFill="1" applyBorder="1" applyAlignment="1">
      <alignment horizontal="center"/>
    </xf>
    <xf numFmtId="0" fontId="21" fillId="0" borderId="4" xfId="0" applyNumberFormat="1" applyFont="1" applyFill="1" applyBorder="1"/>
    <xf numFmtId="37" fontId="54" fillId="36" borderId="0" xfId="0" applyNumberFormat="1" applyFont="1" applyFill="1" applyAlignment="1">
      <alignment horizontal="center"/>
    </xf>
    <xf numFmtId="167" fontId="55" fillId="0" borderId="0" xfId="19" quotePrefix="1" applyNumberFormat="1" applyFont="1"/>
    <xf numFmtId="167" fontId="55" fillId="0" borderId="0" xfId="19" applyNumberFormat="1" applyFont="1" applyBorder="1" applyAlignment="1">
      <alignment horizontal="center"/>
    </xf>
    <xf numFmtId="167" fontId="52" fillId="0" borderId="0" xfId="19" applyNumberFormat="1" applyFont="1" applyBorder="1" applyAlignment="1"/>
    <xf numFmtId="167" fontId="54" fillId="0" borderId="0" xfId="19" applyNumberFormat="1" applyFont="1"/>
    <xf numFmtId="167" fontId="55" fillId="0" borderId="0" xfId="19" quotePrefix="1" applyNumberFormat="1" applyFont="1" applyAlignment="1">
      <alignment horizontal="right"/>
    </xf>
    <xf numFmtId="181" fontId="55" fillId="36" borderId="0" xfId="19" quotePrefix="1" applyNumberFormat="1" applyFont="1" applyFill="1" applyAlignment="1">
      <alignment horizontal="center"/>
    </xf>
    <xf numFmtId="167" fontId="54" fillId="0" borderId="0" xfId="19" applyNumberFormat="1" applyFont="1" applyAlignment="1">
      <alignment horizontal="center"/>
    </xf>
    <xf numFmtId="167" fontId="55" fillId="0" borderId="0" xfId="19" quotePrefix="1" applyNumberFormat="1" applyFont="1" applyAlignment="1">
      <alignment horizontal="center"/>
    </xf>
    <xf numFmtId="167" fontId="0" fillId="0" borderId="0" xfId="19" applyNumberFormat="1" applyFont="1" applyAlignment="1">
      <alignment horizontal="center"/>
    </xf>
    <xf numFmtId="167" fontId="61" fillId="0" borderId="0" xfId="19" applyNumberFormat="1" applyFont="1" applyAlignment="1">
      <alignment horizontal="center"/>
    </xf>
    <xf numFmtId="167" fontId="55" fillId="0" borderId="63" xfId="19" applyNumberFormat="1" applyFont="1" applyBorder="1" applyAlignment="1">
      <alignment horizontal="center" vertical="center"/>
    </xf>
    <xf numFmtId="167" fontId="55" fillId="0" borderId="63" xfId="19" quotePrefix="1" applyNumberFormat="1" applyFont="1" applyBorder="1" applyAlignment="1">
      <alignment horizontal="center" vertical="center"/>
    </xf>
    <xf numFmtId="167" fontId="171" fillId="0" borderId="0" xfId="19" applyNumberFormat="1" applyFont="1" applyAlignment="1">
      <alignment horizontal="center"/>
    </xf>
    <xf numFmtId="167" fontId="55" fillId="0" borderId="0" xfId="19" applyNumberFormat="1" applyFont="1" applyFill="1" applyBorder="1" applyAlignment="1">
      <alignment horizontal="center" wrapText="1"/>
    </xf>
    <xf numFmtId="167" fontId="55" fillId="0" borderId="63" xfId="19" applyNumberFormat="1" applyFont="1" applyBorder="1" applyAlignment="1">
      <alignment horizontal="center" vertical="center" wrapText="1"/>
    </xf>
    <xf numFmtId="167" fontId="60" fillId="0" borderId="63" xfId="19" applyNumberFormat="1" applyFont="1" applyBorder="1" applyAlignment="1">
      <alignment horizontal="center" vertical="center" wrapText="1"/>
    </xf>
    <xf numFmtId="167" fontId="52" fillId="0" borderId="18" xfId="19" applyNumberFormat="1" applyFont="1" applyBorder="1" applyAlignment="1">
      <alignment horizontal="center" vertical="center" wrapText="1"/>
    </xf>
    <xf numFmtId="167" fontId="52" fillId="0" borderId="63" xfId="19" applyNumberFormat="1" applyFont="1" applyBorder="1" applyAlignment="1">
      <alignment horizontal="center" vertical="center" wrapText="1"/>
    </xf>
    <xf numFmtId="167" fontId="0" fillId="0" borderId="0" xfId="19" applyNumberFormat="1" applyFont="1" applyFill="1" applyBorder="1" applyAlignment="1">
      <alignment horizontal="center" vertical="center" wrapText="1"/>
    </xf>
    <xf numFmtId="0" fontId="55" fillId="0" borderId="0" xfId="19" applyNumberFormat="1" applyFont="1" applyAlignment="1">
      <alignment horizontal="center"/>
    </xf>
    <xf numFmtId="167" fontId="56" fillId="0" borderId="0" xfId="19" applyNumberFormat="1" applyFont="1"/>
    <xf numFmtId="167" fontId="172" fillId="0" borderId="0" xfId="19" applyNumberFormat="1" applyFont="1"/>
    <xf numFmtId="167" fontId="54" fillId="0" borderId="0" xfId="19" applyNumberFormat="1" applyFont="1" applyFill="1"/>
    <xf numFmtId="0" fontId="54" fillId="0" borderId="0" xfId="19" applyNumberFormat="1" applyFont="1" applyFill="1" applyAlignment="1">
      <alignment horizontal="center"/>
    </xf>
    <xf numFmtId="167" fontId="54" fillId="36" borderId="0" xfId="19" applyNumberFormat="1" applyFont="1" applyFill="1"/>
    <xf numFmtId="167" fontId="54" fillId="36" borderId="0" xfId="19" quotePrefix="1" applyNumberFormat="1" applyFont="1" applyFill="1" applyAlignment="1">
      <alignment vertical="center"/>
    </xf>
    <xf numFmtId="0" fontId="54" fillId="36" borderId="0" xfId="19" applyNumberFormat="1" applyFont="1" applyFill="1"/>
    <xf numFmtId="0" fontId="55" fillId="0" borderId="0" xfId="19" quotePrefix="1" applyNumberFormat="1" applyFont="1" applyAlignment="1">
      <alignment horizontal="center"/>
    </xf>
    <xf numFmtId="167" fontId="54" fillId="0" borderId="0" xfId="19" applyNumberFormat="1" applyFont="1" applyFill="1" applyAlignment="1">
      <alignment horizontal="right"/>
    </xf>
    <xf numFmtId="0" fontId="54" fillId="0" borderId="0" xfId="19" applyNumberFormat="1" applyFont="1" applyFill="1"/>
    <xf numFmtId="167" fontId="172" fillId="0" borderId="0" xfId="19" applyNumberFormat="1" applyFont="1" applyFill="1"/>
    <xf numFmtId="0" fontId="172" fillId="0" borderId="0" xfId="19" applyNumberFormat="1" applyFont="1" applyFill="1"/>
    <xf numFmtId="41" fontId="54" fillId="0" borderId="0" xfId="0" applyNumberFormat="1" applyFont="1"/>
    <xf numFmtId="167" fontId="173" fillId="0" borderId="0" xfId="19" applyNumberFormat="1" applyFont="1" applyFill="1"/>
    <xf numFmtId="41" fontId="54" fillId="36" borderId="9" xfId="0" applyNumberFormat="1" applyFont="1" applyFill="1" applyBorder="1"/>
    <xf numFmtId="167" fontId="55" fillId="0" borderId="0" xfId="19" applyNumberFormat="1" applyFont="1" applyFill="1"/>
    <xf numFmtId="0" fontId="55" fillId="0" borderId="0" xfId="19" applyNumberFormat="1" applyFont="1" applyFill="1"/>
    <xf numFmtId="167" fontId="53" fillId="0" borderId="0" xfId="19" applyNumberFormat="1" applyFont="1" applyFill="1"/>
    <xf numFmtId="0" fontId="53" fillId="0" borderId="0" xfId="19" applyNumberFormat="1" applyFont="1" applyFill="1"/>
    <xf numFmtId="167" fontId="55" fillId="0" borderId="0" xfId="19" applyNumberFormat="1" applyFont="1"/>
    <xf numFmtId="41" fontId="54" fillId="0" borderId="0" xfId="53892" applyFont="1"/>
    <xf numFmtId="167" fontId="53" fillId="0" borderId="0" xfId="19" applyNumberFormat="1" applyFont="1"/>
    <xf numFmtId="167" fontId="54" fillId="0" borderId="0" xfId="19" applyNumberFormat="1" applyFont="1" applyBorder="1"/>
    <xf numFmtId="167" fontId="25" fillId="0" borderId="0" xfId="19" applyNumberFormat="1" applyFont="1"/>
    <xf numFmtId="167" fontId="174" fillId="0" borderId="0" xfId="19" applyNumberFormat="1" applyFont="1"/>
    <xf numFmtId="167" fontId="21" fillId="0" borderId="0" xfId="19" applyNumberFormat="1" applyFont="1" applyAlignment="1">
      <alignment horizontal="left" indent="1"/>
    </xf>
    <xf numFmtId="167" fontId="54" fillId="0" borderId="0" xfId="19" applyNumberFormat="1" applyFont="1" applyAlignment="1">
      <alignment horizontal="left" indent="1"/>
    </xf>
    <xf numFmtId="167" fontId="54" fillId="0" borderId="0" xfId="19" applyNumberFormat="1" applyFont="1" applyAlignment="1">
      <alignment horizontal="right"/>
    </xf>
    <xf numFmtId="167" fontId="54" fillId="36" borderId="0" xfId="19" quotePrefix="1" applyNumberFormat="1" applyFont="1" applyFill="1" applyAlignment="1">
      <alignment horizontal="right"/>
    </xf>
    <xf numFmtId="181" fontId="54" fillId="36" borderId="0" xfId="19" applyNumberFormat="1" applyFont="1" applyFill="1" applyAlignment="1">
      <alignment horizontal="right"/>
    </xf>
    <xf numFmtId="167" fontId="55" fillId="0" borderId="0" xfId="19" quotePrefix="1" applyNumberFormat="1" applyFont="1" applyBorder="1" applyAlignment="1">
      <alignment horizontal="center"/>
    </xf>
    <xf numFmtId="167" fontId="55" fillId="36" borderId="0" xfId="19" quotePrefix="1" applyNumberFormat="1" applyFont="1" applyFill="1" applyAlignment="1">
      <alignment horizontal="center"/>
    </xf>
    <xf numFmtId="167" fontId="55" fillId="0" borderId="0" xfId="19" applyNumberFormat="1" applyFont="1" applyAlignment="1">
      <alignment horizontal="right"/>
    </xf>
    <xf numFmtId="10" fontId="54" fillId="36" borderId="0" xfId="19" applyNumberFormat="1" applyFont="1" applyFill="1" applyAlignment="1">
      <alignment horizontal="center"/>
    </xf>
    <xf numFmtId="167" fontId="55" fillId="0" borderId="68" xfId="19" applyNumberFormat="1" applyFont="1" applyBorder="1" applyAlignment="1">
      <alignment horizontal="center"/>
    </xf>
    <xf numFmtId="167" fontId="55" fillId="0" borderId="41" xfId="19" applyNumberFormat="1" applyFont="1" applyBorder="1" applyAlignment="1">
      <alignment horizontal="center"/>
    </xf>
    <xf numFmtId="167" fontId="55" fillId="0" borderId="63" xfId="19" quotePrefix="1" applyNumberFormat="1" applyFont="1" applyBorder="1" applyAlignment="1">
      <alignment horizontal="center"/>
    </xf>
    <xf numFmtId="167" fontId="55" fillId="0" borderId="41" xfId="19" quotePrefix="1" applyNumberFormat="1" applyFont="1" applyBorder="1" applyAlignment="1">
      <alignment horizontal="center"/>
    </xf>
    <xf numFmtId="167" fontId="55" fillId="0" borderId="63" xfId="19" applyNumberFormat="1" applyFont="1" applyFill="1" applyBorder="1" applyAlignment="1">
      <alignment horizontal="center" wrapText="1"/>
    </xf>
    <xf numFmtId="167" fontId="22" fillId="0" borderId="63" xfId="19" applyNumberFormat="1" applyFont="1" applyFill="1" applyBorder="1" applyAlignment="1">
      <alignment horizontal="center" vertical="center" wrapText="1"/>
    </xf>
    <xf numFmtId="167" fontId="55" fillId="0" borderId="63" xfId="19" applyNumberFormat="1" applyFont="1" applyFill="1" applyBorder="1" applyAlignment="1">
      <alignment horizontal="center" vertical="center" wrapText="1"/>
    </xf>
    <xf numFmtId="41" fontId="54" fillId="36" borderId="0" xfId="53892" applyFont="1" applyFill="1"/>
    <xf numFmtId="167" fontId="56" fillId="0" borderId="0" xfId="19" applyNumberFormat="1" applyFont="1" applyFill="1"/>
    <xf numFmtId="167" fontId="54" fillId="0" borderId="0" xfId="19" applyNumberFormat="1" applyFont="1" applyFill="1" applyAlignment="1">
      <alignment horizontal="left" indent="1"/>
    </xf>
    <xf numFmtId="167" fontId="22" fillId="0" borderId="0" xfId="19" quotePrefix="1" applyNumberFormat="1" applyFont="1"/>
    <xf numFmtId="0" fontId="55" fillId="0" borderId="0" xfId="0" applyFont="1" applyAlignment="1">
      <alignment horizontal="right"/>
    </xf>
    <xf numFmtId="5" fontId="54" fillId="0" borderId="0" xfId="19" applyNumberFormat="1" applyFont="1" applyFill="1"/>
    <xf numFmtId="5" fontId="54" fillId="0" borderId="64" xfId="19" applyNumberFormat="1" applyFont="1" applyFill="1" applyBorder="1"/>
    <xf numFmtId="5" fontId="54" fillId="0" borderId="9" xfId="53892" applyNumberFormat="1" applyFont="1" applyFill="1" applyBorder="1"/>
    <xf numFmtId="5" fontId="54" fillId="0" borderId="9" xfId="19" applyNumberFormat="1" applyFont="1" applyFill="1" applyBorder="1"/>
    <xf numFmtId="5" fontId="54" fillId="0" borderId="16" xfId="0" applyNumberFormat="1" applyFont="1" applyBorder="1"/>
    <xf numFmtId="5" fontId="54" fillId="0" borderId="0" xfId="19" applyNumberFormat="1" applyFont="1"/>
    <xf numFmtId="5" fontId="54" fillId="0" borderId="16" xfId="53892" applyNumberFormat="1" applyFont="1" applyBorder="1"/>
    <xf numFmtId="5" fontId="54" fillId="0" borderId="16" xfId="53892" applyNumberFormat="1" applyFont="1" applyFill="1" applyBorder="1"/>
    <xf numFmtId="5" fontId="54" fillId="0" borderId="16" xfId="19" applyNumberFormat="1" applyFont="1" applyBorder="1"/>
    <xf numFmtId="5" fontId="54" fillId="0" borderId="64" xfId="19" applyNumberFormat="1" applyFont="1" applyBorder="1"/>
    <xf numFmtId="164" fontId="54" fillId="0" borderId="9" xfId="19" applyNumberFormat="1" applyFont="1" applyFill="1" applyBorder="1"/>
    <xf numFmtId="164" fontId="54" fillId="0" borderId="9" xfId="0" applyNumberFormat="1" applyFont="1" applyBorder="1"/>
    <xf numFmtId="0" fontId="21" fillId="0" borderId="3" xfId="126" applyFont="1" applyFill="1" applyBorder="1" applyAlignment="1">
      <alignment horizontal="center" wrapText="1"/>
    </xf>
    <xf numFmtId="0" fontId="21" fillId="0" borderId="3" xfId="126" applyFont="1" applyFill="1" applyBorder="1" applyAlignment="1">
      <alignment wrapText="1"/>
    </xf>
    <xf numFmtId="0" fontId="21" fillId="0" borderId="3" xfId="0" applyFont="1" applyBorder="1" applyAlignment="1">
      <alignment horizontal="left" vertical="center" wrapText="1"/>
    </xf>
    <xf numFmtId="0" fontId="21" fillId="0" borderId="3" xfId="0" applyFont="1" applyBorder="1" applyAlignment="1">
      <alignment vertical="center" wrapText="1"/>
    </xf>
    <xf numFmtId="0" fontId="21" fillId="0" borderId="0" xfId="0" applyFont="1" applyAlignment="1">
      <alignment horizontal="left" vertical="center" wrapText="1"/>
    </xf>
    <xf numFmtId="0" fontId="21" fillId="0" borderId="0" xfId="0" applyFont="1" applyAlignment="1">
      <alignment vertical="center" wrapText="1"/>
    </xf>
    <xf numFmtId="0" fontId="21" fillId="36" borderId="3" xfId="0" applyFont="1" applyFill="1" applyBorder="1" applyAlignment="1">
      <alignment horizontal="center" vertical="center" wrapText="1"/>
    </xf>
    <xf numFmtId="0" fontId="21" fillId="0" borderId="4" xfId="0" applyFont="1" applyBorder="1" applyAlignment="1">
      <alignment vertical="center" wrapText="1"/>
    </xf>
    <xf numFmtId="0" fontId="21" fillId="0" borderId="5" xfId="0" applyFont="1" applyBorder="1" applyAlignment="1">
      <alignment horizontal="left" vertical="center" wrapText="1"/>
    </xf>
    <xf numFmtId="0" fontId="21" fillId="0" borderId="3" xfId="0" quotePrefix="1" applyFont="1" applyFill="1" applyBorder="1" applyAlignment="1">
      <alignment horizontal="center"/>
    </xf>
    <xf numFmtId="0" fontId="21" fillId="0" borderId="3" xfId="0" applyFont="1" applyFill="1" applyBorder="1" applyAlignment="1">
      <alignment horizontal="left" vertical="center" wrapText="1"/>
    </xf>
    <xf numFmtId="0" fontId="21" fillId="0" borderId="3" xfId="0" applyFont="1" applyFill="1" applyBorder="1" applyAlignment="1">
      <alignment vertical="center" wrapText="1"/>
    </xf>
    <xf numFmtId="0" fontId="21" fillId="0" borderId="3" xfId="0" quotePrefix="1" applyFont="1" applyFill="1" applyBorder="1" applyAlignment="1">
      <alignment horizontal="left" vertical="center" wrapText="1"/>
    </xf>
    <xf numFmtId="0" fontId="21" fillId="0" borderId="3" xfId="0" quotePrefix="1" applyFont="1" applyBorder="1" applyAlignment="1">
      <alignment horizontal="center"/>
    </xf>
    <xf numFmtId="0" fontId="25" fillId="0" borderId="0" xfId="0" applyFont="1" applyAlignment="1">
      <alignment horizontal="center" vertical="center" wrapText="1"/>
    </xf>
    <xf numFmtId="0" fontId="22" fillId="0" borderId="0" xfId="0" applyFont="1" applyAlignment="1">
      <alignment horizontal="center" vertical="center" wrapText="1"/>
    </xf>
    <xf numFmtId="0" fontId="22" fillId="0" borderId="0" xfId="28" applyFont="1" applyFill="1" applyAlignment="1">
      <alignment horizontal="left"/>
    </xf>
    <xf numFmtId="0" fontId="0" fillId="0" borderId="0" xfId="0" quotePrefix="1" applyFont="1" applyFill="1" applyAlignment="1">
      <alignment horizontal="left" indent="1"/>
    </xf>
    <xf numFmtId="3" fontId="54" fillId="36" borderId="0" xfId="19" applyNumberFormat="1" applyFont="1" applyFill="1"/>
    <xf numFmtId="166" fontId="21" fillId="36" borderId="0" xfId="0" applyNumberFormat="1" applyFont="1" applyFill="1" applyAlignment="1">
      <alignment horizontal="right"/>
    </xf>
    <xf numFmtId="166" fontId="0" fillId="36" borderId="0" xfId="0" applyNumberFormat="1" applyFill="1"/>
    <xf numFmtId="0" fontId="175" fillId="36" borderId="0" xfId="0" applyFont="1" applyFill="1" applyAlignment="1">
      <alignment horizontal="center"/>
    </xf>
    <xf numFmtId="0" fontId="65" fillId="36" borderId="0" xfId="0" applyFont="1" applyFill="1" applyAlignment="1">
      <alignment vertical="center"/>
    </xf>
    <xf numFmtId="10" fontId="21" fillId="36" borderId="0" xfId="131" quotePrefix="1" applyNumberFormat="1" applyFont="1" applyFill="1"/>
    <xf numFmtId="10" fontId="21" fillId="36" borderId="0" xfId="131" quotePrefix="1" applyNumberFormat="1" applyFont="1" applyFill="1" applyAlignment="1">
      <alignment horizontal="left"/>
    </xf>
    <xf numFmtId="168" fontId="21" fillId="36" borderId="0" xfId="131" quotePrefix="1" applyNumberFormat="1" applyFont="1" applyFill="1" applyAlignment="1">
      <alignment horizontal="left"/>
    </xf>
    <xf numFmtId="0" fontId="21" fillId="36" borderId="0" xfId="131" applyFont="1" applyFill="1"/>
    <xf numFmtId="0" fontId="53" fillId="36" borderId="3" xfId="0" quotePrefix="1" applyNumberFormat="1" applyFont="1" applyFill="1" applyBorder="1" applyAlignment="1">
      <alignment horizontal="center"/>
    </xf>
    <xf numFmtId="0" fontId="21" fillId="36" borderId="3" xfId="22" applyNumberFormat="1" applyFont="1" applyFill="1" applyBorder="1" applyAlignment="1">
      <alignment horizontal="left"/>
    </xf>
    <xf numFmtId="39" fontId="22" fillId="0" borderId="8" xfId="22" quotePrefix="1" applyNumberFormat="1" applyFont="1" applyBorder="1" applyAlignment="1">
      <alignment horizontal="center"/>
    </xf>
    <xf numFmtId="37" fontId="53" fillId="36" borderId="3" xfId="22" quotePrefix="1" applyNumberFormat="1" applyFont="1" applyFill="1" applyBorder="1" applyAlignment="1">
      <alignment horizontal="center"/>
    </xf>
    <xf numFmtId="0" fontId="53" fillId="36" borderId="3" xfId="0" applyFont="1" applyFill="1" applyBorder="1" applyAlignment="1">
      <alignment horizontal="center"/>
    </xf>
    <xf numFmtId="0" fontId="21" fillId="36" borderId="3" xfId="0" applyNumberFormat="1" applyFont="1" applyFill="1" applyBorder="1" applyAlignment="1">
      <alignment horizontal="left"/>
    </xf>
    <xf numFmtId="177" fontId="21" fillId="36" borderId="3" xfId="22" applyNumberFormat="1" applyFont="1" applyFill="1" applyBorder="1"/>
    <xf numFmtId="177" fontId="53" fillId="36" borderId="3" xfId="22" applyNumberFormat="1" applyFont="1" applyFill="1" applyBorder="1"/>
    <xf numFmtId="3" fontId="21" fillId="36" borderId="57" xfId="19" applyNumberFormat="1" applyFont="1" applyFill="1" applyBorder="1" applyAlignment="1">
      <alignment horizontal="center"/>
    </xf>
    <xf numFmtId="37" fontId="21" fillId="36" borderId="57" xfId="19" applyNumberFormat="1" applyFont="1" applyFill="1" applyBorder="1" applyAlignment="1">
      <alignment horizontal="center" vertical="center"/>
    </xf>
    <xf numFmtId="3" fontId="21" fillId="36" borderId="3" xfId="19" applyNumberFormat="1" applyFont="1" applyFill="1" applyBorder="1" applyAlignment="1">
      <alignment horizontal="center"/>
    </xf>
    <xf numFmtId="37" fontId="21" fillId="36" borderId="57" xfId="19" applyNumberFormat="1" applyFont="1" applyFill="1" applyBorder="1" applyAlignment="1">
      <alignment horizontal="center"/>
    </xf>
    <xf numFmtId="177" fontId="21" fillId="36" borderId="3" xfId="97" applyNumberFormat="1" applyFont="1" applyFill="1" applyBorder="1" applyAlignment="1">
      <alignment horizontal="center"/>
    </xf>
    <xf numFmtId="164" fontId="28" fillId="36" borderId="0" xfId="100" applyNumberFormat="1" applyFont="1" applyFill="1"/>
    <xf numFmtId="10" fontId="21" fillId="34" borderId="0" xfId="0" applyNumberFormat="1" applyFont="1" applyFill="1"/>
    <xf numFmtId="3" fontId="21" fillId="36" borderId="3" xfId="97" quotePrefix="1" applyNumberFormat="1" applyFont="1" applyFill="1" applyBorder="1" applyAlignment="1">
      <alignment horizontal="center"/>
    </xf>
    <xf numFmtId="3" fontId="24" fillId="36" borderId="3" xfId="22" quotePrefix="1" applyNumberFormat="1" applyFont="1" applyFill="1" applyBorder="1" applyAlignment="1">
      <alignment horizontal="center"/>
    </xf>
    <xf numFmtId="3" fontId="24" fillId="0" borderId="3" xfId="22" quotePrefix="1" applyNumberFormat="1" applyFont="1" applyFill="1" applyBorder="1" applyAlignment="1">
      <alignment horizontal="center"/>
    </xf>
    <xf numFmtId="3" fontId="24" fillId="0" borderId="3" xfId="0" applyNumberFormat="1" applyFont="1" applyFill="1" applyBorder="1" applyAlignment="1">
      <alignment horizontal="center"/>
    </xf>
    <xf numFmtId="3" fontId="21" fillId="36" borderId="3" xfId="0" applyNumberFormat="1" applyFont="1" applyFill="1" applyBorder="1" applyAlignment="1">
      <alignment horizontal="center"/>
    </xf>
    <xf numFmtId="3" fontId="24" fillId="0" borderId="3" xfId="22" applyNumberFormat="1" applyFont="1" applyFill="1" applyBorder="1" applyAlignment="1">
      <alignment horizontal="center"/>
    </xf>
    <xf numFmtId="3" fontId="24" fillId="36" borderId="3" xfId="0" applyNumberFormat="1" applyFont="1" applyFill="1" applyBorder="1" applyAlignment="1">
      <alignment horizontal="center"/>
    </xf>
    <xf numFmtId="3" fontId="22" fillId="0" borderId="3" xfId="22" quotePrefix="1" applyNumberFormat="1" applyFont="1" applyFill="1" applyBorder="1" applyAlignment="1">
      <alignment horizontal="center"/>
    </xf>
    <xf numFmtId="3" fontId="22" fillId="0" borderId="3" xfId="0" applyNumberFormat="1" applyFont="1" applyFill="1" applyBorder="1" applyAlignment="1">
      <alignment horizontal="center"/>
    </xf>
    <xf numFmtId="3" fontId="22" fillId="37" borderId="3" xfId="22" quotePrefix="1"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Fill="1" applyBorder="1" applyAlignment="1">
      <alignment horizontal="center"/>
    </xf>
    <xf numFmtId="3" fontId="21" fillId="36" borderId="3" xfId="97"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97" quotePrefix="1" applyNumberFormat="1" applyFont="1" applyFill="1" applyBorder="1" applyAlignment="1">
      <alignment horizontal="center"/>
    </xf>
    <xf numFmtId="164" fontId="0" fillId="0" borderId="0" xfId="0" applyNumberFormat="1" applyBorder="1" applyAlignment="1"/>
    <xf numFmtId="164" fontId="42" fillId="0" borderId="0" xfId="0" applyNumberFormat="1" applyFont="1"/>
    <xf numFmtId="0" fontId="0" fillId="0" borderId="0" xfId="0" applyAlignment="1">
      <alignment horizontal="center"/>
    </xf>
    <xf numFmtId="3" fontId="24" fillId="36" borderId="3" xfId="22" applyNumberFormat="1" applyFont="1" applyFill="1" applyBorder="1" applyAlignment="1">
      <alignment horizontal="center"/>
    </xf>
    <xf numFmtId="3" fontId="22" fillId="0" borderId="3" xfId="22" applyNumberFormat="1" applyFont="1" applyFill="1" applyBorder="1" applyAlignment="1">
      <alignment horizontal="center"/>
    </xf>
    <xf numFmtId="3" fontId="22" fillId="37" borderId="7" xfId="22" applyNumberFormat="1" applyFont="1" applyFill="1" applyBorder="1" applyAlignment="1">
      <alignment horizontal="center"/>
    </xf>
    <xf numFmtId="3" fontId="22" fillId="36" borderId="3" xfId="97" quotePrefix="1" applyNumberFormat="1" applyFont="1" applyFill="1" applyBorder="1" applyAlignment="1">
      <alignment horizontal="center"/>
    </xf>
    <xf numFmtId="3" fontId="22" fillId="0" borderId="0" xfId="22" applyNumberFormat="1" applyFont="1" applyFill="1" applyBorder="1" applyAlignment="1">
      <alignment horizontal="center"/>
    </xf>
    <xf numFmtId="3" fontId="22" fillId="0" borderId="0" xfId="22" applyNumberFormat="1" applyFont="1" applyBorder="1" applyAlignment="1">
      <alignment horizontal="center"/>
    </xf>
    <xf numFmtId="3" fontId="22" fillId="36" borderId="3" xfId="97" applyNumberFormat="1" applyFont="1" applyFill="1" applyBorder="1" applyAlignment="1">
      <alignment horizontal="center"/>
    </xf>
    <xf numFmtId="170" fontId="21" fillId="36" borderId="0" xfId="100" applyNumberFormat="1" applyFill="1" applyAlignment="1">
      <alignment horizontal="center"/>
    </xf>
    <xf numFmtId="0" fontId="163" fillId="0" borderId="0" xfId="0" applyFont="1" applyFill="1" applyAlignment="1"/>
    <xf numFmtId="0" fontId="21" fillId="36" borderId="3" xfId="0" quotePrefix="1" applyNumberFormat="1" applyFont="1" applyFill="1" applyBorder="1" applyAlignment="1">
      <alignment horizontal="left"/>
    </xf>
    <xf numFmtId="0" fontId="21" fillId="36" borderId="4" xfId="0" applyNumberFormat="1" applyFont="1" applyFill="1" applyBorder="1"/>
    <xf numFmtId="37" fontId="21" fillId="36" borderId="62" xfId="19" applyNumberFormat="1" applyFont="1" applyFill="1" applyBorder="1" applyAlignment="1">
      <alignment horizontal="center"/>
    </xf>
    <xf numFmtId="3" fontId="21" fillId="36" borderId="0" xfId="129" applyNumberFormat="1" applyFont="1" applyFill="1" applyAlignment="1">
      <alignment horizontal="right"/>
    </xf>
    <xf numFmtId="0" fontId="24" fillId="36" borderId="0" xfId="34" applyFont="1" applyFill="1" applyAlignment="1">
      <alignment horizontal="center"/>
    </xf>
    <xf numFmtId="164" fontId="1" fillId="36" borderId="0" xfId="53893" applyNumberFormat="1" applyFill="1"/>
    <xf numFmtId="0" fontId="21" fillId="36" borderId="0" xfId="100" applyFont="1" applyFill="1" applyBorder="1" applyAlignment="1" applyProtection="1">
      <alignment horizontal="left" indent="1"/>
      <protection locked="0"/>
    </xf>
    <xf numFmtId="0" fontId="21" fillId="36" borderId="0" xfId="28" applyNumberFormat="1" applyFont="1" applyFill="1"/>
    <xf numFmtId="0" fontId="21" fillId="36" borderId="0" xfId="28" applyFont="1" applyFill="1" applyAlignment="1">
      <alignment horizontal="center"/>
    </xf>
    <xf numFmtId="167" fontId="21" fillId="36" borderId="0" xfId="22" applyNumberFormat="1" applyFont="1" applyFill="1"/>
    <xf numFmtId="164" fontId="24" fillId="36" borderId="0" xfId="0" quotePrefix="1" applyNumberFormat="1" applyFont="1" applyFill="1" applyAlignment="1">
      <alignment horizontal="center"/>
    </xf>
    <xf numFmtId="0" fontId="24" fillId="36" borderId="0" xfId="0" quotePrefix="1" applyFont="1" applyFill="1" applyAlignment="1">
      <alignment horizontal="center"/>
    </xf>
    <xf numFmtId="164" fontId="21" fillId="0" borderId="0" xfId="0" applyNumberFormat="1" applyFont="1" applyBorder="1"/>
    <xf numFmtId="0" fontId="164" fillId="0" borderId="0" xfId="0" applyFont="1" applyAlignment="1">
      <alignment horizontal="center"/>
    </xf>
    <xf numFmtId="0" fontId="0" fillId="0" borderId="0" xfId="0" applyAlignment="1">
      <alignment horizontal="center"/>
    </xf>
    <xf numFmtId="0" fontId="68" fillId="0" borderId="0" xfId="0" applyFont="1" applyAlignment="1">
      <alignment horizontal="center"/>
    </xf>
    <xf numFmtId="0" fontId="163" fillId="0" borderId="0" xfId="0" applyFont="1" applyAlignment="1">
      <alignment horizontal="center"/>
    </xf>
    <xf numFmtId="0" fontId="51" fillId="0" borderId="0" xfId="0" applyFont="1" applyAlignment="1">
      <alignment horizontal="center"/>
    </xf>
    <xf numFmtId="0" fontId="163" fillId="0" borderId="0" xfId="0" applyFont="1" applyFill="1" applyAlignment="1">
      <alignment horizontal="center"/>
    </xf>
    <xf numFmtId="0" fontId="65" fillId="36" borderId="0" xfId="0" applyFont="1" applyFill="1" applyAlignment="1">
      <alignment vertical="center"/>
    </xf>
    <xf numFmtId="167" fontId="55" fillId="0" borderId="65" xfId="19" applyNumberFormat="1" applyFont="1" applyBorder="1" applyAlignment="1">
      <alignment horizontal="center"/>
    </xf>
    <xf numFmtId="167" fontId="55" fillId="0" borderId="66" xfId="19" applyNumberFormat="1" applyFont="1" applyBorder="1" applyAlignment="1">
      <alignment horizontal="center"/>
    </xf>
    <xf numFmtId="167" fontId="55" fillId="0" borderId="67" xfId="19" applyNumberFormat="1" applyFont="1" applyBorder="1" applyAlignment="1">
      <alignment horizontal="center"/>
    </xf>
    <xf numFmtId="0" fontId="21" fillId="0" borderId="0" xfId="0" applyNumberFormat="1" applyFont="1" applyFill="1" applyAlignment="1">
      <alignment horizontal="left"/>
    </xf>
    <xf numFmtId="0" fontId="21" fillId="36" borderId="0" xfId="0" applyFont="1" applyFill="1" applyAlignment="1">
      <alignment horizontal="center"/>
    </xf>
    <xf numFmtId="0" fontId="21" fillId="36" borderId="0" xfId="0" applyNumberFormat="1" applyFont="1" applyFill="1" applyAlignment="1">
      <alignment horizontal="center"/>
    </xf>
    <xf numFmtId="0" fontId="22" fillId="0" borderId="6" xfId="28" applyFont="1" applyFill="1" applyBorder="1" applyAlignment="1">
      <alignment horizontal="center"/>
    </xf>
    <xf numFmtId="0" fontId="22" fillId="0" borderId="9" xfId="28" applyFont="1" applyFill="1" applyBorder="1" applyAlignment="1">
      <alignment horizontal="center"/>
    </xf>
    <xf numFmtId="0" fontId="22" fillId="0" borderId="4" xfId="28" applyFont="1" applyFill="1" applyBorder="1" applyAlignment="1">
      <alignment horizontal="center"/>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Fill="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3" xfId="28" applyFont="1" applyBorder="1" applyAlignment="1"/>
    <xf numFmtId="0" fontId="22" fillId="0" borderId="6" xfId="28" applyFont="1" applyBorder="1" applyAlignment="1">
      <alignment horizontal="center"/>
    </xf>
    <xf numFmtId="0" fontId="21"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xf numFmtId="39" fontId="24" fillId="0" borderId="6" xfId="22" applyNumberFormat="1" applyFont="1" applyBorder="1" applyAlignment="1">
      <alignment horizontal="center"/>
    </xf>
    <xf numFmtId="0" fontId="0" fillId="0" borderId="9" xfId="0" applyBorder="1"/>
    <xf numFmtId="0" fontId="0" fillId="0" borderId="4" xfId="0" applyBorder="1"/>
    <xf numFmtId="0" fontId="22"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NumberFormat="1" applyFont="1" applyFill="1" applyBorder="1" applyAlignment="1">
      <alignment wrapText="1"/>
    </xf>
    <xf numFmtId="0" fontId="0" fillId="0" borderId="3" xfId="0" applyBorder="1" applyAlignment="1">
      <alignment wrapText="1"/>
    </xf>
    <xf numFmtId="0" fontId="22" fillId="0" borderId="6" xfId="0" applyFont="1" applyFill="1" applyBorder="1" applyAlignment="1"/>
    <xf numFmtId="0" fontId="0" fillId="0" borderId="9" xfId="0" applyFill="1" applyBorder="1" applyAlignment="1"/>
    <xf numFmtId="0" fontId="0" fillId="0" borderId="4" xfId="0" applyFill="1" applyBorder="1" applyAlignment="1"/>
    <xf numFmtId="0" fontId="22" fillId="0" borderId="6" xfId="0" applyNumberFormat="1" applyFont="1" applyFill="1" applyBorder="1" applyAlignment="1"/>
    <xf numFmtId="0" fontId="24"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24" fillId="0" borderId="6" xfId="0" applyFont="1" applyFill="1" applyBorder="1" applyAlignment="1">
      <alignment horizontal="left"/>
    </xf>
    <xf numFmtId="0" fontId="24" fillId="0" borderId="4" xfId="0" applyFont="1" applyFill="1" applyBorder="1" applyAlignment="1">
      <alignment horizontal="left"/>
    </xf>
    <xf numFmtId="0" fontId="22" fillId="0" borderId="3" xfId="0" applyFont="1" applyFill="1" applyBorder="1" applyAlignment="1">
      <alignment wrapText="1"/>
    </xf>
    <xf numFmtId="0" fontId="0" fillId="0" borderId="0" xfId="0" applyFill="1" applyAlignment="1">
      <alignment wrapText="1"/>
    </xf>
    <xf numFmtId="0" fontId="22"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0" xfId="0" applyFont="1" applyFill="1" applyBorder="1" applyAlignment="1">
      <alignment wrapText="1"/>
    </xf>
    <xf numFmtId="0" fontId="0" fillId="0" borderId="0" xfId="0" applyAlignment="1">
      <alignment wrapText="1"/>
    </xf>
    <xf numFmtId="0" fontId="21" fillId="0" borderId="12" xfId="126" applyFont="1" applyFill="1" applyBorder="1" applyAlignment="1">
      <alignment horizontal="center"/>
    </xf>
    <xf numFmtId="0" fontId="21" fillId="0" borderId="14" xfId="126" applyFont="1" applyFill="1" applyBorder="1" applyAlignment="1">
      <alignment horizontal="center"/>
    </xf>
    <xf numFmtId="0" fontId="0" fillId="0" borderId="14" xfId="0" applyBorder="1" applyAlignment="1"/>
    <xf numFmtId="0" fontId="0" fillId="0" borderId="13" xfId="0" applyBorder="1" applyAlignment="1"/>
    <xf numFmtId="0" fontId="21" fillId="0" borderId="13" xfId="126" applyFont="1" applyFill="1" applyBorder="1" applyAlignment="1">
      <alignment horizontal="center"/>
    </xf>
    <xf numFmtId="173" fontId="21" fillId="0" borderId="58" xfId="126" quotePrefix="1" applyNumberFormat="1" applyFont="1" applyFill="1" applyBorder="1" applyAlignment="1">
      <alignment horizontal="center" vertical="center"/>
    </xf>
    <xf numFmtId="173" fontId="21" fillId="0" borderId="60" xfId="126" quotePrefix="1" applyNumberFormat="1" applyFont="1" applyFill="1" applyBorder="1" applyAlignment="1">
      <alignment horizontal="center" vertical="center"/>
    </xf>
  </cellXfs>
  <cellStyles count="53897">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6" xr:uid="{4C1C0A83-A128-4EA0-9D67-5E1A235371E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5" xr:uid="{FEB0F29F-0CE9-424A-A6B5-2E8D48A04B44}"/>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3" xr:uid="{6DBCCEF8-EFA8-4D28-B57F-2D0A6FD5C38E}"/>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3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56" xfId="53894" xr:uid="{845C1E15-D317-47DA-AD09-29C0F635C834}"/>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18">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FFCC99"/>
      <color rgb="FFCCFFCC"/>
      <color rgb="FFCCECFF"/>
      <color rgb="FFFFCC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zoomScaleNormal="100" workbookViewId="0"/>
  </sheetViews>
  <sheetFormatPr defaultColWidth="9.453125" defaultRowHeight="12.5"/>
  <cols>
    <col min="1" max="2" width="9.453125" style="972"/>
    <col min="3" max="3" width="8.453125" style="972" customWidth="1"/>
    <col min="4" max="16384" width="9.453125" style="972"/>
  </cols>
  <sheetData>
    <row r="2" spans="1:14" ht="28">
      <c r="C2" s="1457"/>
      <c r="D2" s="1458"/>
      <c r="E2" s="1458"/>
      <c r="F2" s="1458"/>
      <c r="G2" s="1458"/>
      <c r="H2" s="1458"/>
    </row>
    <row r="3" spans="1:14">
      <c r="D3" s="467"/>
    </row>
    <row r="4" spans="1:14" ht="23">
      <c r="B4" s="1460"/>
      <c r="C4" s="1460"/>
      <c r="D4" s="1460"/>
      <c r="E4" s="1460"/>
      <c r="F4" s="1460"/>
      <c r="G4" s="1460"/>
      <c r="H4" s="1460"/>
      <c r="I4" s="1460"/>
    </row>
    <row r="5" spans="1:14" ht="23">
      <c r="B5" s="1263"/>
      <c r="C5" s="1239"/>
      <c r="D5" s="1460"/>
      <c r="E5" s="1458"/>
      <c r="F5" s="1458"/>
      <c r="G5" s="1458"/>
      <c r="H5" s="1239"/>
      <c r="I5" s="1239"/>
    </row>
    <row r="6" spans="1:14" ht="23">
      <c r="A6" s="1462" t="s">
        <v>2551</v>
      </c>
      <c r="B6" s="1462"/>
      <c r="C6" s="1462"/>
      <c r="D6" s="1462"/>
      <c r="E6" s="1462"/>
      <c r="F6" s="1462"/>
      <c r="G6" s="1462"/>
      <c r="H6" s="1462"/>
      <c r="I6" s="1462"/>
      <c r="J6" s="1462"/>
      <c r="K6" s="1462"/>
      <c r="L6" s="1443"/>
      <c r="M6" s="1443"/>
      <c r="N6" s="1443"/>
    </row>
    <row r="8" spans="1:14" ht="25">
      <c r="A8" s="1459" t="s">
        <v>1867</v>
      </c>
      <c r="B8" s="1459"/>
      <c r="C8" s="1459"/>
      <c r="D8" s="1459"/>
      <c r="E8" s="1459"/>
      <c r="F8" s="1459"/>
      <c r="G8" s="1459"/>
      <c r="H8" s="1459"/>
      <c r="I8" s="1459"/>
      <c r="J8" s="1459"/>
      <c r="K8" s="1459"/>
    </row>
    <row r="9" spans="1:14" ht="13">
      <c r="D9" s="1"/>
    </row>
    <row r="10" spans="1:14" ht="20">
      <c r="A10" s="1461" t="s">
        <v>1868</v>
      </c>
      <c r="B10" s="1461"/>
      <c r="C10" s="1461"/>
      <c r="D10" s="1461"/>
      <c r="E10" s="1461"/>
      <c r="F10" s="1461"/>
      <c r="G10" s="1461"/>
      <c r="H10" s="1461"/>
      <c r="I10" s="1461"/>
      <c r="J10" s="1461"/>
      <c r="K10" s="1461"/>
    </row>
  </sheetData>
  <mergeCells count="6">
    <mergeCell ref="C2:H2"/>
    <mergeCell ref="A8:K8"/>
    <mergeCell ref="B4:I4"/>
    <mergeCell ref="D5:G5"/>
    <mergeCell ref="A10:K10"/>
    <mergeCell ref="A6:K6"/>
  </mergeCells>
  <pageMargins left="0.7" right="0.7" top="0.75" bottom="0.75" header="0.3" footer="0.3"/>
  <pageSetup scale="89" orientation="portrait" r:id="rId1"/>
  <headerFooter>
    <oddHeader>&amp;C&amp;"Arial,Bold"
&amp;RTO2021 Draft Annual Update 
Attachment1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236"/>
  <sheetViews>
    <sheetView zoomScaleNormal="100" zoomScalePageLayoutView="80" workbookViewId="0"/>
  </sheetViews>
  <sheetFormatPr defaultColWidth="8.54296875" defaultRowHeight="12.5"/>
  <cols>
    <col min="1" max="1" width="4.54296875" style="972" customWidth="1"/>
    <col min="2" max="2" width="10.54296875" style="972" customWidth="1"/>
    <col min="3" max="6" width="13.54296875" style="972" customWidth="1"/>
    <col min="7" max="7" width="14.453125" style="972" customWidth="1"/>
    <col min="8" max="12" width="13.54296875" style="972" customWidth="1"/>
    <col min="13" max="13" width="15.54296875" style="972" customWidth="1"/>
    <col min="14" max="14" width="8.54296875" style="972" customWidth="1"/>
    <col min="15" max="15" width="14.453125" style="972" customWidth="1"/>
    <col min="16" max="16" width="15.453125" style="972" customWidth="1"/>
    <col min="17" max="16384" width="8.54296875" style="972"/>
  </cols>
  <sheetData>
    <row r="1" spans="1:13" ht="13">
      <c r="A1" s="386" t="s">
        <v>1181</v>
      </c>
      <c r="B1" s="228"/>
      <c r="C1" s="228"/>
      <c r="D1" s="228"/>
      <c r="E1" s="228"/>
      <c r="F1" s="228"/>
      <c r="G1" s="228"/>
      <c r="H1" s="228"/>
      <c r="I1" s="978" t="s">
        <v>17</v>
      </c>
      <c r="J1" s="975"/>
      <c r="K1" s="228"/>
      <c r="L1" s="228"/>
    </row>
    <row r="2" spans="1:13" ht="13">
      <c r="A2" s="386"/>
      <c r="B2" s="1" t="s">
        <v>2540</v>
      </c>
      <c r="C2" s="228"/>
      <c r="D2" s="228"/>
      <c r="E2" s="978" t="s">
        <v>2665</v>
      </c>
      <c r="F2" s="975"/>
      <c r="G2" s="975"/>
      <c r="H2" s="228"/>
      <c r="I2" s="228"/>
      <c r="J2" s="228"/>
      <c r="K2" s="228"/>
      <c r="L2" s="228"/>
    </row>
    <row r="3" spans="1:13" ht="13">
      <c r="A3" s="386"/>
      <c r="B3" s="228"/>
      <c r="C3" s="228"/>
      <c r="D3" s="228"/>
      <c r="E3" s="978" t="s">
        <v>2914</v>
      </c>
      <c r="F3" s="975"/>
      <c r="G3" s="975"/>
      <c r="H3" s="228"/>
      <c r="I3" s="228"/>
      <c r="J3" s="228"/>
      <c r="K3" s="228"/>
      <c r="L3" s="228"/>
    </row>
    <row r="4" spans="1:13" ht="13">
      <c r="A4" s="386"/>
      <c r="B4" s="386" t="s">
        <v>320</v>
      </c>
      <c r="C4" s="228"/>
      <c r="D4" s="228"/>
      <c r="E4" s="1150"/>
      <c r="F4" s="228"/>
      <c r="G4" s="228"/>
      <c r="H4" s="228"/>
      <c r="I4" s="228"/>
      <c r="J4" s="228"/>
      <c r="K4" s="228"/>
      <c r="L4" s="228"/>
    </row>
    <row r="5" spans="1:13" ht="13">
      <c r="A5" s="386"/>
      <c r="B5" s="386"/>
      <c r="C5" s="228"/>
      <c r="D5" s="228"/>
      <c r="E5" s="228"/>
      <c r="F5" s="228"/>
      <c r="G5" s="228"/>
      <c r="H5" s="228"/>
      <c r="I5" s="228"/>
      <c r="J5" s="228"/>
      <c r="K5" s="228"/>
      <c r="L5" s="228"/>
    </row>
    <row r="6" spans="1:13" ht="13">
      <c r="A6" s="386"/>
      <c r="B6" s="467" t="s">
        <v>1527</v>
      </c>
      <c r="C6" s="228"/>
      <c r="D6" s="228"/>
      <c r="E6" s="228"/>
      <c r="F6" s="228"/>
      <c r="G6" s="228"/>
      <c r="H6" s="467"/>
      <c r="I6" s="865" t="s">
        <v>1715</v>
      </c>
      <c r="J6" s="864">
        <v>2019</v>
      </c>
      <c r="K6" s="228"/>
      <c r="L6" s="228"/>
    </row>
    <row r="7" spans="1:13" ht="13">
      <c r="A7" s="386"/>
      <c r="B7" s="467"/>
      <c r="C7" s="228"/>
      <c r="D7" s="228"/>
      <c r="E7" s="228"/>
      <c r="F7" s="228"/>
      <c r="G7" s="228"/>
      <c r="H7" s="228"/>
      <c r="I7" s="228"/>
      <c r="J7" s="228"/>
      <c r="K7" s="228"/>
      <c r="L7" s="228"/>
    </row>
    <row r="8" spans="1:13" ht="13">
      <c r="A8" s="386"/>
      <c r="B8" s="84" t="s">
        <v>358</v>
      </c>
      <c r="C8" s="84" t="s">
        <v>342</v>
      </c>
      <c r="D8" s="84" t="s">
        <v>343</v>
      </c>
      <c r="E8" s="84" t="s">
        <v>344</v>
      </c>
      <c r="F8" s="84" t="s">
        <v>345</v>
      </c>
      <c r="G8" s="84" t="s">
        <v>346</v>
      </c>
      <c r="H8" s="84" t="s">
        <v>347</v>
      </c>
      <c r="I8" s="84" t="s">
        <v>534</v>
      </c>
      <c r="J8" s="84" t="s">
        <v>951</v>
      </c>
      <c r="K8" s="84" t="s">
        <v>963</v>
      </c>
      <c r="L8" s="84" t="s">
        <v>966</v>
      </c>
      <c r="M8" s="84" t="s">
        <v>984</v>
      </c>
    </row>
    <row r="9" spans="1:13" ht="13">
      <c r="A9" s="228"/>
      <c r="B9" s="442"/>
      <c r="C9" s="228"/>
      <c r="D9" s="228"/>
      <c r="E9" s="228"/>
      <c r="F9" s="228"/>
      <c r="G9" s="228"/>
      <c r="H9" s="228"/>
      <c r="I9" s="228"/>
      <c r="J9" s="228"/>
      <c r="K9" s="228"/>
      <c r="M9" s="244" t="s">
        <v>1216</v>
      </c>
    </row>
    <row r="10" spans="1:13" ht="13">
      <c r="A10" s="228"/>
      <c r="B10" s="110"/>
      <c r="C10" s="84"/>
      <c r="D10" s="84"/>
      <c r="E10" s="228"/>
      <c r="F10" s="228"/>
      <c r="G10" s="228"/>
      <c r="H10" s="228"/>
      <c r="I10" s="228"/>
      <c r="J10" s="228"/>
      <c r="K10" s="228"/>
      <c r="L10" s="228"/>
    </row>
    <row r="11" spans="1:13" ht="13">
      <c r="A11" s="51" t="s">
        <v>329</v>
      </c>
      <c r="B11" s="123" t="s">
        <v>1750</v>
      </c>
      <c r="C11" s="84">
        <v>350.1</v>
      </c>
      <c r="D11" s="84">
        <v>350.2</v>
      </c>
      <c r="E11" s="84">
        <v>352</v>
      </c>
      <c r="F11" s="84">
        <v>353</v>
      </c>
      <c r="G11" s="84">
        <v>354</v>
      </c>
      <c r="H11" s="84">
        <v>355</v>
      </c>
      <c r="I11" s="84">
        <v>356</v>
      </c>
      <c r="J11" s="84">
        <v>357</v>
      </c>
      <c r="K11" s="84">
        <v>358</v>
      </c>
      <c r="L11" s="84">
        <v>359</v>
      </c>
      <c r="M11" s="3" t="s">
        <v>196</v>
      </c>
    </row>
    <row r="12" spans="1:13" ht="13">
      <c r="A12" s="553">
        <v>1</v>
      </c>
      <c r="B12" s="939" t="s">
        <v>2479</v>
      </c>
      <c r="C12" s="497">
        <v>87352690.455148399</v>
      </c>
      <c r="D12" s="550">
        <v>165261946.55087399</v>
      </c>
      <c r="E12" s="980">
        <v>643675309.98467612</v>
      </c>
      <c r="F12" s="497">
        <v>3459763553.0279365</v>
      </c>
      <c r="G12" s="497">
        <v>2284709795.0439997</v>
      </c>
      <c r="H12" s="497">
        <v>386542290.96381313</v>
      </c>
      <c r="I12" s="497">
        <v>1311509387.1831667</v>
      </c>
      <c r="J12" s="497">
        <v>190891202.00003627</v>
      </c>
      <c r="K12" s="497">
        <v>83989219.000066027</v>
      </c>
      <c r="L12" s="497">
        <v>173783603.00000003</v>
      </c>
      <c r="M12" s="230">
        <f t="shared" ref="M12:M24" si="0">SUM(C12:L12)</f>
        <v>8787478997.2097168</v>
      </c>
    </row>
    <row r="13" spans="1:13" ht="13">
      <c r="A13" s="553">
        <f>A12+1</f>
        <v>2</v>
      </c>
      <c r="B13" s="705" t="s">
        <v>2554</v>
      </c>
      <c r="C13" s="232">
        <f>C131+C198 +C12</f>
        <v>87356155.797575638</v>
      </c>
      <c r="D13" s="232">
        <f>D131+D198 +D12</f>
        <v>165217772.22775602</v>
      </c>
      <c r="E13" s="232">
        <f t="shared" ref="E13:L13" si="1">E131+E198 +E12</f>
        <v>646001649.72808814</v>
      </c>
      <c r="F13" s="232">
        <f t="shared" si="1"/>
        <v>3462904493.8507605</v>
      </c>
      <c r="G13" s="232">
        <f t="shared" si="1"/>
        <v>2273515090.3975925</v>
      </c>
      <c r="H13" s="232">
        <f t="shared" si="1"/>
        <v>392609454.77819699</v>
      </c>
      <c r="I13" s="232">
        <f t="shared" si="1"/>
        <v>1319770640.9577789</v>
      </c>
      <c r="J13" s="232">
        <f t="shared" si="1"/>
        <v>190887474.38222408</v>
      </c>
      <c r="K13" s="232">
        <f t="shared" si="1"/>
        <v>83987440.191650137</v>
      </c>
      <c r="L13" s="232">
        <f t="shared" si="1"/>
        <v>173793754.13508439</v>
      </c>
      <c r="M13" s="230">
        <f>SUM(C13:L13)</f>
        <v>8796043926.4467068</v>
      </c>
    </row>
    <row r="14" spans="1:13" ht="13">
      <c r="A14" s="553">
        <f t="shared" ref="A14:A25" si="2">A13+1</f>
        <v>3</v>
      </c>
      <c r="B14" s="704" t="s">
        <v>2555</v>
      </c>
      <c r="C14" s="232">
        <f>C132+C199 +C13</f>
        <v>87378283.397575647</v>
      </c>
      <c r="D14" s="232">
        <f t="shared" ref="C14:D23" si="3">D132+D199 +D13</f>
        <v>165238733.9709281</v>
      </c>
      <c r="E14" s="232">
        <f t="shared" ref="E14:E23" si="4">E132+E199 +E13</f>
        <v>649915490.91427851</v>
      </c>
      <c r="F14" s="232">
        <f t="shared" ref="F14:F23" si="5">F132+F199 +F13</f>
        <v>3463000293.5497246</v>
      </c>
      <c r="G14" s="232">
        <f t="shared" ref="G14:G23" si="6">G132+G199 +G13</f>
        <v>2273899913.0902042</v>
      </c>
      <c r="H14" s="232">
        <f t="shared" ref="H14:H23" si="7">H132+H199 +H13</f>
        <v>394544587.5583322</v>
      </c>
      <c r="I14" s="232">
        <f t="shared" ref="I14:I23" si="8">I132+I199 +I13</f>
        <v>1320181319.0387657</v>
      </c>
      <c r="J14" s="232">
        <f t="shared" ref="J14:J23" si="9">J132+J199 +J13</f>
        <v>190896528.80466503</v>
      </c>
      <c r="K14" s="232">
        <f t="shared" ref="K14:K23" si="10">K132+K199 +K13</f>
        <v>83991813.243796289</v>
      </c>
      <c r="L14" s="232">
        <f t="shared" ref="L14:L23" si="11">L132+L199 +L13</f>
        <v>173965840.29050624</v>
      </c>
      <c r="M14" s="230">
        <f>SUM(C14:L14)</f>
        <v>8803012803.8587761</v>
      </c>
    </row>
    <row r="15" spans="1:13" ht="13">
      <c r="A15" s="553">
        <f t="shared" si="2"/>
        <v>4</v>
      </c>
      <c r="B15" s="704" t="s">
        <v>2556</v>
      </c>
      <c r="C15" s="232">
        <f t="shared" si="3"/>
        <v>87422936.397575647</v>
      </c>
      <c r="D15" s="232">
        <f t="shared" si="3"/>
        <v>165274761.31141976</v>
      </c>
      <c r="E15" s="232">
        <f t="shared" si="4"/>
        <v>656305655.3051796</v>
      </c>
      <c r="F15" s="232">
        <f t="shared" si="5"/>
        <v>3473399158.8300886</v>
      </c>
      <c r="G15" s="232">
        <f t="shared" si="6"/>
        <v>2273589636.4238544</v>
      </c>
      <c r="H15" s="232">
        <f t="shared" si="7"/>
        <v>396552950.73370737</v>
      </c>
      <c r="I15" s="232">
        <f t="shared" si="8"/>
        <v>1322780078.999042</v>
      </c>
      <c r="J15" s="232">
        <f t="shared" si="9"/>
        <v>190915965.14155641</v>
      </c>
      <c r="K15" s="232">
        <f t="shared" si="10"/>
        <v>83998079.695823774</v>
      </c>
      <c r="L15" s="232">
        <f t="shared" si="11"/>
        <v>176594549.02726787</v>
      </c>
      <c r="M15" s="230">
        <f t="shared" si="0"/>
        <v>8826833771.8655167</v>
      </c>
    </row>
    <row r="16" spans="1:13" ht="13">
      <c r="A16" s="553">
        <f t="shared" si="2"/>
        <v>5</v>
      </c>
      <c r="B16" s="705" t="s">
        <v>2557</v>
      </c>
      <c r="C16" s="232">
        <f>C134+C201 +C15</f>
        <v>87480041.513463184</v>
      </c>
      <c r="D16" s="232">
        <f t="shared" si="3"/>
        <v>165233219.62313735</v>
      </c>
      <c r="E16" s="232">
        <f t="shared" si="4"/>
        <v>656534696.02460039</v>
      </c>
      <c r="F16" s="232">
        <f t="shared" si="5"/>
        <v>3484806815.0543184</v>
      </c>
      <c r="G16" s="232">
        <f t="shared" si="6"/>
        <v>2277229730.4424171</v>
      </c>
      <c r="H16" s="232">
        <f t="shared" si="7"/>
        <v>397457164.28235877</v>
      </c>
      <c r="I16" s="232">
        <f t="shared" si="8"/>
        <v>1339023383.3166633</v>
      </c>
      <c r="J16" s="232">
        <f t="shared" si="9"/>
        <v>190926871.33673123</v>
      </c>
      <c r="K16" s="232">
        <f t="shared" si="10"/>
        <v>84003482.969925135</v>
      </c>
      <c r="L16" s="232">
        <f t="shared" si="11"/>
        <v>176656377.09970364</v>
      </c>
      <c r="M16" s="230">
        <f t="shared" si="0"/>
        <v>8859351781.6633167</v>
      </c>
    </row>
    <row r="17" spans="1:15" ht="13">
      <c r="A17" s="553">
        <f t="shared" si="2"/>
        <v>6</v>
      </c>
      <c r="B17" s="704" t="s">
        <v>2558</v>
      </c>
      <c r="C17" s="232">
        <f t="shared" si="3"/>
        <v>87483624.883834735</v>
      </c>
      <c r="D17" s="232">
        <f t="shared" si="3"/>
        <v>165268205.02870607</v>
      </c>
      <c r="E17" s="232">
        <f t="shared" si="4"/>
        <v>660917188.50644588</v>
      </c>
      <c r="F17" s="232">
        <f t="shared" si="5"/>
        <v>3507319640.2373776</v>
      </c>
      <c r="G17" s="232">
        <f t="shared" si="6"/>
        <v>2278145726.7590322</v>
      </c>
      <c r="H17" s="232">
        <f t="shared" si="7"/>
        <v>398520801.56604367</v>
      </c>
      <c r="I17" s="232">
        <f t="shared" si="8"/>
        <v>1361310693.3430395</v>
      </c>
      <c r="J17" s="232">
        <f t="shared" si="9"/>
        <v>190946304.73330876</v>
      </c>
      <c r="K17" s="232">
        <f t="shared" si="10"/>
        <v>84012373.441688359</v>
      </c>
      <c r="L17" s="232">
        <f t="shared" si="11"/>
        <v>177585902.42037222</v>
      </c>
      <c r="M17" s="230">
        <f t="shared" si="0"/>
        <v>8911510460.9198494</v>
      </c>
    </row>
    <row r="18" spans="1:15" ht="13">
      <c r="A18" s="553">
        <f t="shared" si="2"/>
        <v>7</v>
      </c>
      <c r="B18" s="704" t="s">
        <v>2559</v>
      </c>
      <c r="C18" s="232">
        <f t="shared" si="3"/>
        <v>87557692.034069747</v>
      </c>
      <c r="D18" s="232">
        <f t="shared" si="3"/>
        <v>165408136.3430278</v>
      </c>
      <c r="E18" s="232">
        <f t="shared" si="4"/>
        <v>661485300.18819571</v>
      </c>
      <c r="F18" s="232">
        <f t="shared" si="5"/>
        <v>3511174755.8738618</v>
      </c>
      <c r="G18" s="232">
        <f t="shared" si="6"/>
        <v>2281853520.6046057</v>
      </c>
      <c r="H18" s="232">
        <f t="shared" si="7"/>
        <v>399556990.00535166</v>
      </c>
      <c r="I18" s="232">
        <f t="shared" si="8"/>
        <v>1369808901.6540136</v>
      </c>
      <c r="J18" s="232">
        <f t="shared" si="9"/>
        <v>190952605.14374197</v>
      </c>
      <c r="K18" s="232">
        <f t="shared" si="10"/>
        <v>84019571.495635763</v>
      </c>
      <c r="L18" s="232">
        <f t="shared" si="11"/>
        <v>177579720.21706134</v>
      </c>
      <c r="M18" s="230">
        <f t="shared" si="0"/>
        <v>8929397193.5595665</v>
      </c>
    </row>
    <row r="19" spans="1:15" ht="13">
      <c r="A19" s="553">
        <f t="shared" si="2"/>
        <v>8</v>
      </c>
      <c r="B19" s="705" t="s">
        <v>2560</v>
      </c>
      <c r="C19" s="232">
        <f t="shared" si="3"/>
        <v>87553683.814069748</v>
      </c>
      <c r="D19" s="232">
        <f t="shared" si="3"/>
        <v>165483879.36154321</v>
      </c>
      <c r="E19" s="232">
        <f t="shared" si="4"/>
        <v>661382665.51631856</v>
      </c>
      <c r="F19" s="232">
        <f t="shared" si="5"/>
        <v>3515998242.9279389</v>
      </c>
      <c r="G19" s="232">
        <f t="shared" si="6"/>
        <v>2283177846.3192172</v>
      </c>
      <c r="H19" s="232">
        <f t="shared" si="7"/>
        <v>400761723.2236163</v>
      </c>
      <c r="I19" s="232">
        <f t="shared" si="8"/>
        <v>1371206860.8436511</v>
      </c>
      <c r="J19" s="232">
        <f t="shared" si="9"/>
        <v>215333812.56488377</v>
      </c>
      <c r="K19" s="232">
        <f t="shared" si="10"/>
        <v>59244428.228950471</v>
      </c>
      <c r="L19" s="232">
        <f t="shared" si="11"/>
        <v>177612079.24833342</v>
      </c>
      <c r="M19" s="230">
        <f t="shared" si="0"/>
        <v>8937755222.048521</v>
      </c>
    </row>
    <row r="20" spans="1:15" ht="13">
      <c r="A20" s="553">
        <f t="shared" si="2"/>
        <v>9</v>
      </c>
      <c r="B20" s="704" t="s">
        <v>2561</v>
      </c>
      <c r="C20" s="232">
        <f t="shared" si="3"/>
        <v>87553683.814069748</v>
      </c>
      <c r="D20" s="232">
        <f t="shared" si="3"/>
        <v>165484093.87374327</v>
      </c>
      <c r="E20" s="232">
        <f t="shared" si="4"/>
        <v>674909871.43864024</v>
      </c>
      <c r="F20" s="232">
        <f t="shared" si="5"/>
        <v>3538452630.2068014</v>
      </c>
      <c r="G20" s="232">
        <f t="shared" si="6"/>
        <v>2285134791.815619</v>
      </c>
      <c r="H20" s="232">
        <f t="shared" si="7"/>
        <v>401429531.76485151</v>
      </c>
      <c r="I20" s="232">
        <f t="shared" si="8"/>
        <v>1370067207.3267097</v>
      </c>
      <c r="J20" s="232">
        <f t="shared" si="9"/>
        <v>215340821.97947031</v>
      </c>
      <c r="K20" s="232">
        <f t="shared" si="10"/>
        <v>59244866.79172115</v>
      </c>
      <c r="L20" s="232">
        <f t="shared" si="11"/>
        <v>177615266.92994034</v>
      </c>
      <c r="M20" s="230">
        <f t="shared" si="0"/>
        <v>8975232765.9415684</v>
      </c>
    </row>
    <row r="21" spans="1:15" ht="13">
      <c r="A21" s="553">
        <f t="shared" si="2"/>
        <v>10</v>
      </c>
      <c r="B21" s="704" t="s">
        <v>2562</v>
      </c>
      <c r="C21" s="232">
        <f t="shared" si="3"/>
        <v>87570144.77582708</v>
      </c>
      <c r="D21" s="232">
        <f t="shared" si="3"/>
        <v>165595201.03246102</v>
      </c>
      <c r="E21" s="232">
        <f t="shared" si="4"/>
        <v>677295973.08559442</v>
      </c>
      <c r="F21" s="232">
        <f t="shared" si="5"/>
        <v>3543843021.1083984</v>
      </c>
      <c r="G21" s="232">
        <f t="shared" si="6"/>
        <v>2297900874.677537</v>
      </c>
      <c r="H21" s="232">
        <f t="shared" si="7"/>
        <v>402224730.09936982</v>
      </c>
      <c r="I21" s="232">
        <f t="shared" si="8"/>
        <v>1379053256.7337482</v>
      </c>
      <c r="J21" s="232">
        <f t="shared" si="9"/>
        <v>215347099.57419631</v>
      </c>
      <c r="K21" s="232">
        <f t="shared" si="10"/>
        <v>59245373.248900287</v>
      </c>
      <c r="L21" s="232">
        <f t="shared" si="11"/>
        <v>177619374.09883332</v>
      </c>
      <c r="M21" s="230">
        <f t="shared" si="0"/>
        <v>9005695048.434866</v>
      </c>
    </row>
    <row r="22" spans="1:15" ht="13">
      <c r="A22" s="553">
        <f t="shared" si="2"/>
        <v>11</v>
      </c>
      <c r="B22" s="705" t="s">
        <v>2563</v>
      </c>
      <c r="C22" s="232">
        <f t="shared" si="3"/>
        <v>87569796.354639083</v>
      </c>
      <c r="D22" s="232">
        <f t="shared" si="3"/>
        <v>165598608.52328014</v>
      </c>
      <c r="E22" s="232">
        <f t="shared" si="4"/>
        <v>677882531.62483716</v>
      </c>
      <c r="F22" s="232">
        <f t="shared" si="5"/>
        <v>3550828647.1864853</v>
      </c>
      <c r="G22" s="232">
        <f t="shared" si="6"/>
        <v>2299348771.0964823</v>
      </c>
      <c r="H22" s="232">
        <f t="shared" si="7"/>
        <v>403632407.59406573</v>
      </c>
      <c r="I22" s="232">
        <f t="shared" si="8"/>
        <v>1403798673.0661542</v>
      </c>
      <c r="J22" s="232">
        <f t="shared" si="9"/>
        <v>215352794.50621113</v>
      </c>
      <c r="K22" s="232">
        <f t="shared" si="10"/>
        <v>59245902.41609361</v>
      </c>
      <c r="L22" s="232">
        <f t="shared" si="11"/>
        <v>178258588.02527183</v>
      </c>
      <c r="M22" s="230">
        <f t="shared" si="0"/>
        <v>9041516720.3935204</v>
      </c>
    </row>
    <row r="23" spans="1:15" ht="13">
      <c r="A23" s="553">
        <f t="shared" si="2"/>
        <v>12</v>
      </c>
      <c r="B23" s="705" t="s">
        <v>2564</v>
      </c>
      <c r="C23" s="232">
        <f t="shared" si="3"/>
        <v>88713599.713699505</v>
      </c>
      <c r="D23" s="232">
        <f t="shared" si="3"/>
        <v>165585387.5366627</v>
      </c>
      <c r="E23" s="232">
        <f t="shared" si="4"/>
        <v>677781640.19913304</v>
      </c>
      <c r="F23" s="232">
        <f t="shared" si="5"/>
        <v>3558254573.4971943</v>
      </c>
      <c r="G23" s="232">
        <f t="shared" si="6"/>
        <v>2300875370.6415114</v>
      </c>
      <c r="H23" s="232">
        <f t="shared" si="7"/>
        <v>404634826.6358096</v>
      </c>
      <c r="I23" s="232">
        <f t="shared" si="8"/>
        <v>1406436694.3842559</v>
      </c>
      <c r="J23" s="232">
        <f t="shared" si="9"/>
        <v>215364289.11686331</v>
      </c>
      <c r="K23" s="232">
        <f t="shared" si="10"/>
        <v>59250147.216889076</v>
      </c>
      <c r="L23" s="232">
        <f t="shared" si="11"/>
        <v>178942879.29017994</v>
      </c>
      <c r="M23" s="230">
        <f t="shared" si="0"/>
        <v>9055839408.2321987</v>
      </c>
    </row>
    <row r="24" spans="1:15" ht="13">
      <c r="A24" s="553">
        <f t="shared" si="2"/>
        <v>13</v>
      </c>
      <c r="B24" s="704" t="s">
        <v>2553</v>
      </c>
      <c r="C24" s="116">
        <v>88722949.825873926</v>
      </c>
      <c r="D24" s="116">
        <v>165732565.69245622</v>
      </c>
      <c r="E24" s="449">
        <f>'7-PlantStudy'!E10</f>
        <v>741230571.26955175</v>
      </c>
      <c r="F24" s="449">
        <f>'7-PlantStudy'!E11</f>
        <v>3714934155.6737089</v>
      </c>
      <c r="G24" s="449">
        <f>'7-PlantStudy'!E20</f>
        <v>2305124777.8401799</v>
      </c>
      <c r="H24" s="449">
        <f>'7-PlantStudy'!E21</f>
        <v>408001019.0888837</v>
      </c>
      <c r="I24" s="449">
        <f>'7-PlantStudy'!E22</f>
        <v>1408013215.7482004</v>
      </c>
      <c r="J24" s="449">
        <f>'7-PlantStudy'!E23</f>
        <v>215368701.52640039</v>
      </c>
      <c r="K24" s="449">
        <f>'7-PlantStudy'!E24</f>
        <v>59251565.606308758</v>
      </c>
      <c r="L24" s="449">
        <f>'7-PlantStudy'!E25</f>
        <v>179151598.49303469</v>
      </c>
      <c r="M24" s="361">
        <f t="shared" si="0"/>
        <v>9285531120.7645969</v>
      </c>
      <c r="O24" s="1"/>
    </row>
    <row r="25" spans="1:15" ht="13">
      <c r="A25" s="553">
        <f t="shared" si="2"/>
        <v>14</v>
      </c>
      <c r="B25" s="1067" t="s">
        <v>1182</v>
      </c>
      <c r="C25" s="230">
        <f>AVERAGE(C12:C24)</f>
        <v>87670406.367494002</v>
      </c>
      <c r="D25" s="230">
        <f t="shared" ref="D25:M25" si="12">AVERAGE(D12:D24)</f>
        <v>165414039.3135381</v>
      </c>
      <c r="E25" s="230">
        <f t="shared" si="12"/>
        <v>668101426.44504154</v>
      </c>
      <c r="F25" s="230">
        <f t="shared" si="12"/>
        <v>3521898460.0788145</v>
      </c>
      <c r="G25" s="230">
        <f t="shared" si="12"/>
        <v>2285731218.8578653</v>
      </c>
      <c r="H25" s="230">
        <f t="shared" si="12"/>
        <v>398959113.71495396</v>
      </c>
      <c r="I25" s="230">
        <f t="shared" si="12"/>
        <v>1360227716.353476</v>
      </c>
      <c r="J25" s="230">
        <f t="shared" si="12"/>
        <v>202194190.06232992</v>
      </c>
      <c r="K25" s="230">
        <f t="shared" si="12"/>
        <v>72575712.580572993</v>
      </c>
      <c r="L25" s="230">
        <f t="shared" si="12"/>
        <v>176858425.55966073</v>
      </c>
      <c r="M25" s="230">
        <f t="shared" si="12"/>
        <v>8939630709.3337479</v>
      </c>
    </row>
    <row r="26" spans="1:15">
      <c r="A26" s="467"/>
      <c r="B26" s="467"/>
      <c r="C26" s="467"/>
      <c r="D26" s="467"/>
      <c r="E26" s="467"/>
      <c r="F26" s="467"/>
      <c r="G26" s="467"/>
      <c r="H26" s="467"/>
      <c r="I26" s="467"/>
      <c r="J26" s="467"/>
      <c r="K26" s="467"/>
      <c r="L26" s="467"/>
    </row>
    <row r="27" spans="1:15" ht="13">
      <c r="A27" s="467"/>
      <c r="B27" s="386" t="s">
        <v>321</v>
      </c>
      <c r="C27" s="467"/>
      <c r="D27" s="467"/>
      <c r="E27" s="467"/>
      <c r="F27" s="467"/>
      <c r="G27" s="467"/>
      <c r="H27" s="467"/>
      <c r="I27" s="467"/>
      <c r="J27" s="467"/>
      <c r="K27" s="467"/>
      <c r="L27" s="467"/>
    </row>
    <row r="28" spans="1:15" ht="13">
      <c r="A28" s="467"/>
      <c r="B28" s="386"/>
      <c r="C28" s="467"/>
      <c r="D28" s="467"/>
      <c r="E28" s="467"/>
      <c r="F28" s="467"/>
      <c r="G28" s="467"/>
      <c r="H28" s="467"/>
      <c r="I28" s="467"/>
      <c r="J28" s="467"/>
      <c r="K28" s="467"/>
      <c r="L28" s="467"/>
    </row>
    <row r="29" spans="1:15">
      <c r="A29" s="467"/>
      <c r="B29" s="236" t="s">
        <v>1716</v>
      </c>
      <c r="C29" s="469"/>
      <c r="D29" s="469"/>
      <c r="E29" s="469"/>
      <c r="F29" s="469"/>
      <c r="G29" s="469"/>
      <c r="H29" s="469"/>
      <c r="I29" s="467"/>
      <c r="J29" s="467"/>
      <c r="K29" s="467"/>
      <c r="L29" s="467"/>
    </row>
    <row r="30" spans="1:15" ht="13">
      <c r="A30" s="467"/>
      <c r="B30" s="386"/>
      <c r="C30" s="467"/>
      <c r="D30" s="467"/>
      <c r="E30" s="467"/>
      <c r="F30" s="467"/>
      <c r="G30" s="467"/>
      <c r="H30" s="467"/>
      <c r="I30" s="467"/>
      <c r="J30" s="467"/>
      <c r="K30" s="467"/>
      <c r="L30" s="467"/>
    </row>
    <row r="31" spans="1:15" ht="13">
      <c r="A31" s="386"/>
      <c r="B31" s="84" t="s">
        <v>358</v>
      </c>
      <c r="C31" s="84" t="s">
        <v>342</v>
      </c>
      <c r="D31" s="84" t="s">
        <v>343</v>
      </c>
      <c r="E31" s="84" t="s">
        <v>344</v>
      </c>
      <c r="F31" s="84" t="s">
        <v>345</v>
      </c>
      <c r="G31" s="467"/>
      <c r="H31" s="467"/>
      <c r="I31" s="467"/>
      <c r="J31" s="467"/>
      <c r="K31" s="467"/>
      <c r="L31" s="467"/>
    </row>
    <row r="32" spans="1:15">
      <c r="A32" s="228"/>
      <c r="B32" s="244"/>
      <c r="C32" s="228"/>
      <c r="D32" s="228"/>
      <c r="E32" s="228"/>
      <c r="F32" s="244" t="s">
        <v>1183</v>
      </c>
      <c r="G32" s="467"/>
      <c r="H32" s="467"/>
      <c r="K32" s="467"/>
      <c r="L32" s="467"/>
    </row>
    <row r="33" spans="1:12" ht="13">
      <c r="A33" s="228"/>
      <c r="B33" s="110"/>
      <c r="C33" s="84"/>
      <c r="D33" s="84"/>
      <c r="E33" s="228"/>
      <c r="F33" s="228"/>
      <c r="G33" s="467"/>
      <c r="H33" s="467"/>
      <c r="K33" s="467"/>
      <c r="L33" s="467"/>
    </row>
    <row r="34" spans="1:12" ht="12.75" customHeight="1">
      <c r="A34" s="51" t="s">
        <v>329</v>
      </c>
      <c r="B34" s="123" t="s">
        <v>1750</v>
      </c>
      <c r="C34" s="362">
        <v>360</v>
      </c>
      <c r="D34" s="362">
        <v>361</v>
      </c>
      <c r="E34" s="362">
        <v>362</v>
      </c>
      <c r="F34" s="3" t="s">
        <v>196</v>
      </c>
      <c r="G34" s="467"/>
      <c r="H34" s="467"/>
      <c r="K34" s="467"/>
      <c r="L34" s="467"/>
    </row>
    <row r="35" spans="1:12" ht="12.75" customHeight="1">
      <c r="A35" s="553">
        <f>A25+1</f>
        <v>15</v>
      </c>
      <c r="B35" s="704" t="s">
        <v>2479</v>
      </c>
      <c r="C35" s="980">
        <v>0</v>
      </c>
      <c r="D35" s="980">
        <v>0</v>
      </c>
      <c r="E35" s="980">
        <v>0</v>
      </c>
      <c r="F35" s="230">
        <f>SUM(C35:E35)</f>
        <v>0</v>
      </c>
      <c r="G35" s="467"/>
      <c r="H35" s="467"/>
      <c r="K35" s="467"/>
      <c r="L35" s="467"/>
    </row>
    <row r="36" spans="1:12" ht="12.75" customHeight="1">
      <c r="A36" s="553">
        <f>A35+1</f>
        <v>16</v>
      </c>
      <c r="B36" s="704" t="s">
        <v>2553</v>
      </c>
      <c r="C36" s="388">
        <v>0</v>
      </c>
      <c r="D36" s="388">
        <v>0</v>
      </c>
      <c r="E36" s="388">
        <v>0</v>
      </c>
      <c r="F36" s="361">
        <f>SUM(C36:E36)</f>
        <v>0</v>
      </c>
      <c r="G36" s="467"/>
      <c r="H36" s="467"/>
      <c r="K36" s="467"/>
      <c r="L36" s="467"/>
    </row>
    <row r="37" spans="1:12" ht="12.75" customHeight="1">
      <c r="A37" s="553">
        <f>A36+1</f>
        <v>17</v>
      </c>
      <c r="B37" s="1067" t="s">
        <v>1184</v>
      </c>
      <c r="C37" s="230">
        <f>AVERAGE(C35:C36)</f>
        <v>0</v>
      </c>
      <c r="D37" s="230">
        <f>AVERAGE(D35:D36)</f>
        <v>0</v>
      </c>
      <c r="E37" s="230">
        <f>AVERAGE(E35:E36)</f>
        <v>0</v>
      </c>
      <c r="F37" s="230">
        <f>AVERAGE(F35:F36)</f>
        <v>0</v>
      </c>
      <c r="G37" s="467"/>
      <c r="H37" s="467"/>
      <c r="K37" s="467"/>
      <c r="L37" s="467"/>
    </row>
    <row r="38" spans="1:12" ht="12.75" customHeight="1">
      <c r="A38" s="467"/>
      <c r="B38" s="467"/>
      <c r="C38" s="467"/>
      <c r="D38" s="467"/>
      <c r="E38" s="467"/>
      <c r="F38" s="467"/>
      <c r="G38" s="467"/>
      <c r="H38" s="467"/>
      <c r="K38" s="467"/>
      <c r="L38" s="467"/>
    </row>
    <row r="39" spans="1:12" ht="13">
      <c r="A39" s="467"/>
      <c r="B39" s="1" t="s">
        <v>1046</v>
      </c>
      <c r="C39" s="620"/>
      <c r="D39" s="620"/>
      <c r="E39" s="1068"/>
      <c r="F39" s="1069"/>
      <c r="G39" s="1070"/>
      <c r="H39" s="467"/>
      <c r="K39" s="467"/>
      <c r="L39" s="467"/>
    </row>
    <row r="40" spans="1:12" ht="13">
      <c r="A40" s="467"/>
      <c r="B40" s="467" t="s">
        <v>1047</v>
      </c>
      <c r="C40" s="620"/>
      <c r="D40" s="620"/>
      <c r="E40" s="1068"/>
      <c r="F40" s="1069"/>
      <c r="G40" s="1070"/>
      <c r="H40" s="467"/>
      <c r="K40" s="467"/>
      <c r="L40" s="467"/>
    </row>
    <row r="41" spans="1:12" ht="13">
      <c r="A41" s="467"/>
      <c r="B41" s="467"/>
      <c r="C41" s="620"/>
      <c r="D41" s="620"/>
      <c r="E41" s="1068"/>
      <c r="F41" s="1069"/>
      <c r="G41" s="1070"/>
      <c r="H41" s="467"/>
      <c r="K41" s="467"/>
      <c r="L41" s="467"/>
    </row>
    <row r="42" spans="1:12" ht="13">
      <c r="A42" s="467"/>
      <c r="B42" s="467"/>
      <c r="C42" s="620"/>
      <c r="D42" s="1071" t="s">
        <v>175</v>
      </c>
      <c r="E42" s="1072" t="s">
        <v>179</v>
      </c>
      <c r="F42" s="1069"/>
      <c r="G42" s="1070"/>
      <c r="H42" s="467"/>
      <c r="K42" s="467"/>
      <c r="L42" s="467"/>
    </row>
    <row r="43" spans="1:12" ht="13">
      <c r="A43" s="553">
        <f>A37+1</f>
        <v>18</v>
      </c>
      <c r="B43" s="467"/>
      <c r="C43" s="1068" t="s">
        <v>322</v>
      </c>
      <c r="D43" s="1069">
        <f>M25+F37</f>
        <v>8939630709.3337479</v>
      </c>
      <c r="E43" s="1073" t="str">
        <f>"Sum of Line "&amp;A25&amp;", "&amp;M8&amp;" and Line "&amp;A37&amp;", "&amp;F31&amp;""</f>
        <v>Sum of Line 14, Col 12 and Line 17, Col 5</v>
      </c>
      <c r="F43" s="467"/>
      <c r="G43" s="467"/>
      <c r="H43" s="469"/>
      <c r="K43" s="467"/>
      <c r="L43" s="467"/>
    </row>
    <row r="44" spans="1:12" ht="13">
      <c r="A44" s="553">
        <f>A43+1</f>
        <v>19</v>
      </c>
      <c r="B44" s="467"/>
      <c r="C44" s="1068" t="s">
        <v>156</v>
      </c>
      <c r="D44" s="1069">
        <f>M24+F36</f>
        <v>9285531120.7645969</v>
      </c>
      <c r="E44" s="1073" t="str">
        <f>"Sum of Line "&amp;A24&amp;", "&amp;M8&amp;" and Line "&amp;A36&amp;", "&amp;F31&amp;""</f>
        <v>Sum of Line 13, Col 12 and Line 16, Col 5</v>
      </c>
      <c r="F44" s="467"/>
      <c r="G44" s="467"/>
      <c r="H44" s="469"/>
      <c r="I44" s="467"/>
      <c r="J44" s="467"/>
      <c r="K44" s="467"/>
      <c r="L44" s="467"/>
    </row>
    <row r="45" spans="1:12" ht="13">
      <c r="A45" s="467"/>
      <c r="B45" s="467"/>
      <c r="C45" s="620"/>
      <c r="D45" s="620"/>
      <c r="E45" s="1074"/>
      <c r="F45" s="1075"/>
      <c r="G45" s="1076"/>
      <c r="H45" s="467"/>
      <c r="I45" s="467"/>
      <c r="J45" s="467"/>
      <c r="K45" s="467"/>
      <c r="L45" s="467"/>
    </row>
    <row r="46" spans="1:12" ht="13">
      <c r="A46" s="467"/>
      <c r="B46" s="1" t="s">
        <v>1717</v>
      </c>
      <c r="C46" s="467"/>
      <c r="D46" s="467"/>
      <c r="E46" s="1074"/>
      <c r="F46" s="1075"/>
      <c r="G46" s="1076"/>
      <c r="H46" s="467"/>
      <c r="I46" s="467"/>
      <c r="J46" s="467"/>
      <c r="K46" s="467"/>
      <c r="L46" s="467"/>
    </row>
    <row r="47" spans="1:12">
      <c r="A47" s="467"/>
      <c r="B47" s="471" t="s">
        <v>303</v>
      </c>
      <c r="C47" s="467"/>
      <c r="D47" s="467"/>
      <c r="E47" s="1074"/>
      <c r="F47" s="1075"/>
      <c r="G47" s="1076"/>
      <c r="H47" s="467"/>
      <c r="I47" s="467"/>
      <c r="J47" s="467"/>
      <c r="K47" s="467"/>
      <c r="L47" s="467"/>
    </row>
    <row r="48" spans="1:12" ht="12.75" customHeight="1">
      <c r="A48" s="467"/>
      <c r="B48" s="471"/>
      <c r="C48" s="467"/>
      <c r="D48" s="467"/>
      <c r="E48" s="1074"/>
      <c r="F48" s="1075"/>
      <c r="G48" s="1076"/>
      <c r="H48" s="467"/>
      <c r="I48" s="467"/>
      <c r="J48" s="467"/>
      <c r="K48" s="467"/>
      <c r="L48" s="467"/>
    </row>
    <row r="49" spans="1:12" ht="13">
      <c r="A49" s="467"/>
      <c r="B49" s="1"/>
      <c r="C49" s="244" t="s">
        <v>359</v>
      </c>
      <c r="D49" s="467"/>
      <c r="E49" s="1074"/>
      <c r="F49" s="84" t="s">
        <v>358</v>
      </c>
      <c r="G49" s="84" t="s">
        <v>342</v>
      </c>
      <c r="H49" s="84" t="s">
        <v>343</v>
      </c>
      <c r="I49" s="467"/>
      <c r="J49" s="467"/>
      <c r="K49" s="467"/>
      <c r="L49" s="467"/>
    </row>
    <row r="50" spans="1:12" ht="13">
      <c r="A50" s="467"/>
      <c r="B50" s="1"/>
      <c r="C50" s="553" t="s">
        <v>402</v>
      </c>
      <c r="D50" s="1074"/>
      <c r="F50" s="553" t="s">
        <v>1203</v>
      </c>
      <c r="G50" s="553" t="s">
        <v>1204</v>
      </c>
      <c r="H50" s="1056" t="s">
        <v>196</v>
      </c>
      <c r="I50" s="1076"/>
      <c r="J50" s="467"/>
      <c r="K50" s="467"/>
      <c r="L50" s="467"/>
    </row>
    <row r="51" spans="1:12" ht="13">
      <c r="A51" s="467"/>
      <c r="B51" s="467"/>
      <c r="C51" s="553" t="s">
        <v>193</v>
      </c>
      <c r="D51" s="627" t="s">
        <v>194</v>
      </c>
      <c r="F51" s="627" t="s">
        <v>371</v>
      </c>
      <c r="G51" s="627" t="s">
        <v>371</v>
      </c>
      <c r="H51" s="627" t="s">
        <v>1185</v>
      </c>
      <c r="I51" s="627"/>
      <c r="J51" s="467"/>
      <c r="K51" s="467"/>
      <c r="L51" s="467"/>
    </row>
    <row r="52" spans="1:12" ht="13">
      <c r="A52" s="467"/>
      <c r="B52" s="467"/>
      <c r="C52" s="3" t="s">
        <v>192</v>
      </c>
      <c r="D52" s="611" t="s">
        <v>179</v>
      </c>
      <c r="F52" s="624" t="s">
        <v>2</v>
      </c>
      <c r="G52" s="624" t="s">
        <v>2</v>
      </c>
      <c r="H52" s="624" t="s">
        <v>2</v>
      </c>
      <c r="I52" s="1077" t="s">
        <v>168</v>
      </c>
      <c r="J52" s="467"/>
      <c r="K52" s="467"/>
      <c r="L52" s="467"/>
    </row>
    <row r="53" spans="1:12" ht="13">
      <c r="A53" s="553">
        <f>A44+1</f>
        <v>20</v>
      </c>
      <c r="B53" s="467"/>
      <c r="C53" s="608" t="s">
        <v>180</v>
      </c>
      <c r="D53" s="1055" t="s">
        <v>1205</v>
      </c>
      <c r="F53" s="995">
        <v>3095312496</v>
      </c>
      <c r="G53" s="497">
        <v>1211743818</v>
      </c>
      <c r="H53" s="1069">
        <f>SUM(F53:G53)</f>
        <v>4307056314</v>
      </c>
      <c r="I53" s="1055" t="s">
        <v>1718</v>
      </c>
      <c r="J53" s="469"/>
      <c r="K53" s="467"/>
      <c r="L53" s="467"/>
    </row>
    <row r="54" spans="1:12" ht="12.75" customHeight="1">
      <c r="A54" s="553">
        <f>A53+1</f>
        <v>21</v>
      </c>
      <c r="B54" s="467"/>
      <c r="C54" s="615" t="s">
        <v>180</v>
      </c>
      <c r="D54" s="1055" t="s">
        <v>1745</v>
      </c>
      <c r="E54" s="14"/>
      <c r="F54" s="995">
        <v>3238857833</v>
      </c>
      <c r="G54" s="497">
        <v>1253827471</v>
      </c>
      <c r="H54" s="1069">
        <f>SUM(F54:G54)</f>
        <v>4492685304</v>
      </c>
      <c r="I54" s="466" t="s">
        <v>1719</v>
      </c>
      <c r="J54" s="469"/>
      <c r="K54" s="467"/>
      <c r="L54" s="467"/>
    </row>
    <row r="55" spans="1:12" ht="12.75" customHeight="1">
      <c r="A55" s="467"/>
      <c r="B55" s="467"/>
      <c r="C55" s="615"/>
      <c r="D55" s="1078"/>
      <c r="E55" s="1079"/>
      <c r="F55" s="1069"/>
      <c r="G55" s="471"/>
      <c r="H55" s="467"/>
      <c r="I55" s="467"/>
      <c r="J55" s="467"/>
      <c r="K55" s="467"/>
      <c r="L55" s="467"/>
    </row>
    <row r="56" spans="1:12" ht="12.75" customHeight="1">
      <c r="A56" s="467"/>
      <c r="B56" s="467"/>
      <c r="C56" s="620" t="s">
        <v>1207</v>
      </c>
      <c r="D56" s="620"/>
      <c r="E56" s="1074"/>
      <c r="F56" s="1072" t="s">
        <v>175</v>
      </c>
      <c r="G56" s="1080" t="s">
        <v>179</v>
      </c>
      <c r="H56" s="467"/>
      <c r="I56" s="467"/>
      <c r="J56" s="467"/>
      <c r="K56" s="467"/>
      <c r="L56" s="467"/>
    </row>
    <row r="57" spans="1:12" ht="13">
      <c r="A57" s="553">
        <f>A54+1</f>
        <v>22</v>
      </c>
      <c r="B57" s="467"/>
      <c r="C57" s="620"/>
      <c r="D57" s="620"/>
      <c r="E57" s="1068" t="s">
        <v>84</v>
      </c>
      <c r="F57" s="1069">
        <f>(H53+H54)/2</f>
        <v>4399870809</v>
      </c>
      <c r="G57" s="503" t="str">
        <f>"Average of Line "&amp;A53&amp;" and "&amp;A54&amp;"."</f>
        <v>Average of Line 20 and 21.</v>
      </c>
      <c r="H57" s="467"/>
      <c r="I57" s="469"/>
      <c r="J57" s="467"/>
      <c r="K57" s="467"/>
      <c r="L57" s="467"/>
    </row>
    <row r="58" spans="1:12" ht="13">
      <c r="A58" s="553">
        <f>A57+1</f>
        <v>23</v>
      </c>
      <c r="B58" s="467"/>
      <c r="C58" s="620"/>
      <c r="D58" s="620"/>
      <c r="E58" s="589" t="s">
        <v>239</v>
      </c>
      <c r="F58" s="1081">
        <f>'27-Allocators'!G15</f>
        <v>6.5680595610890333E-2</v>
      </c>
      <c r="G58" s="503" t="str">
        <f>"27-Allocators, Line "&amp;'27-Allocators'!A15&amp;""</f>
        <v>27-Allocators, Line 9</v>
      </c>
      <c r="H58" s="467"/>
      <c r="I58" s="469"/>
      <c r="J58" s="467"/>
      <c r="K58" s="467"/>
      <c r="L58" s="467"/>
    </row>
    <row r="59" spans="1:12" ht="13">
      <c r="A59" s="553">
        <f>A58+1</f>
        <v>24</v>
      </c>
      <c r="B59" s="467"/>
      <c r="C59" s="620"/>
      <c r="D59" s="620"/>
      <c r="E59" s="589" t="s">
        <v>304</v>
      </c>
      <c r="F59" s="1069">
        <f>F57*F58</f>
        <v>288986135.3460899</v>
      </c>
      <c r="G59" s="503" t="str">
        <f>"Line "&amp;A57&amp;" * Line "&amp;A58&amp;"."</f>
        <v>Line 22 * Line 23.</v>
      </c>
      <c r="H59" s="467"/>
      <c r="I59" s="469"/>
      <c r="J59" s="467"/>
      <c r="K59" s="467"/>
      <c r="L59" s="467"/>
    </row>
    <row r="60" spans="1:12" ht="13">
      <c r="A60" s="467"/>
      <c r="B60" s="467"/>
      <c r="C60" s="620"/>
      <c r="D60" s="620"/>
      <c r="E60" s="589"/>
      <c r="F60" s="1069"/>
      <c r="G60" s="1070"/>
      <c r="H60" s="467"/>
      <c r="I60" s="467"/>
      <c r="J60" s="467"/>
      <c r="K60" s="467"/>
      <c r="L60" s="467"/>
    </row>
    <row r="61" spans="1:12" ht="13">
      <c r="A61" s="467"/>
      <c r="B61" s="467"/>
      <c r="C61" s="620" t="s">
        <v>1206</v>
      </c>
      <c r="D61" s="620"/>
      <c r="E61" s="1074"/>
      <c r="F61" s="1072" t="s">
        <v>175</v>
      </c>
      <c r="G61" s="1080" t="s">
        <v>179</v>
      </c>
      <c r="H61" s="467"/>
      <c r="I61" s="467"/>
      <c r="J61" s="467"/>
      <c r="K61" s="467"/>
      <c r="L61" s="467"/>
    </row>
    <row r="62" spans="1:12" ht="13">
      <c r="A62" s="553">
        <f>A59+1</f>
        <v>25</v>
      </c>
      <c r="B62" s="467"/>
      <c r="C62" s="620"/>
      <c r="D62" s="620"/>
      <c r="E62" s="1068" t="s">
        <v>156</v>
      </c>
      <c r="F62" s="1069">
        <f>H54</f>
        <v>4492685304</v>
      </c>
      <c r="G62" s="503" t="str">
        <f>"Line "&amp;A54&amp;"."</f>
        <v>Line 21.</v>
      </c>
      <c r="H62" s="469"/>
      <c r="I62" s="467"/>
      <c r="J62" s="467"/>
      <c r="K62" s="467"/>
      <c r="L62" s="467"/>
    </row>
    <row r="63" spans="1:12" ht="13">
      <c r="A63" s="553">
        <f>A62+1</f>
        <v>26</v>
      </c>
      <c r="B63" s="467"/>
      <c r="C63" s="620"/>
      <c r="D63" s="620"/>
      <c r="E63" s="589" t="s">
        <v>239</v>
      </c>
      <c r="F63" s="1081">
        <f>'27-Allocators'!G15</f>
        <v>6.5680595610890333E-2</v>
      </c>
      <c r="G63" s="503" t="str">
        <f>"27-Allocators, Line "&amp;'27-Allocators'!A15&amp;""</f>
        <v>27-Allocators, Line 9</v>
      </c>
      <c r="H63" s="469"/>
      <c r="I63" s="467"/>
      <c r="J63" s="467"/>
      <c r="K63" s="467"/>
      <c r="L63" s="467"/>
    </row>
    <row r="64" spans="1:12" ht="13">
      <c r="A64" s="553">
        <f>A63+1</f>
        <v>27</v>
      </c>
      <c r="B64" s="467"/>
      <c r="C64" s="620"/>
      <c r="D64" s="620"/>
      <c r="E64" s="589" t="s">
        <v>304</v>
      </c>
      <c r="F64" s="1069">
        <f>F62*F63</f>
        <v>295082246.65901393</v>
      </c>
      <c r="G64" s="503" t="str">
        <f>"Line "&amp;A62&amp;" * Line "&amp;A63&amp;"."</f>
        <v>Line 25 * Line 26.</v>
      </c>
      <c r="H64" s="469"/>
      <c r="I64" s="467"/>
      <c r="J64" s="467"/>
      <c r="K64" s="467"/>
      <c r="L64" s="467"/>
    </row>
    <row r="65" spans="1:14">
      <c r="A65" s="467"/>
      <c r="B65" s="467"/>
      <c r="C65" s="467"/>
      <c r="D65" s="467"/>
      <c r="E65" s="467"/>
      <c r="F65" s="467"/>
      <c r="G65" s="467"/>
      <c r="H65" s="467"/>
      <c r="I65" s="467"/>
      <c r="J65" s="467"/>
      <c r="K65" s="467"/>
      <c r="L65" s="467"/>
    </row>
    <row r="66" spans="1:14">
      <c r="A66" s="467"/>
      <c r="B66" s="467"/>
      <c r="C66" s="467"/>
      <c r="D66" s="467"/>
      <c r="E66" s="467"/>
      <c r="F66" s="467"/>
      <c r="G66" s="467"/>
      <c r="H66" s="467"/>
      <c r="I66" s="467"/>
      <c r="J66" s="467"/>
      <c r="K66" s="467"/>
      <c r="L66" s="467"/>
    </row>
    <row r="67" spans="1:14" ht="13">
      <c r="A67" s="467"/>
      <c r="B67" s="1" t="s">
        <v>1528</v>
      </c>
      <c r="C67" s="467"/>
      <c r="D67" s="467"/>
      <c r="E67" s="467"/>
      <c r="F67" s="467"/>
      <c r="G67" s="467"/>
      <c r="H67" s="467"/>
      <c r="I67" s="467"/>
      <c r="J67" s="467"/>
      <c r="K67" s="467"/>
      <c r="L67" s="467"/>
    </row>
    <row r="68" spans="1:14">
      <c r="A68" s="467"/>
      <c r="C68" s="467"/>
      <c r="D68" s="467"/>
      <c r="E68" s="467"/>
      <c r="F68" s="467"/>
      <c r="G68" s="467"/>
      <c r="H68" s="467"/>
      <c r="I68" s="467"/>
      <c r="J68" s="467"/>
      <c r="K68" s="467"/>
      <c r="L68" s="467"/>
    </row>
    <row r="69" spans="1:14" ht="13">
      <c r="B69" s="1" t="s">
        <v>2350</v>
      </c>
      <c r="C69" s="467"/>
      <c r="D69" s="467"/>
      <c r="E69" s="467"/>
      <c r="F69" s="467"/>
      <c r="G69" s="467"/>
      <c r="H69" s="467"/>
      <c r="I69" s="467"/>
      <c r="J69" s="467"/>
      <c r="K69" s="467"/>
      <c r="L69" s="467"/>
    </row>
    <row r="70" spans="1:14">
      <c r="A70" s="467"/>
      <c r="C70" s="467"/>
      <c r="D70" s="467"/>
      <c r="E70" s="467"/>
      <c r="F70" s="467"/>
      <c r="G70" s="467"/>
      <c r="H70" s="467"/>
      <c r="I70" s="467"/>
      <c r="J70" s="467"/>
      <c r="K70" s="467"/>
      <c r="L70" s="467"/>
    </row>
    <row r="71" spans="1:14" ht="13">
      <c r="A71" s="386"/>
      <c r="B71" s="84" t="s">
        <v>358</v>
      </c>
      <c r="C71" s="84" t="s">
        <v>342</v>
      </c>
      <c r="D71" s="84" t="s">
        <v>343</v>
      </c>
      <c r="E71" s="84" t="s">
        <v>344</v>
      </c>
      <c r="F71" s="84" t="s">
        <v>345</v>
      </c>
      <c r="G71" s="84" t="s">
        <v>346</v>
      </c>
      <c r="H71" s="84" t="s">
        <v>347</v>
      </c>
      <c r="I71" s="84" t="s">
        <v>534</v>
      </c>
      <c r="J71" s="84" t="s">
        <v>951</v>
      </c>
      <c r="K71" s="84" t="s">
        <v>963</v>
      </c>
      <c r="L71" s="84" t="s">
        <v>966</v>
      </c>
      <c r="M71" s="84" t="s">
        <v>984</v>
      </c>
    </row>
    <row r="72" spans="1:14">
      <c r="A72" s="228"/>
      <c r="B72" s="244"/>
      <c r="C72" s="228"/>
      <c r="D72" s="228"/>
      <c r="E72" s="228"/>
      <c r="F72" s="228"/>
      <c r="G72" s="228"/>
      <c r="H72" s="228"/>
      <c r="I72" s="228"/>
      <c r="J72" s="228"/>
      <c r="K72" s="228"/>
      <c r="M72" s="244" t="s">
        <v>1216</v>
      </c>
    </row>
    <row r="73" spans="1:14" ht="13">
      <c r="A73" s="51"/>
      <c r="B73" s="123" t="s">
        <v>1750</v>
      </c>
      <c r="C73" s="84">
        <v>350.1</v>
      </c>
      <c r="D73" s="84">
        <v>350.2</v>
      </c>
      <c r="E73" s="84">
        <v>352</v>
      </c>
      <c r="F73" s="84">
        <v>353</v>
      </c>
      <c r="G73" s="84">
        <v>354</v>
      </c>
      <c r="H73" s="84">
        <v>355</v>
      </c>
      <c r="I73" s="84">
        <v>356</v>
      </c>
      <c r="J73" s="84">
        <v>357</v>
      </c>
      <c r="K73" s="84">
        <v>358</v>
      </c>
      <c r="L73" s="84">
        <v>359</v>
      </c>
      <c r="M73" s="3" t="s">
        <v>196</v>
      </c>
    </row>
    <row r="74" spans="1:14" ht="13">
      <c r="A74" s="553">
        <f>A64+1</f>
        <v>28</v>
      </c>
      <c r="B74" s="939" t="s">
        <v>2479</v>
      </c>
      <c r="C74" s="497">
        <v>131612781.2</v>
      </c>
      <c r="D74" s="497">
        <v>211617314.10000002</v>
      </c>
      <c r="E74" s="980">
        <v>983751072.62</v>
      </c>
      <c r="F74" s="980">
        <v>6072137167.2699995</v>
      </c>
      <c r="G74" s="980">
        <v>2355779001.3800001</v>
      </c>
      <c r="H74" s="980">
        <v>1500195880.45</v>
      </c>
      <c r="I74" s="980">
        <v>1653093431.4200001</v>
      </c>
      <c r="J74" s="980">
        <v>271487039.30000001</v>
      </c>
      <c r="K74" s="980">
        <v>399339545.30000001</v>
      </c>
      <c r="L74" s="980">
        <v>195497057.65000001</v>
      </c>
      <c r="M74" s="230">
        <f t="shared" ref="M74:M86" si="13">SUM(C74:L74)</f>
        <v>13774510290.689999</v>
      </c>
      <c r="N74" s="14"/>
    </row>
    <row r="75" spans="1:14" ht="13">
      <c r="A75" s="553">
        <f t="shared" ref="A75:A86" si="14">A74+1</f>
        <v>29</v>
      </c>
      <c r="B75" s="705" t="s">
        <v>2554</v>
      </c>
      <c r="C75" s="497">
        <v>131616183.09999999</v>
      </c>
      <c r="D75" s="497">
        <v>211595699.40000004</v>
      </c>
      <c r="E75" s="980">
        <v>988526657.12</v>
      </c>
      <c r="F75" s="980">
        <v>6079034554.2799997</v>
      </c>
      <c r="G75" s="980">
        <v>2344292684.3800001</v>
      </c>
      <c r="H75" s="980">
        <v>1516789871.45</v>
      </c>
      <c r="I75" s="980">
        <v>1662028354.4200001</v>
      </c>
      <c r="J75" s="980">
        <v>271492228.60000002</v>
      </c>
      <c r="K75" s="980">
        <v>399279034.30000001</v>
      </c>
      <c r="L75" s="980">
        <v>195510605.65000001</v>
      </c>
      <c r="M75" s="230">
        <f t="shared" si="13"/>
        <v>13800165872.699999</v>
      </c>
      <c r="N75" s="14"/>
    </row>
    <row r="76" spans="1:14" ht="13">
      <c r="A76" s="553">
        <f t="shared" si="14"/>
        <v>30</v>
      </c>
      <c r="B76" s="939" t="s">
        <v>2555</v>
      </c>
      <c r="C76" s="497">
        <v>131638310.7</v>
      </c>
      <c r="D76" s="497">
        <v>211606168.40000004</v>
      </c>
      <c r="E76" s="980">
        <v>996647573.01999998</v>
      </c>
      <c r="F76" s="980">
        <v>6079249712.5500002</v>
      </c>
      <c r="G76" s="980">
        <v>2344714631.3800001</v>
      </c>
      <c r="H76" s="980">
        <v>1537009559.45</v>
      </c>
      <c r="I76" s="980">
        <v>1662485958.4200001</v>
      </c>
      <c r="J76" s="980">
        <v>271497434.10000002</v>
      </c>
      <c r="K76" s="980">
        <v>399387473.30000001</v>
      </c>
      <c r="L76" s="980">
        <v>195704998.15000001</v>
      </c>
      <c r="M76" s="230">
        <f t="shared" si="13"/>
        <v>13829941819.469999</v>
      </c>
      <c r="N76" s="14"/>
    </row>
    <row r="77" spans="1:14" ht="13">
      <c r="A77" s="553">
        <f t="shared" si="14"/>
        <v>31</v>
      </c>
      <c r="B77" s="705" t="s">
        <v>2556</v>
      </c>
      <c r="C77" s="497">
        <v>131682963.7</v>
      </c>
      <c r="D77" s="497">
        <v>211624570.40000001</v>
      </c>
      <c r="E77" s="980">
        <v>1009871962.62</v>
      </c>
      <c r="F77" s="980">
        <v>6102515153.0800009</v>
      </c>
      <c r="G77" s="980">
        <v>2344883461.3800001</v>
      </c>
      <c r="H77" s="980">
        <v>1558927282.45</v>
      </c>
      <c r="I77" s="980">
        <v>1665250453.4200001</v>
      </c>
      <c r="J77" s="980">
        <v>272559701.19999999</v>
      </c>
      <c r="K77" s="980">
        <v>401424255.89999998</v>
      </c>
      <c r="L77" s="980">
        <v>198336420.85000002</v>
      </c>
      <c r="M77" s="230">
        <f t="shared" si="13"/>
        <v>13897076225.000002</v>
      </c>
      <c r="N77" s="14"/>
    </row>
    <row r="78" spans="1:14" ht="13">
      <c r="A78" s="553">
        <f t="shared" si="14"/>
        <v>32</v>
      </c>
      <c r="B78" s="939" t="s">
        <v>2557</v>
      </c>
      <c r="C78" s="497">
        <v>131752466</v>
      </c>
      <c r="D78" s="497">
        <v>211605282.80000001</v>
      </c>
      <c r="E78" s="980">
        <v>1010323630.62</v>
      </c>
      <c r="F78" s="980">
        <v>6127921997.7600002</v>
      </c>
      <c r="G78" s="980">
        <v>2349025256.3800001</v>
      </c>
      <c r="H78" s="980">
        <v>1570109062.45</v>
      </c>
      <c r="I78" s="980">
        <v>1684119097.4200001</v>
      </c>
      <c r="J78" s="980">
        <v>272593588.19999999</v>
      </c>
      <c r="K78" s="980">
        <v>401459163.5</v>
      </c>
      <c r="L78" s="980">
        <v>198438537.35000002</v>
      </c>
      <c r="M78" s="230">
        <f t="shared" si="13"/>
        <v>13957348082.480003</v>
      </c>
      <c r="N78" s="14"/>
    </row>
    <row r="79" spans="1:14" ht="13">
      <c r="A79" s="553">
        <f t="shared" si="14"/>
        <v>33</v>
      </c>
      <c r="B79" s="705" t="s">
        <v>2558</v>
      </c>
      <c r="C79" s="497">
        <v>131756770.67</v>
      </c>
      <c r="D79" s="497">
        <v>211622567.38</v>
      </c>
      <c r="E79" s="980">
        <v>1019393419.27</v>
      </c>
      <c r="F79" s="980">
        <v>6178360443.0599995</v>
      </c>
      <c r="G79" s="980">
        <v>2350067383.4500003</v>
      </c>
      <c r="H79" s="980">
        <v>1581710728.6500001</v>
      </c>
      <c r="I79" s="980">
        <v>1710040274.45</v>
      </c>
      <c r="J79" s="980">
        <v>273048599.95999998</v>
      </c>
      <c r="K79" s="980">
        <v>401913381.89999998</v>
      </c>
      <c r="L79" s="980">
        <v>199705104.79000002</v>
      </c>
      <c r="M79" s="230">
        <f t="shared" si="13"/>
        <v>14057618673.58</v>
      </c>
      <c r="N79" s="14"/>
    </row>
    <row r="80" spans="1:14" ht="13">
      <c r="A80" s="553">
        <f t="shared" si="14"/>
        <v>34</v>
      </c>
      <c r="B80" s="939" t="s">
        <v>2559</v>
      </c>
      <c r="C80" s="497">
        <v>131830600.97</v>
      </c>
      <c r="D80" s="497">
        <v>211691703.81</v>
      </c>
      <c r="E80" s="980">
        <v>1020568395.95</v>
      </c>
      <c r="F80" s="980">
        <v>6186991741</v>
      </c>
      <c r="G80" s="980">
        <v>2354292432.7600002</v>
      </c>
      <c r="H80" s="980">
        <v>1593131606.99</v>
      </c>
      <c r="I80" s="980">
        <v>1719921075.3400002</v>
      </c>
      <c r="J80" s="980">
        <v>271117743.19</v>
      </c>
      <c r="K80" s="980">
        <v>399712188.76999998</v>
      </c>
      <c r="L80" s="980">
        <v>199697499.72</v>
      </c>
      <c r="M80" s="230">
        <f t="shared" si="13"/>
        <v>14088954988.5</v>
      </c>
      <c r="N80" s="14"/>
    </row>
    <row r="81" spans="1:14" ht="13">
      <c r="A81" s="553">
        <f t="shared" si="14"/>
        <v>35</v>
      </c>
      <c r="B81" s="705" t="s">
        <v>2560</v>
      </c>
      <c r="C81" s="497">
        <v>131826592.75</v>
      </c>
      <c r="D81" s="497">
        <v>211731152.69</v>
      </c>
      <c r="E81" s="980">
        <v>1020929154.63</v>
      </c>
      <c r="F81" s="980">
        <v>6196634799.6300001</v>
      </c>
      <c r="G81" s="980">
        <v>2355787786.4200001</v>
      </c>
      <c r="H81" s="980">
        <v>1605970460.4300001</v>
      </c>
      <c r="I81" s="980">
        <v>1721531134.6300001</v>
      </c>
      <c r="J81" s="980">
        <v>295920222.63</v>
      </c>
      <c r="K81" s="980">
        <v>373794611.61000001</v>
      </c>
      <c r="L81" s="980">
        <v>199731417.47</v>
      </c>
      <c r="M81" s="230">
        <f t="shared" si="13"/>
        <v>14113857332.889999</v>
      </c>
      <c r="N81" s="14"/>
    </row>
    <row r="82" spans="1:14" ht="13">
      <c r="A82" s="553">
        <f t="shared" si="14"/>
        <v>36</v>
      </c>
      <c r="B82" s="939" t="s">
        <v>2561</v>
      </c>
      <c r="C82" s="497">
        <v>131826592.75</v>
      </c>
      <c r="D82" s="497">
        <v>211731258.67000002</v>
      </c>
      <c r="E82" s="980">
        <v>1048916287.1</v>
      </c>
      <c r="F82" s="980">
        <v>6246924011.0499992</v>
      </c>
      <c r="G82" s="980">
        <v>2358016774.4900002</v>
      </c>
      <c r="H82" s="980">
        <v>1613285126.0599999</v>
      </c>
      <c r="I82" s="980">
        <v>1720191260.1000001</v>
      </c>
      <c r="J82" s="980">
        <v>295927379.08999997</v>
      </c>
      <c r="K82" s="980">
        <v>375073100.52999997</v>
      </c>
      <c r="L82" s="980">
        <v>199734907.29000002</v>
      </c>
      <c r="M82" s="230">
        <f t="shared" si="13"/>
        <v>14201626697.130001</v>
      </c>
      <c r="N82" s="14"/>
    </row>
    <row r="83" spans="1:14" ht="13">
      <c r="A83" s="553">
        <f t="shared" si="14"/>
        <v>37</v>
      </c>
      <c r="B83" s="705" t="s">
        <v>2562</v>
      </c>
      <c r="C83" s="497">
        <v>131843180.7</v>
      </c>
      <c r="D83" s="497">
        <v>211786151.28999999</v>
      </c>
      <c r="E83" s="980">
        <v>1052576596.41</v>
      </c>
      <c r="F83" s="980">
        <v>6258978897.6899996</v>
      </c>
      <c r="G83" s="980">
        <v>2372570193.1900001</v>
      </c>
      <c r="H83" s="980">
        <v>1622089384.1800001</v>
      </c>
      <c r="I83" s="980">
        <v>1730638396.1400001</v>
      </c>
      <c r="J83" s="980">
        <v>296012791.25</v>
      </c>
      <c r="K83" s="980">
        <v>375826521.51999998</v>
      </c>
      <c r="L83" s="980">
        <v>199741185.97</v>
      </c>
      <c r="M83" s="230">
        <f t="shared" si="13"/>
        <v>14252063298.34</v>
      </c>
      <c r="N83" s="14"/>
    </row>
    <row r="84" spans="1:14" ht="13">
      <c r="A84" s="553">
        <f t="shared" si="14"/>
        <v>38</v>
      </c>
      <c r="B84" s="939" t="s">
        <v>2563</v>
      </c>
      <c r="C84" s="497">
        <v>131842746.01000001</v>
      </c>
      <c r="D84" s="497">
        <v>211788262.16</v>
      </c>
      <c r="E84" s="980">
        <v>1053778006.38</v>
      </c>
      <c r="F84" s="980">
        <v>6274634032.4499998</v>
      </c>
      <c r="G84" s="980">
        <v>2374170288</v>
      </c>
      <c r="H84" s="980">
        <v>1633985339</v>
      </c>
      <c r="I84" s="980">
        <v>1759363210.22</v>
      </c>
      <c r="J84" s="980">
        <v>296251233.07999998</v>
      </c>
      <c r="K84" s="980">
        <v>376202281.88</v>
      </c>
      <c r="L84" s="980">
        <v>200474304.06</v>
      </c>
      <c r="M84" s="230">
        <f t="shared" si="13"/>
        <v>14312489703.239998</v>
      </c>
      <c r="N84" s="14"/>
    </row>
    <row r="85" spans="1:14" ht="13">
      <c r="A85" s="553">
        <f t="shared" si="14"/>
        <v>39</v>
      </c>
      <c r="B85" s="705" t="s">
        <v>2564</v>
      </c>
      <c r="C85" s="497">
        <v>133211135.81999999</v>
      </c>
      <c r="D85" s="497">
        <v>211781754.87</v>
      </c>
      <c r="E85" s="980">
        <v>1053569859.34</v>
      </c>
      <c r="F85" s="980">
        <v>6291273293.9399986</v>
      </c>
      <c r="G85" s="980">
        <v>2375874676.0900002</v>
      </c>
      <c r="H85" s="980">
        <v>1646618934.55</v>
      </c>
      <c r="I85" s="980">
        <v>1762333637.75</v>
      </c>
      <c r="J85" s="980">
        <v>296276113.43000001</v>
      </c>
      <c r="K85" s="980">
        <v>376256816.38999999</v>
      </c>
      <c r="L85" s="980">
        <v>201382464.32000002</v>
      </c>
      <c r="M85" s="361">
        <f t="shared" si="13"/>
        <v>14348578686.499996</v>
      </c>
      <c r="N85" s="14"/>
    </row>
    <row r="86" spans="1:14" ht="13">
      <c r="A86" s="553">
        <f t="shared" si="14"/>
        <v>40</v>
      </c>
      <c r="B86" s="939" t="s">
        <v>2553</v>
      </c>
      <c r="C86" s="497">
        <v>133220266.06</v>
      </c>
      <c r="D86" s="497">
        <v>211856223.18000001</v>
      </c>
      <c r="E86" s="481">
        <f>'7-PlantStudy'!C10</f>
        <v>1143959578</v>
      </c>
      <c r="F86" s="481">
        <f>'7-PlantStudy'!C11</f>
        <v>6517444414</v>
      </c>
      <c r="G86" s="481">
        <f>'7-PlantStudy'!C20</f>
        <v>2380316641</v>
      </c>
      <c r="H86" s="481">
        <f>'7-PlantStudy'!C21</f>
        <v>1666864455</v>
      </c>
      <c r="I86" s="481">
        <f>'7-PlantStudy'!C22</f>
        <v>1763812033</v>
      </c>
      <c r="J86" s="481">
        <f>'7-PlantStudy'!C23</f>
        <v>296662316</v>
      </c>
      <c r="K86" s="481">
        <f>'7-PlantStudy'!C24</f>
        <v>376202208</v>
      </c>
      <c r="L86" s="481">
        <f>'7-PlantStudy'!C25</f>
        <v>201604232</v>
      </c>
      <c r="M86" s="230">
        <f t="shared" si="13"/>
        <v>14691942366.24</v>
      </c>
      <c r="N86" s="14"/>
    </row>
    <row r="88" spans="1:14" ht="13">
      <c r="B88" s="44" t="s">
        <v>2351</v>
      </c>
      <c r="C88" s="14"/>
      <c r="D88" s="14"/>
      <c r="E88" s="14"/>
    </row>
    <row r="89" spans="1:14">
      <c r="B89" s="14"/>
      <c r="C89" s="14"/>
      <c r="D89" s="14"/>
    </row>
    <row r="90" spans="1:14" ht="13">
      <c r="A90" s="386"/>
      <c r="B90" s="352" t="s">
        <v>358</v>
      </c>
      <c r="C90" s="352" t="s">
        <v>342</v>
      </c>
      <c r="D90" s="352" t="s">
        <v>343</v>
      </c>
      <c r="E90" s="84" t="s">
        <v>344</v>
      </c>
      <c r="F90" s="84" t="s">
        <v>345</v>
      </c>
      <c r="G90" s="84" t="s">
        <v>346</v>
      </c>
      <c r="H90" s="84" t="s">
        <v>347</v>
      </c>
      <c r="I90" s="84" t="s">
        <v>534</v>
      </c>
      <c r="J90" s="84" t="s">
        <v>951</v>
      </c>
      <c r="K90" s="84" t="s">
        <v>963</v>
      </c>
      <c r="L90" s="84" t="s">
        <v>966</v>
      </c>
      <c r="M90" s="84" t="s">
        <v>984</v>
      </c>
    </row>
    <row r="91" spans="1:14">
      <c r="A91" s="228"/>
      <c r="B91" s="444"/>
      <c r="C91" s="236"/>
      <c r="D91" s="236"/>
      <c r="E91" s="228"/>
      <c r="F91" s="228"/>
      <c r="G91" s="228"/>
      <c r="H91" s="228"/>
      <c r="I91" s="228"/>
      <c r="J91" s="228"/>
      <c r="K91" s="228"/>
      <c r="M91" s="244" t="s">
        <v>1216</v>
      </c>
    </row>
    <row r="92" spans="1:14" ht="13">
      <c r="A92" s="51"/>
      <c r="B92" s="123" t="s">
        <v>1750</v>
      </c>
      <c r="C92" s="352">
        <v>350.1</v>
      </c>
      <c r="D92" s="352">
        <v>350.2</v>
      </c>
      <c r="E92" s="84">
        <v>352</v>
      </c>
      <c r="F92" s="84">
        <v>353</v>
      </c>
      <c r="G92" s="84">
        <v>354</v>
      </c>
      <c r="H92" s="84">
        <v>355</v>
      </c>
      <c r="I92" s="84">
        <v>356</v>
      </c>
      <c r="J92" s="84">
        <v>357</v>
      </c>
      <c r="K92" s="84">
        <v>358</v>
      </c>
      <c r="L92" s="84">
        <v>359</v>
      </c>
      <c r="M92" s="3" t="s">
        <v>196</v>
      </c>
    </row>
    <row r="93" spans="1:14" ht="13">
      <c r="A93" s="553">
        <f>A86+1</f>
        <v>41</v>
      </c>
      <c r="B93" s="705" t="s">
        <v>2554</v>
      </c>
      <c r="C93" s="481">
        <f t="shared" ref="C93:L93" si="15">C75-C74</f>
        <v>3401.8999999910593</v>
      </c>
      <c r="D93" s="481">
        <f t="shared" si="15"/>
        <v>-21614.699999988079</v>
      </c>
      <c r="E93" s="481">
        <f t="shared" si="15"/>
        <v>4775584.5</v>
      </c>
      <c r="F93" s="481">
        <f t="shared" si="15"/>
        <v>6897387.0100002289</v>
      </c>
      <c r="G93" s="481">
        <f t="shared" si="15"/>
        <v>-11486317</v>
      </c>
      <c r="H93" s="481">
        <f t="shared" si="15"/>
        <v>16593991</v>
      </c>
      <c r="I93" s="481">
        <f t="shared" si="15"/>
        <v>8934923</v>
      </c>
      <c r="J93" s="481">
        <f t="shared" si="15"/>
        <v>5189.3000000119209</v>
      </c>
      <c r="K93" s="481">
        <f t="shared" si="15"/>
        <v>-60511</v>
      </c>
      <c r="L93" s="481">
        <f t="shared" si="15"/>
        <v>13548</v>
      </c>
      <c r="M93" s="230">
        <f t="shared" ref="M93:M105" si="16">SUM(C93:L93)</f>
        <v>25655582.010000244</v>
      </c>
      <c r="N93" s="14"/>
    </row>
    <row r="94" spans="1:14" ht="13">
      <c r="A94" s="553">
        <f t="shared" ref="A94:A105" si="17">A93+1</f>
        <v>42</v>
      </c>
      <c r="B94" s="704" t="s">
        <v>2555</v>
      </c>
      <c r="C94" s="481">
        <f t="shared" ref="C94:L94" si="18">C76-C75</f>
        <v>22127.600000008941</v>
      </c>
      <c r="D94" s="481">
        <f t="shared" si="18"/>
        <v>10469</v>
      </c>
      <c r="E94" s="481">
        <f t="shared" si="18"/>
        <v>8120915.8999999762</v>
      </c>
      <c r="F94" s="481">
        <f t="shared" si="18"/>
        <v>215158.27000045776</v>
      </c>
      <c r="G94" s="481">
        <f t="shared" si="18"/>
        <v>421947</v>
      </c>
      <c r="H94" s="481">
        <f t="shared" si="18"/>
        <v>20219688</v>
      </c>
      <c r="I94" s="481">
        <f t="shared" si="18"/>
        <v>457604</v>
      </c>
      <c r="J94" s="481">
        <f t="shared" si="18"/>
        <v>5205.5</v>
      </c>
      <c r="K94" s="481">
        <f t="shared" si="18"/>
        <v>108439</v>
      </c>
      <c r="L94" s="481">
        <f t="shared" si="18"/>
        <v>194392.5</v>
      </c>
      <c r="M94" s="230">
        <f t="shared" si="16"/>
        <v>29775946.770000443</v>
      </c>
      <c r="N94" s="14"/>
    </row>
    <row r="95" spans="1:14" ht="13">
      <c r="A95" s="553">
        <f t="shared" si="17"/>
        <v>43</v>
      </c>
      <c r="B95" s="704" t="s">
        <v>2556</v>
      </c>
      <c r="C95" s="481">
        <f t="shared" ref="C95:L95" si="19">C77-C76</f>
        <v>44653</v>
      </c>
      <c r="D95" s="481">
        <f t="shared" si="19"/>
        <v>18401.999999970198</v>
      </c>
      <c r="E95" s="481">
        <f t="shared" si="19"/>
        <v>13224389.600000024</v>
      </c>
      <c r="F95" s="481">
        <f t="shared" si="19"/>
        <v>23265440.530000687</v>
      </c>
      <c r="G95" s="481">
        <f t="shared" si="19"/>
        <v>168830</v>
      </c>
      <c r="H95" s="481">
        <f t="shared" si="19"/>
        <v>21917723</v>
      </c>
      <c r="I95" s="481">
        <f t="shared" si="19"/>
        <v>2764495</v>
      </c>
      <c r="J95" s="481">
        <f t="shared" si="19"/>
        <v>1062267.0999999642</v>
      </c>
      <c r="K95" s="481">
        <f t="shared" si="19"/>
        <v>2036782.5999999642</v>
      </c>
      <c r="L95" s="481">
        <f t="shared" si="19"/>
        <v>2631422.7000000179</v>
      </c>
      <c r="M95" s="230">
        <f t="shared" si="16"/>
        <v>67134405.530000627</v>
      </c>
      <c r="N95" s="14"/>
    </row>
    <row r="96" spans="1:14" ht="13">
      <c r="A96" s="553">
        <f t="shared" si="17"/>
        <v>44</v>
      </c>
      <c r="B96" s="705" t="s">
        <v>2557</v>
      </c>
      <c r="C96" s="481">
        <f t="shared" ref="C96:L96" si="20">C78-C77</f>
        <v>69502.29999999702</v>
      </c>
      <c r="D96" s="481">
        <f t="shared" si="20"/>
        <v>-19287.59999999404</v>
      </c>
      <c r="E96" s="481">
        <f t="shared" si="20"/>
        <v>451668</v>
      </c>
      <c r="F96" s="481">
        <f t="shared" si="20"/>
        <v>25406844.679999352</v>
      </c>
      <c r="G96" s="481">
        <f t="shared" si="20"/>
        <v>4141795</v>
      </c>
      <c r="H96" s="481">
        <f t="shared" si="20"/>
        <v>11181780</v>
      </c>
      <c r="I96" s="481">
        <f t="shared" si="20"/>
        <v>18868644</v>
      </c>
      <c r="J96" s="481">
        <f t="shared" si="20"/>
        <v>33887</v>
      </c>
      <c r="K96" s="481">
        <f t="shared" si="20"/>
        <v>34907.600000023842</v>
      </c>
      <c r="L96" s="481">
        <f t="shared" si="20"/>
        <v>102116.5</v>
      </c>
      <c r="M96" s="230">
        <f t="shared" si="16"/>
        <v>60271857.479999378</v>
      </c>
      <c r="N96" s="14"/>
    </row>
    <row r="97" spans="1:14" ht="13">
      <c r="A97" s="553">
        <f t="shared" si="17"/>
        <v>45</v>
      </c>
      <c r="B97" s="704" t="s">
        <v>2558</v>
      </c>
      <c r="C97" s="481">
        <f t="shared" ref="C97:I104" si="21">C79-C78</f>
        <v>4304.6700000017881</v>
      </c>
      <c r="D97" s="481">
        <f t="shared" si="21"/>
        <v>17284.579999983311</v>
      </c>
      <c r="E97" s="481">
        <f t="shared" si="21"/>
        <v>9069788.6499999762</v>
      </c>
      <c r="F97" s="481">
        <f t="shared" si="21"/>
        <v>50438445.299999237</v>
      </c>
      <c r="G97" s="481">
        <f t="shared" si="21"/>
        <v>1042127.0700001717</v>
      </c>
      <c r="H97" s="481">
        <f t="shared" si="21"/>
        <v>11601666.200000048</v>
      </c>
      <c r="I97" s="481">
        <f t="shared" si="21"/>
        <v>25921177.029999971</v>
      </c>
      <c r="J97" s="481">
        <f t="shared" ref="J97" si="22">J79-J78</f>
        <v>455011.75999999046</v>
      </c>
      <c r="K97" s="481">
        <f t="shared" ref="K97:L104" si="23">K79-K78</f>
        <v>454218.39999997616</v>
      </c>
      <c r="L97" s="481">
        <f t="shared" si="23"/>
        <v>1266567.4399999976</v>
      </c>
      <c r="M97" s="230">
        <f t="shared" si="16"/>
        <v>100270591.09999935</v>
      </c>
      <c r="N97" s="14"/>
    </row>
    <row r="98" spans="1:14" ht="13">
      <c r="A98" s="553">
        <f t="shared" si="17"/>
        <v>46</v>
      </c>
      <c r="B98" s="704" t="s">
        <v>2559</v>
      </c>
      <c r="C98" s="481">
        <f t="shared" si="21"/>
        <v>73830.29999999702</v>
      </c>
      <c r="D98" s="481">
        <f t="shared" si="21"/>
        <v>69136.430000007153</v>
      </c>
      <c r="E98" s="481">
        <f t="shared" si="21"/>
        <v>1174976.6800000668</v>
      </c>
      <c r="F98" s="481">
        <f t="shared" si="21"/>
        <v>8631297.9400005341</v>
      </c>
      <c r="G98" s="481">
        <f t="shared" si="21"/>
        <v>4225049.3099999428</v>
      </c>
      <c r="H98" s="481">
        <f t="shared" si="21"/>
        <v>11420878.339999914</v>
      </c>
      <c r="I98" s="481">
        <f t="shared" si="21"/>
        <v>9880800.8900001049</v>
      </c>
      <c r="J98" s="481">
        <f t="shared" ref="J98:J104" si="24">J80-J79</f>
        <v>-1930856.7699999809</v>
      </c>
      <c r="K98" s="481">
        <f t="shared" si="23"/>
        <v>-2201193.1299999952</v>
      </c>
      <c r="L98" s="481">
        <f t="shared" si="23"/>
        <v>-7605.0700000226498</v>
      </c>
      <c r="M98" s="230">
        <f t="shared" si="16"/>
        <v>31336314.920000568</v>
      </c>
      <c r="N98" s="14"/>
    </row>
    <row r="99" spans="1:14" ht="13">
      <c r="A99" s="553">
        <f t="shared" si="17"/>
        <v>47</v>
      </c>
      <c r="B99" s="705" t="s">
        <v>2560</v>
      </c>
      <c r="C99" s="481">
        <f t="shared" si="21"/>
        <v>-4008.2199999988079</v>
      </c>
      <c r="D99" s="481">
        <f t="shared" si="21"/>
        <v>39448.879999995232</v>
      </c>
      <c r="E99" s="481">
        <f t="shared" si="21"/>
        <v>360758.67999994755</v>
      </c>
      <c r="F99" s="481">
        <f t="shared" si="21"/>
        <v>9643058.6300001144</v>
      </c>
      <c r="G99" s="481">
        <f t="shared" si="21"/>
        <v>1495353.6599998474</v>
      </c>
      <c r="H99" s="481">
        <f t="shared" si="21"/>
        <v>12838853.440000057</v>
      </c>
      <c r="I99" s="481">
        <f t="shared" si="21"/>
        <v>1610059.2899999619</v>
      </c>
      <c r="J99" s="481">
        <f t="shared" si="24"/>
        <v>24802479.439999998</v>
      </c>
      <c r="K99" s="481">
        <f t="shared" si="23"/>
        <v>-25917577.159999967</v>
      </c>
      <c r="L99" s="481">
        <f t="shared" si="23"/>
        <v>33917.75</v>
      </c>
      <c r="M99" s="230">
        <f t="shared" si="16"/>
        <v>24902344.389999956</v>
      </c>
      <c r="N99" s="14"/>
    </row>
    <row r="100" spans="1:14" ht="13">
      <c r="A100" s="553">
        <f t="shared" si="17"/>
        <v>48</v>
      </c>
      <c r="B100" s="704" t="s">
        <v>2561</v>
      </c>
      <c r="C100" s="481">
        <f t="shared" si="21"/>
        <v>0</v>
      </c>
      <c r="D100" s="481">
        <f t="shared" si="21"/>
        <v>105.98000001907349</v>
      </c>
      <c r="E100" s="481">
        <f t="shared" si="21"/>
        <v>27987132.470000029</v>
      </c>
      <c r="F100" s="481">
        <f t="shared" si="21"/>
        <v>50289211.419999123</v>
      </c>
      <c r="G100" s="481">
        <f t="shared" si="21"/>
        <v>2228988.0700001717</v>
      </c>
      <c r="H100" s="481">
        <f t="shared" si="21"/>
        <v>7314665.629999876</v>
      </c>
      <c r="I100" s="481">
        <f t="shared" si="21"/>
        <v>-1339874.5299999714</v>
      </c>
      <c r="J100" s="481">
        <f t="shared" si="24"/>
        <v>7156.4599999785423</v>
      </c>
      <c r="K100" s="481">
        <f t="shared" si="23"/>
        <v>1278488.9199999571</v>
      </c>
      <c r="L100" s="481">
        <f t="shared" si="23"/>
        <v>3489.8200000226498</v>
      </c>
      <c r="M100" s="230">
        <f t="shared" si="16"/>
        <v>87769364.239999205</v>
      </c>
      <c r="N100" s="14"/>
    </row>
    <row r="101" spans="1:14" ht="13">
      <c r="A101" s="553">
        <f t="shared" si="17"/>
        <v>49</v>
      </c>
      <c r="B101" s="704" t="s">
        <v>2562</v>
      </c>
      <c r="C101" s="481">
        <f t="shared" si="21"/>
        <v>16587.95000000298</v>
      </c>
      <c r="D101" s="481">
        <f t="shared" si="21"/>
        <v>54892.619999974966</v>
      </c>
      <c r="E101" s="481">
        <f t="shared" si="21"/>
        <v>3660309.3099999428</v>
      </c>
      <c r="F101" s="481">
        <f t="shared" si="21"/>
        <v>12054886.640000343</v>
      </c>
      <c r="G101" s="481">
        <f t="shared" si="21"/>
        <v>14553418.699999809</v>
      </c>
      <c r="H101" s="481">
        <f t="shared" si="21"/>
        <v>8804258.120000124</v>
      </c>
      <c r="I101" s="481">
        <f t="shared" si="21"/>
        <v>10447136.039999962</v>
      </c>
      <c r="J101" s="481">
        <f t="shared" si="24"/>
        <v>85412.160000026226</v>
      </c>
      <c r="K101" s="481">
        <f t="shared" si="23"/>
        <v>753420.99000000954</v>
      </c>
      <c r="L101" s="481">
        <f t="shared" si="23"/>
        <v>6278.6799999773502</v>
      </c>
      <c r="M101" s="230">
        <f t="shared" si="16"/>
        <v>50436601.210000172</v>
      </c>
      <c r="N101" s="14"/>
    </row>
    <row r="102" spans="1:14" ht="13">
      <c r="A102" s="553">
        <f t="shared" si="17"/>
        <v>50</v>
      </c>
      <c r="B102" s="705" t="s">
        <v>2563</v>
      </c>
      <c r="C102" s="481">
        <f t="shared" si="21"/>
        <v>-434.68999999761581</v>
      </c>
      <c r="D102" s="481">
        <f t="shared" si="21"/>
        <v>2110.8700000047684</v>
      </c>
      <c r="E102" s="481">
        <f t="shared" si="21"/>
        <v>1201409.9700000286</v>
      </c>
      <c r="F102" s="481">
        <f t="shared" si="21"/>
        <v>15655134.760000229</v>
      </c>
      <c r="G102" s="481">
        <f t="shared" si="21"/>
        <v>1600094.8099999428</v>
      </c>
      <c r="H102" s="481">
        <f t="shared" si="21"/>
        <v>11895954.819999933</v>
      </c>
      <c r="I102" s="481">
        <f t="shared" si="21"/>
        <v>28724814.079999924</v>
      </c>
      <c r="J102" s="481">
        <f t="shared" si="24"/>
        <v>238441.82999998331</v>
      </c>
      <c r="K102" s="481">
        <f t="shared" si="23"/>
        <v>375760.36000001431</v>
      </c>
      <c r="L102" s="481">
        <f t="shared" si="23"/>
        <v>733118.09000000358</v>
      </c>
      <c r="M102" s="230">
        <f t="shared" si="16"/>
        <v>60426404.900000066</v>
      </c>
      <c r="N102" s="14"/>
    </row>
    <row r="103" spans="1:14" ht="13">
      <c r="A103" s="553">
        <f t="shared" si="17"/>
        <v>51</v>
      </c>
      <c r="B103" s="705" t="s">
        <v>2564</v>
      </c>
      <c r="C103" s="481">
        <f t="shared" si="21"/>
        <v>1368389.8099999875</v>
      </c>
      <c r="D103" s="481">
        <f t="shared" si="21"/>
        <v>-6507.2899999916553</v>
      </c>
      <c r="E103" s="481">
        <f t="shared" si="21"/>
        <v>-208147.03999996185</v>
      </c>
      <c r="F103" s="481">
        <f t="shared" si="21"/>
        <v>16639261.489998817</v>
      </c>
      <c r="G103" s="481">
        <f t="shared" si="21"/>
        <v>1704388.0900001526</v>
      </c>
      <c r="H103" s="481">
        <f t="shared" si="21"/>
        <v>12633595.549999952</v>
      </c>
      <c r="I103" s="481">
        <f t="shared" si="21"/>
        <v>2970427.5299999714</v>
      </c>
      <c r="J103" s="481">
        <f t="shared" si="24"/>
        <v>24880.350000023842</v>
      </c>
      <c r="K103" s="481">
        <f t="shared" si="23"/>
        <v>54534.509999990463</v>
      </c>
      <c r="L103" s="481">
        <f t="shared" si="23"/>
        <v>908160.26000002027</v>
      </c>
      <c r="M103" s="230">
        <f t="shared" si="16"/>
        <v>36088983.259998962</v>
      </c>
      <c r="N103" s="14"/>
    </row>
    <row r="104" spans="1:14" ht="13">
      <c r="A104" s="553">
        <f t="shared" si="17"/>
        <v>52</v>
      </c>
      <c r="B104" s="704" t="s">
        <v>2553</v>
      </c>
      <c r="C104" s="481">
        <f t="shared" si="21"/>
        <v>9130.2400000095367</v>
      </c>
      <c r="D104" s="481">
        <f t="shared" si="21"/>
        <v>74468.310000002384</v>
      </c>
      <c r="E104" s="481">
        <f t="shared" si="21"/>
        <v>90389718.659999967</v>
      </c>
      <c r="F104" s="481">
        <f t="shared" si="21"/>
        <v>226171120.06000137</v>
      </c>
      <c r="G104" s="481">
        <f t="shared" si="21"/>
        <v>4441964.9099998474</v>
      </c>
      <c r="H104" s="481">
        <f t="shared" si="21"/>
        <v>20245520.450000048</v>
      </c>
      <c r="I104" s="481">
        <f t="shared" si="21"/>
        <v>1478395.25</v>
      </c>
      <c r="J104" s="481">
        <f t="shared" si="24"/>
        <v>386202.56999999285</v>
      </c>
      <c r="K104" s="481">
        <f t="shared" si="23"/>
        <v>-54608.389999985695</v>
      </c>
      <c r="L104" s="481">
        <f t="shared" si="23"/>
        <v>221767.67999997735</v>
      </c>
      <c r="M104" s="361">
        <f t="shared" si="16"/>
        <v>343363679.7400012</v>
      </c>
      <c r="N104" s="14"/>
    </row>
    <row r="105" spans="1:14" ht="13">
      <c r="A105" s="553">
        <f t="shared" si="17"/>
        <v>53</v>
      </c>
      <c r="B105" s="1067" t="s">
        <v>4</v>
      </c>
      <c r="C105" s="230">
        <f t="shared" ref="C105:L105" si="25">SUM(C93:C104)</f>
        <v>1607484.8599999994</v>
      </c>
      <c r="D105" s="230">
        <f t="shared" si="25"/>
        <v>238909.07999998331</v>
      </c>
      <c r="E105" s="230">
        <f t="shared" si="25"/>
        <v>160208505.38</v>
      </c>
      <c r="F105" s="230">
        <f t="shared" si="25"/>
        <v>445307246.7300005</v>
      </c>
      <c r="G105" s="230">
        <f t="shared" si="25"/>
        <v>24537639.619999886</v>
      </c>
      <c r="H105" s="230">
        <f t="shared" si="25"/>
        <v>166668574.54999995</v>
      </c>
      <c r="I105" s="230">
        <f t="shared" si="25"/>
        <v>110718601.57999992</v>
      </c>
      <c r="J105" s="230">
        <f t="shared" si="25"/>
        <v>25175276.699999988</v>
      </c>
      <c r="K105" s="230">
        <f t="shared" si="25"/>
        <v>-23137337.300000012</v>
      </c>
      <c r="L105" s="230">
        <f t="shared" si="25"/>
        <v>6107174.349999994</v>
      </c>
      <c r="M105" s="230">
        <f t="shared" si="16"/>
        <v>917432075.55000031</v>
      </c>
      <c r="N105" s="14"/>
    </row>
    <row r="106" spans="1:14" ht="13">
      <c r="A106" s="553"/>
      <c r="B106" s="1067"/>
      <c r="C106" s="232"/>
      <c r="D106" s="232"/>
      <c r="E106" s="232"/>
      <c r="F106" s="232"/>
      <c r="G106" s="232"/>
      <c r="H106" s="232"/>
      <c r="I106" s="232"/>
      <c r="J106" s="232"/>
      <c r="K106" s="232"/>
      <c r="L106" s="232"/>
      <c r="M106" s="230"/>
    </row>
    <row r="107" spans="1:14" ht="13">
      <c r="B107" s="44" t="s">
        <v>2352</v>
      </c>
      <c r="C107" s="14"/>
      <c r="D107" s="14"/>
      <c r="E107" s="14"/>
    </row>
    <row r="108" spans="1:14">
      <c r="B108" s="14"/>
      <c r="C108" s="14"/>
      <c r="D108" s="14"/>
    </row>
    <row r="109" spans="1:14" ht="13">
      <c r="A109" s="386"/>
      <c r="B109" s="352" t="s">
        <v>358</v>
      </c>
      <c r="C109" s="352" t="s">
        <v>342</v>
      </c>
      <c r="D109" s="352" t="s">
        <v>343</v>
      </c>
      <c r="E109" s="84" t="s">
        <v>344</v>
      </c>
      <c r="F109" s="84" t="s">
        <v>345</v>
      </c>
      <c r="G109" s="84" t="s">
        <v>346</v>
      </c>
      <c r="H109" s="84" t="s">
        <v>347</v>
      </c>
      <c r="I109" s="84" t="s">
        <v>534</v>
      </c>
      <c r="J109" s="84" t="s">
        <v>951</v>
      </c>
      <c r="K109" s="84" t="s">
        <v>963</v>
      </c>
      <c r="L109" s="84" t="s">
        <v>966</v>
      </c>
      <c r="M109" s="84" t="s">
        <v>984</v>
      </c>
    </row>
    <row r="110" spans="1:14">
      <c r="A110" s="228"/>
      <c r="B110" s="444"/>
      <c r="C110" s="236"/>
      <c r="D110" s="236"/>
      <c r="E110" s="228"/>
      <c r="F110" s="228"/>
      <c r="G110" s="228"/>
      <c r="H110" s="228"/>
      <c r="I110" s="228"/>
      <c r="J110" s="228"/>
      <c r="K110" s="228"/>
      <c r="M110" s="244" t="s">
        <v>1216</v>
      </c>
    </row>
    <row r="111" spans="1:14" ht="13">
      <c r="A111" s="51"/>
      <c r="B111" s="123" t="s">
        <v>1750</v>
      </c>
      <c r="C111" s="352">
        <v>350.1</v>
      </c>
      <c r="D111" s="352">
        <v>350.2</v>
      </c>
      <c r="E111" s="84">
        <v>352</v>
      </c>
      <c r="F111" s="84">
        <v>353</v>
      </c>
      <c r="G111" s="84">
        <v>354</v>
      </c>
      <c r="H111" s="84">
        <v>355</v>
      </c>
      <c r="I111" s="84">
        <v>356</v>
      </c>
      <c r="J111" s="84">
        <v>357</v>
      </c>
      <c r="K111" s="84">
        <v>358</v>
      </c>
      <c r="L111" s="84">
        <v>359</v>
      </c>
      <c r="M111" s="3" t="s">
        <v>196</v>
      </c>
    </row>
    <row r="112" spans="1:14" ht="13">
      <c r="A112" s="553">
        <f>A105+1</f>
        <v>54</v>
      </c>
      <c r="B112" s="939" t="s">
        <v>2479</v>
      </c>
      <c r="C112" s="1088">
        <v>20337104.427499995</v>
      </c>
      <c r="D112" s="1088">
        <v>95073836.459999993</v>
      </c>
      <c r="E112" s="1088">
        <v>288607910.17285639</v>
      </c>
      <c r="F112" s="1088">
        <v>1183323683.5827432</v>
      </c>
      <c r="G112" s="1088">
        <v>1763766194.6718264</v>
      </c>
      <c r="H112" s="1088">
        <v>154686218.08999997</v>
      </c>
      <c r="I112" s="1088">
        <v>818206860.35719705</v>
      </c>
      <c r="J112" s="1088">
        <v>190597927.60000005</v>
      </c>
      <c r="K112" s="1088">
        <v>81893158.089999974</v>
      </c>
      <c r="L112" s="1088">
        <v>146889792.7205919</v>
      </c>
      <c r="M112" s="1047">
        <f t="shared" ref="M112:M124" si="26">SUM(C112:L112)</f>
        <v>4743382686.1727152</v>
      </c>
      <c r="N112" s="14"/>
    </row>
    <row r="113" spans="1:14" ht="13">
      <c r="A113" s="553">
        <f t="shared" ref="A113:A124" si="27">A112+1</f>
        <v>55</v>
      </c>
      <c r="B113" s="705" t="s">
        <v>2554</v>
      </c>
      <c r="C113" s="1088">
        <v>20340874.507499993</v>
      </c>
      <c r="D113" s="1088">
        <v>95074250.879999995</v>
      </c>
      <c r="E113" s="1088">
        <v>288643331.09285641</v>
      </c>
      <c r="F113" s="1088">
        <v>1183436966.5227432</v>
      </c>
      <c r="G113" s="1088">
        <v>1754651594.3118269</v>
      </c>
      <c r="H113" s="1088">
        <v>159698964.18999997</v>
      </c>
      <c r="I113" s="1088">
        <v>822348707.69719708</v>
      </c>
      <c r="J113" s="1088">
        <v>190594193.64000005</v>
      </c>
      <c r="K113" s="1088">
        <v>81891290.009999976</v>
      </c>
      <c r="L113" s="1088">
        <v>146890691.62059191</v>
      </c>
      <c r="M113" s="1047">
        <f t="shared" si="26"/>
        <v>4743570864.4727163</v>
      </c>
      <c r="N113" s="14"/>
    </row>
    <row r="114" spans="1:14" ht="13">
      <c r="A114" s="553">
        <f t="shared" si="27"/>
        <v>56</v>
      </c>
      <c r="B114" s="704" t="s">
        <v>2555</v>
      </c>
      <c r="C114" s="1088">
        <v>20363002.107499994</v>
      </c>
      <c r="D114" s="1088">
        <v>95074473.879999995</v>
      </c>
      <c r="E114" s="1088">
        <v>288622054.4728564</v>
      </c>
      <c r="F114" s="1088">
        <v>1183436564.4127433</v>
      </c>
      <c r="G114" s="1088">
        <v>1754771605.0718265</v>
      </c>
      <c r="H114" s="1088">
        <v>159802627.84999996</v>
      </c>
      <c r="I114" s="1088">
        <v>822472439.41719711</v>
      </c>
      <c r="J114" s="1088">
        <v>190603250.80000004</v>
      </c>
      <c r="K114" s="1088">
        <v>81895821.23999998</v>
      </c>
      <c r="L114" s="1088">
        <v>147002020.71059191</v>
      </c>
      <c r="M114" s="1047">
        <f t="shared" si="26"/>
        <v>4744043859.9627151</v>
      </c>
      <c r="N114" s="14"/>
    </row>
    <row r="115" spans="1:14" ht="13">
      <c r="A115" s="553">
        <f t="shared" si="27"/>
        <v>57</v>
      </c>
      <c r="B115" s="704" t="s">
        <v>2556</v>
      </c>
      <c r="C115" s="1088">
        <v>20407655.107499994</v>
      </c>
      <c r="D115" s="1088">
        <v>95075665.00999999</v>
      </c>
      <c r="E115" s="1088">
        <v>288619776.81285638</v>
      </c>
      <c r="F115" s="1088">
        <v>1183465099.3227432</v>
      </c>
      <c r="G115" s="1088">
        <v>1751043805.7318263</v>
      </c>
      <c r="H115" s="1088">
        <v>159816773.64999998</v>
      </c>
      <c r="I115" s="1088">
        <v>824057749.50719702</v>
      </c>
      <c r="J115" s="1088">
        <v>190621945.42000005</v>
      </c>
      <c r="K115" s="1088">
        <v>81905174.029999986</v>
      </c>
      <c r="L115" s="1088">
        <v>149623337.27059191</v>
      </c>
      <c r="M115" s="1047">
        <f t="shared" si="26"/>
        <v>4744636981.8627148</v>
      </c>
      <c r="N115" s="14"/>
    </row>
    <row r="116" spans="1:14" ht="13">
      <c r="A116" s="553">
        <f t="shared" si="27"/>
        <v>58</v>
      </c>
      <c r="B116" s="705" t="s">
        <v>2557</v>
      </c>
      <c r="C116" s="1088">
        <v>20405211.937499993</v>
      </c>
      <c r="D116" s="1088">
        <v>95078108.179999992</v>
      </c>
      <c r="E116" s="1088">
        <v>288640581.49285638</v>
      </c>
      <c r="F116" s="1088">
        <v>1183589550.3127432</v>
      </c>
      <c r="G116" s="1088">
        <v>1751105209.2418268</v>
      </c>
      <c r="H116" s="1088">
        <v>159691536.63999999</v>
      </c>
      <c r="I116" s="1088">
        <v>824247416.85719705</v>
      </c>
      <c r="J116" s="1088">
        <v>190632835.27000004</v>
      </c>
      <c r="K116" s="1088">
        <v>81910622.149999991</v>
      </c>
      <c r="L116" s="1088">
        <v>149575429.45059192</v>
      </c>
      <c r="M116" s="1047">
        <f t="shared" si="26"/>
        <v>4744876501.5327158</v>
      </c>
      <c r="N116" s="14"/>
    </row>
    <row r="117" spans="1:14" ht="13">
      <c r="A117" s="553">
        <f t="shared" si="27"/>
        <v>59</v>
      </c>
      <c r="B117" s="704" t="s">
        <v>2558</v>
      </c>
      <c r="C117" s="1088">
        <v>20405330.637499992</v>
      </c>
      <c r="D117" s="1088">
        <v>95078108.179999992</v>
      </c>
      <c r="E117" s="1088">
        <v>288638777.55285639</v>
      </c>
      <c r="F117" s="1088">
        <v>1183594606.2727432</v>
      </c>
      <c r="G117" s="1088">
        <v>1751121500.4618263</v>
      </c>
      <c r="H117" s="1088">
        <v>159699634.19</v>
      </c>
      <c r="I117" s="1088">
        <v>824314066.4271971</v>
      </c>
      <c r="J117" s="1088">
        <v>190651958.86000004</v>
      </c>
      <c r="K117" s="1088">
        <v>81920189.50999999</v>
      </c>
      <c r="L117" s="1088">
        <v>149586933.89059192</v>
      </c>
      <c r="M117" s="1047">
        <f t="shared" si="26"/>
        <v>4745011105.9827147</v>
      </c>
      <c r="N117" s="14"/>
    </row>
    <row r="118" spans="1:14" ht="13">
      <c r="A118" s="553">
        <f t="shared" si="27"/>
        <v>60</v>
      </c>
      <c r="B118" s="704" t="s">
        <v>2559</v>
      </c>
      <c r="C118" s="1088">
        <v>20480535.46749999</v>
      </c>
      <c r="D118" s="1088">
        <v>95078114.50999999</v>
      </c>
      <c r="E118" s="1088">
        <v>288639253.66285634</v>
      </c>
      <c r="F118" s="1088">
        <v>1183600166.962743</v>
      </c>
      <c r="G118" s="1088">
        <v>1751139651.8918269</v>
      </c>
      <c r="H118" s="1088">
        <v>159695642.06999999</v>
      </c>
      <c r="I118" s="1088">
        <v>824357887.10719728</v>
      </c>
      <c r="J118" s="1088">
        <v>190659637.08000004</v>
      </c>
      <c r="K118" s="1088">
        <v>81924030.859999985</v>
      </c>
      <c r="L118" s="1088">
        <v>149584627.23059192</v>
      </c>
      <c r="M118" s="1047">
        <f t="shared" si="26"/>
        <v>4745159546.8427153</v>
      </c>
      <c r="N118" s="14"/>
    </row>
    <row r="119" spans="1:14" ht="13">
      <c r="A119" s="553">
        <f t="shared" si="27"/>
        <v>61</v>
      </c>
      <c r="B119" s="705" t="s">
        <v>2560</v>
      </c>
      <c r="C119" s="1088">
        <v>20476527.247499991</v>
      </c>
      <c r="D119" s="1088">
        <v>95082122.729999989</v>
      </c>
      <c r="E119" s="1088">
        <v>288103180.66285634</v>
      </c>
      <c r="F119" s="1088">
        <v>1184539127.7527432</v>
      </c>
      <c r="G119" s="1088">
        <v>1751244015.7018268</v>
      </c>
      <c r="H119" s="1088">
        <v>159735045.76999998</v>
      </c>
      <c r="I119" s="1088">
        <v>824458879.64719725</v>
      </c>
      <c r="J119" s="1088">
        <v>215040544.87000006</v>
      </c>
      <c r="K119" s="1088">
        <v>57147151.11999999</v>
      </c>
      <c r="L119" s="1088">
        <v>149612740.69059193</v>
      </c>
      <c r="M119" s="1047">
        <f t="shared" si="26"/>
        <v>4745439336.1927147</v>
      </c>
      <c r="N119" s="14"/>
    </row>
    <row r="120" spans="1:14" ht="13">
      <c r="A120" s="553">
        <f t="shared" si="27"/>
        <v>62</v>
      </c>
      <c r="B120" s="704" t="s">
        <v>2561</v>
      </c>
      <c r="C120" s="1088">
        <v>20476527.247499991</v>
      </c>
      <c r="D120" s="1088">
        <v>95082122.729999989</v>
      </c>
      <c r="E120" s="1088">
        <v>288105189.55285639</v>
      </c>
      <c r="F120" s="1088">
        <v>1184558926.4527433</v>
      </c>
      <c r="G120" s="1088">
        <v>1751260450.3918269</v>
      </c>
      <c r="H120" s="1088">
        <v>159737073.08999997</v>
      </c>
      <c r="I120" s="1088">
        <v>824543553.5871973</v>
      </c>
      <c r="J120" s="1088">
        <v>215047554.18000007</v>
      </c>
      <c r="K120" s="1088">
        <v>57149532.289999992</v>
      </c>
      <c r="L120" s="1088">
        <v>149615105.42059192</v>
      </c>
      <c r="M120" s="1047">
        <f t="shared" si="26"/>
        <v>4745576034.9427166</v>
      </c>
      <c r="N120" s="14"/>
    </row>
    <row r="121" spans="1:14" ht="13">
      <c r="A121" s="553">
        <f t="shared" si="27"/>
        <v>63</v>
      </c>
      <c r="B121" s="704" t="s">
        <v>2562</v>
      </c>
      <c r="C121" s="1088">
        <v>20492378.23749999</v>
      </c>
      <c r="D121" s="1088">
        <v>95082122.729999989</v>
      </c>
      <c r="E121" s="1088">
        <v>289299451.83285642</v>
      </c>
      <c r="F121" s="1088">
        <v>1184577800.7527432</v>
      </c>
      <c r="G121" s="1088">
        <v>1751277262.2018268</v>
      </c>
      <c r="H121" s="1088">
        <v>159730045.41999999</v>
      </c>
      <c r="I121" s="1088">
        <v>824595233.64719713</v>
      </c>
      <c r="J121" s="1088">
        <v>215053775.49000007</v>
      </c>
      <c r="K121" s="1088">
        <v>57151183.159999989</v>
      </c>
      <c r="L121" s="1088">
        <v>149613297.92059192</v>
      </c>
      <c r="M121" s="1047">
        <f t="shared" si="26"/>
        <v>4746872551.3927155</v>
      </c>
      <c r="N121" s="14"/>
    </row>
    <row r="122" spans="1:14" ht="13">
      <c r="A122" s="553">
        <f t="shared" si="27"/>
        <v>64</v>
      </c>
      <c r="B122" s="705" t="s">
        <v>2563</v>
      </c>
      <c r="C122" s="1088">
        <v>20492444.19749999</v>
      </c>
      <c r="D122" s="1088">
        <v>95082967.469999984</v>
      </c>
      <c r="E122" s="1088">
        <v>289310904.63285649</v>
      </c>
      <c r="F122" s="1088">
        <v>1184575889.9427433</v>
      </c>
      <c r="G122" s="1088">
        <v>1751639510.0818269</v>
      </c>
      <c r="H122" s="1088">
        <v>160087166.53999999</v>
      </c>
      <c r="I122" s="1088">
        <v>825007110.50719702</v>
      </c>
      <c r="J122" s="1088">
        <v>215059304.88000005</v>
      </c>
      <c r="K122" s="1088">
        <v>57152282.669999987</v>
      </c>
      <c r="L122" s="1088">
        <v>149996739.71059191</v>
      </c>
      <c r="M122" s="1047">
        <f t="shared" si="26"/>
        <v>4748404320.6327162</v>
      </c>
      <c r="N122" s="14"/>
    </row>
    <row r="123" spans="1:14" ht="13">
      <c r="A123" s="553">
        <f t="shared" si="27"/>
        <v>65</v>
      </c>
      <c r="B123" s="705" t="s">
        <v>2564</v>
      </c>
      <c r="C123" s="1088">
        <v>20557475.30749999</v>
      </c>
      <c r="D123" s="1088">
        <v>95083015.999999985</v>
      </c>
      <c r="E123" s="1088">
        <v>289310335.52285647</v>
      </c>
      <c r="F123" s="1088">
        <v>1184575960.6727433</v>
      </c>
      <c r="G123" s="1088">
        <v>1751897923.5918264</v>
      </c>
      <c r="H123" s="1088">
        <v>159924550.91999999</v>
      </c>
      <c r="I123" s="1088">
        <v>825612507.74719703</v>
      </c>
      <c r="J123" s="1088">
        <v>215070789.97000006</v>
      </c>
      <c r="K123" s="1088">
        <v>57156603.909999989</v>
      </c>
      <c r="L123" s="1088">
        <v>150071266.20059192</v>
      </c>
      <c r="M123" s="1047">
        <f t="shared" si="26"/>
        <v>4749260429.8427153</v>
      </c>
      <c r="N123" s="14"/>
    </row>
    <row r="124" spans="1:14" ht="13">
      <c r="A124" s="553">
        <f t="shared" si="27"/>
        <v>66</v>
      </c>
      <c r="B124" s="704" t="s">
        <v>2553</v>
      </c>
      <c r="C124" s="1088">
        <v>20567881.547499988</v>
      </c>
      <c r="D124" s="1088">
        <v>95086484.279999986</v>
      </c>
      <c r="E124" s="1088">
        <v>327560005.78420037</v>
      </c>
      <c r="F124" s="1088">
        <v>1285246061.5526114</v>
      </c>
      <c r="G124" s="1088">
        <v>1754773794.6018269</v>
      </c>
      <c r="H124" s="1088">
        <v>161600028.58000001</v>
      </c>
      <c r="I124" s="1088">
        <v>827789058.51719701</v>
      </c>
      <c r="J124" s="1088">
        <v>215074930.83000007</v>
      </c>
      <c r="K124" s="1088">
        <v>57157937.139999986</v>
      </c>
      <c r="L124" s="1088">
        <v>150244444.52059191</v>
      </c>
      <c r="M124" s="1047">
        <f t="shared" si="26"/>
        <v>4895100627.3539276</v>
      </c>
      <c r="N124" s="14"/>
    </row>
    <row r="125" spans="1:14" ht="13">
      <c r="A125" s="553"/>
      <c r="B125" s="1067"/>
      <c r="C125" s="230"/>
      <c r="D125" s="230"/>
      <c r="E125" s="230"/>
      <c r="F125" s="230"/>
      <c r="G125" s="230"/>
      <c r="H125" s="230"/>
      <c r="I125" s="230"/>
      <c r="J125" s="230"/>
      <c r="K125" s="230"/>
      <c r="L125" s="230"/>
      <c r="M125" s="230"/>
      <c r="N125" s="14"/>
    </row>
    <row r="126" spans="1:14" ht="13">
      <c r="B126" s="44" t="s">
        <v>2353</v>
      </c>
      <c r="C126" s="14"/>
      <c r="D126" s="14"/>
      <c r="E126" s="14"/>
      <c r="F126" s="14"/>
      <c r="G126" s="14"/>
    </row>
    <row r="127" spans="1:14">
      <c r="B127" s="14"/>
      <c r="C127" s="14"/>
      <c r="D127" s="14"/>
      <c r="E127" s="14"/>
      <c r="F127" s="14"/>
      <c r="G127" s="14"/>
    </row>
    <row r="128" spans="1:14" ht="13">
      <c r="A128" s="386"/>
      <c r="B128" s="352" t="s">
        <v>358</v>
      </c>
      <c r="C128" s="352" t="s">
        <v>342</v>
      </c>
      <c r="D128" s="352" t="s">
        <v>343</v>
      </c>
      <c r="E128" s="352" t="s">
        <v>344</v>
      </c>
      <c r="F128" s="352" t="s">
        <v>345</v>
      </c>
      <c r="G128" s="352" t="s">
        <v>346</v>
      </c>
      <c r="H128" s="84" t="s">
        <v>347</v>
      </c>
      <c r="I128" s="84" t="s">
        <v>534</v>
      </c>
      <c r="J128" s="84" t="s">
        <v>951</v>
      </c>
      <c r="K128" s="84" t="s">
        <v>963</v>
      </c>
      <c r="L128" s="84" t="s">
        <v>966</v>
      </c>
      <c r="M128" s="84" t="s">
        <v>984</v>
      </c>
    </row>
    <row r="129" spans="1:16">
      <c r="A129" s="228"/>
      <c r="B129" s="444"/>
      <c r="C129" s="236"/>
      <c r="D129" s="236"/>
      <c r="E129" s="236"/>
      <c r="F129" s="236"/>
      <c r="G129" s="236"/>
      <c r="H129" s="228"/>
      <c r="I129" s="228"/>
      <c r="J129" s="228"/>
      <c r="K129" s="228"/>
      <c r="M129" s="244" t="s">
        <v>1216</v>
      </c>
    </row>
    <row r="130" spans="1:16" ht="13">
      <c r="A130" s="51"/>
      <c r="B130" s="123" t="s">
        <v>1750</v>
      </c>
      <c r="C130" s="352">
        <v>350.1</v>
      </c>
      <c r="D130" s="352">
        <v>350.2</v>
      </c>
      <c r="E130" s="352">
        <v>352</v>
      </c>
      <c r="F130" s="352">
        <v>353</v>
      </c>
      <c r="G130" s="352">
        <v>354</v>
      </c>
      <c r="H130" s="84">
        <v>355</v>
      </c>
      <c r="I130" s="84">
        <v>356</v>
      </c>
      <c r="J130" s="84">
        <v>357</v>
      </c>
      <c r="K130" s="84">
        <v>358</v>
      </c>
      <c r="L130" s="84">
        <v>359</v>
      </c>
      <c r="M130" s="3" t="s">
        <v>196</v>
      </c>
    </row>
    <row r="131" spans="1:16" ht="13">
      <c r="A131" s="553">
        <f>A124+1</f>
        <v>67</v>
      </c>
      <c r="B131" s="705" t="s">
        <v>2554</v>
      </c>
      <c r="C131" s="1083">
        <f t="shared" ref="C131:L131" si="28">C113-C112</f>
        <v>3770.0799999982119</v>
      </c>
      <c r="D131" s="1083">
        <f t="shared" si="28"/>
        <v>414.42000000178814</v>
      </c>
      <c r="E131" s="1083">
        <f t="shared" si="28"/>
        <v>35420.920000016689</v>
      </c>
      <c r="F131" s="1083">
        <f t="shared" si="28"/>
        <v>113282.94000005722</v>
      </c>
      <c r="G131" s="1083">
        <f t="shared" si="28"/>
        <v>-9114600.3599994183</v>
      </c>
      <c r="H131" s="1083">
        <f t="shared" si="28"/>
        <v>5012746.099999994</v>
      </c>
      <c r="I131" s="1083">
        <f t="shared" si="28"/>
        <v>4141847.3400000334</v>
      </c>
      <c r="J131" s="1083">
        <f t="shared" si="28"/>
        <v>-3733.9600000083447</v>
      </c>
      <c r="K131" s="1083">
        <f t="shared" si="28"/>
        <v>-1868.0799999982119</v>
      </c>
      <c r="L131" s="1083">
        <f t="shared" si="28"/>
        <v>898.90000000596046</v>
      </c>
      <c r="M131" s="1083">
        <f t="shared" ref="M131:M142" si="29">SUM(C131:L131)</f>
        <v>188178.30000068247</v>
      </c>
      <c r="N131" s="14"/>
      <c r="P131" s="7"/>
    </row>
    <row r="132" spans="1:16" ht="13">
      <c r="A132" s="553">
        <f t="shared" ref="A132:A143" si="30">A131+1</f>
        <v>68</v>
      </c>
      <c r="B132" s="704" t="s">
        <v>2555</v>
      </c>
      <c r="C132" s="1083">
        <f t="shared" ref="C132:L132" si="31">C114-C113</f>
        <v>22127.60000000149</v>
      </c>
      <c r="D132" s="1083">
        <f t="shared" si="31"/>
        <v>223</v>
      </c>
      <c r="E132" s="1083">
        <f t="shared" si="31"/>
        <v>-21276.620000004768</v>
      </c>
      <c r="F132" s="1083">
        <f t="shared" si="31"/>
        <v>-402.10999989509583</v>
      </c>
      <c r="G132" s="1083">
        <f t="shared" si="31"/>
        <v>120010.75999951363</v>
      </c>
      <c r="H132" s="1083">
        <f t="shared" si="31"/>
        <v>103663.65999999642</v>
      </c>
      <c r="I132" s="1083">
        <f t="shared" si="31"/>
        <v>123731.72000002861</v>
      </c>
      <c r="J132" s="1083">
        <f t="shared" si="31"/>
        <v>9057.1599999964237</v>
      </c>
      <c r="K132" s="1083">
        <f t="shared" si="31"/>
        <v>4531.2300000041723</v>
      </c>
      <c r="L132" s="1083">
        <f t="shared" si="31"/>
        <v>111329.09000000358</v>
      </c>
      <c r="M132" s="1083">
        <f t="shared" si="29"/>
        <v>472995.48999964446</v>
      </c>
      <c r="N132" s="14"/>
      <c r="P132" s="7"/>
    </row>
    <row r="133" spans="1:16" ht="13">
      <c r="A133" s="553">
        <f t="shared" si="30"/>
        <v>69</v>
      </c>
      <c r="B133" s="704" t="s">
        <v>2556</v>
      </c>
      <c r="C133" s="1083">
        <f t="shared" ref="C133:L133" si="32">C115-C114</f>
        <v>44653</v>
      </c>
      <c r="D133" s="1083">
        <f t="shared" si="32"/>
        <v>1191.1299999952316</v>
      </c>
      <c r="E133" s="1083">
        <f t="shared" si="32"/>
        <v>-2277.660000026226</v>
      </c>
      <c r="F133" s="1083">
        <f t="shared" si="32"/>
        <v>28534.909999847412</v>
      </c>
      <c r="G133" s="1083">
        <f t="shared" si="32"/>
        <v>-3727799.3400001526</v>
      </c>
      <c r="H133" s="1083">
        <f t="shared" si="32"/>
        <v>14145.800000011921</v>
      </c>
      <c r="I133" s="1083">
        <f t="shared" si="32"/>
        <v>1585310.0899999142</v>
      </c>
      <c r="J133" s="1083">
        <f t="shared" si="32"/>
        <v>18694.620000004768</v>
      </c>
      <c r="K133" s="1083">
        <f t="shared" si="32"/>
        <v>9352.7900000065565</v>
      </c>
      <c r="L133" s="1083">
        <f t="shared" si="32"/>
        <v>2621316.5600000024</v>
      </c>
      <c r="M133" s="1083">
        <f t="shared" si="29"/>
        <v>593121.89999960363</v>
      </c>
      <c r="N133" s="14"/>
      <c r="P133" s="7"/>
    </row>
    <row r="134" spans="1:16" ht="13">
      <c r="A134" s="553">
        <f t="shared" si="30"/>
        <v>70</v>
      </c>
      <c r="B134" s="705" t="s">
        <v>2557</v>
      </c>
      <c r="C134" s="1083">
        <f t="shared" ref="C134:L134" si="33">C116-C115</f>
        <v>-2443.1700000017881</v>
      </c>
      <c r="D134" s="1083">
        <f t="shared" si="33"/>
        <v>2443.1700000017881</v>
      </c>
      <c r="E134" s="1083">
        <f t="shared" si="33"/>
        <v>20804.680000007153</v>
      </c>
      <c r="F134" s="1083">
        <f t="shared" si="33"/>
        <v>124450.99000000954</v>
      </c>
      <c r="G134" s="1083">
        <f t="shared" si="33"/>
        <v>61403.5100004673</v>
      </c>
      <c r="H134" s="1083">
        <f t="shared" si="33"/>
        <v>-125237.00999999046</v>
      </c>
      <c r="I134" s="1083">
        <f t="shared" si="33"/>
        <v>189667.35000002384</v>
      </c>
      <c r="J134" s="1083">
        <f t="shared" si="33"/>
        <v>10889.84999999404</v>
      </c>
      <c r="K134" s="1083">
        <f t="shared" si="33"/>
        <v>5448.1200000047684</v>
      </c>
      <c r="L134" s="1083">
        <f t="shared" si="33"/>
        <v>-47907.819999992847</v>
      </c>
      <c r="M134" s="1083">
        <f t="shared" si="29"/>
        <v>239519.67000052333</v>
      </c>
      <c r="N134" s="14"/>
      <c r="P134" s="7"/>
    </row>
    <row r="135" spans="1:16" ht="13">
      <c r="A135" s="553">
        <f t="shared" si="30"/>
        <v>71</v>
      </c>
      <c r="B135" s="704" t="s">
        <v>2558</v>
      </c>
      <c r="C135" s="1083">
        <f t="shared" ref="C135:L135" si="34">C117-C116</f>
        <v>118.69999999925494</v>
      </c>
      <c r="D135" s="1083">
        <f t="shared" si="34"/>
        <v>0</v>
      </c>
      <c r="E135" s="1083">
        <f t="shared" si="34"/>
        <v>-1803.9399999976158</v>
      </c>
      <c r="F135" s="1083">
        <f t="shared" si="34"/>
        <v>5055.960000038147</v>
      </c>
      <c r="G135" s="1083">
        <f t="shared" si="34"/>
        <v>16291.219999551773</v>
      </c>
      <c r="H135" s="1083">
        <f t="shared" si="34"/>
        <v>8097.5500000119209</v>
      </c>
      <c r="I135" s="1083">
        <f t="shared" si="34"/>
        <v>66649.570000052452</v>
      </c>
      <c r="J135" s="1083">
        <f t="shared" si="34"/>
        <v>19123.590000003576</v>
      </c>
      <c r="K135" s="1083">
        <f t="shared" si="34"/>
        <v>9567.359999999404</v>
      </c>
      <c r="L135" s="1083">
        <f t="shared" si="34"/>
        <v>11504.439999997616</v>
      </c>
      <c r="M135" s="1083">
        <f t="shared" si="29"/>
        <v>134604.44999965653</v>
      </c>
      <c r="N135" s="14"/>
      <c r="P135" s="7"/>
    </row>
    <row r="136" spans="1:16" ht="13">
      <c r="A136" s="553">
        <f t="shared" si="30"/>
        <v>72</v>
      </c>
      <c r="B136" s="704" t="s">
        <v>2559</v>
      </c>
      <c r="C136" s="1083">
        <f t="shared" ref="C136:L136" si="35">C118-C117</f>
        <v>75204.829999998212</v>
      </c>
      <c r="D136" s="1083">
        <f t="shared" si="35"/>
        <v>6.3299999982118607</v>
      </c>
      <c r="E136" s="1083">
        <f t="shared" si="35"/>
        <v>476.10999995470047</v>
      </c>
      <c r="F136" s="1083">
        <f t="shared" si="35"/>
        <v>5560.6899998188019</v>
      </c>
      <c r="G136" s="1083">
        <f t="shared" si="35"/>
        <v>18151.430000543594</v>
      </c>
      <c r="H136" s="1083">
        <f t="shared" si="35"/>
        <v>-3992.1200000047684</v>
      </c>
      <c r="I136" s="1083">
        <f t="shared" si="35"/>
        <v>43820.680000185966</v>
      </c>
      <c r="J136" s="1083">
        <f t="shared" si="35"/>
        <v>7678.2199999988079</v>
      </c>
      <c r="K136" s="1083">
        <f t="shared" si="35"/>
        <v>3841.3499999940395</v>
      </c>
      <c r="L136" s="1083">
        <f t="shared" si="35"/>
        <v>-2306.6599999964237</v>
      </c>
      <c r="M136" s="1083">
        <f t="shared" si="29"/>
        <v>148440.86000049114</v>
      </c>
      <c r="N136" s="14"/>
      <c r="P136" s="7"/>
    </row>
    <row r="137" spans="1:16" ht="13">
      <c r="A137" s="553">
        <f t="shared" si="30"/>
        <v>73</v>
      </c>
      <c r="B137" s="705" t="s">
        <v>2560</v>
      </c>
      <c r="C137" s="1083">
        <f t="shared" ref="C137:L137" si="36">C119-C118</f>
        <v>-4008.2199999988079</v>
      </c>
      <c r="D137" s="1083">
        <f t="shared" si="36"/>
        <v>4008.2199999988079</v>
      </c>
      <c r="E137" s="1083">
        <f t="shared" si="36"/>
        <v>-536073</v>
      </c>
      <c r="F137" s="1083">
        <f t="shared" si="36"/>
        <v>938960.79000020027</v>
      </c>
      <c r="G137" s="1083">
        <f t="shared" si="36"/>
        <v>104363.80999994278</v>
      </c>
      <c r="H137" s="1083">
        <f t="shared" si="36"/>
        <v>39403.699999988079</v>
      </c>
      <c r="I137" s="1083">
        <f t="shared" si="36"/>
        <v>100992.53999996185</v>
      </c>
      <c r="J137" s="1083">
        <f t="shared" si="36"/>
        <v>24380907.790000021</v>
      </c>
      <c r="K137" s="1083">
        <f t="shared" si="36"/>
        <v>-24776879.739999995</v>
      </c>
      <c r="L137" s="1083">
        <f t="shared" si="36"/>
        <v>28113.460000008345</v>
      </c>
      <c r="M137" s="1083">
        <f t="shared" si="29"/>
        <v>279789.35000012815</v>
      </c>
      <c r="N137" s="14"/>
      <c r="P137" s="7"/>
    </row>
    <row r="138" spans="1:16" ht="13">
      <c r="A138" s="553">
        <f t="shared" si="30"/>
        <v>74</v>
      </c>
      <c r="B138" s="704" t="s">
        <v>2561</v>
      </c>
      <c r="C138" s="1083">
        <f t="shared" ref="C138:L138" si="37">C120-C119</f>
        <v>0</v>
      </c>
      <c r="D138" s="1083">
        <f t="shared" si="37"/>
        <v>0</v>
      </c>
      <c r="E138" s="1083">
        <f t="shared" si="37"/>
        <v>2008.8900000452995</v>
      </c>
      <c r="F138" s="1083">
        <f t="shared" si="37"/>
        <v>19798.700000047684</v>
      </c>
      <c r="G138" s="1083">
        <f t="shared" si="37"/>
        <v>16434.69000005722</v>
      </c>
      <c r="H138" s="1083">
        <f t="shared" si="37"/>
        <v>2027.3199999928474</v>
      </c>
      <c r="I138" s="1083">
        <f t="shared" si="37"/>
        <v>84673.94000005722</v>
      </c>
      <c r="J138" s="1083">
        <f t="shared" si="37"/>
        <v>7009.3100000023842</v>
      </c>
      <c r="K138" s="1083">
        <f t="shared" si="37"/>
        <v>2381.1700000017881</v>
      </c>
      <c r="L138" s="1083">
        <f t="shared" si="37"/>
        <v>2364.7299999892712</v>
      </c>
      <c r="M138" s="1083">
        <f t="shared" si="29"/>
        <v>136698.75000019372</v>
      </c>
      <c r="N138" s="14"/>
      <c r="P138" s="7"/>
    </row>
    <row r="139" spans="1:16" ht="13">
      <c r="A139" s="553">
        <f t="shared" si="30"/>
        <v>75</v>
      </c>
      <c r="B139" s="704" t="s">
        <v>2562</v>
      </c>
      <c r="C139" s="1083">
        <f t="shared" ref="C139:L139" si="38">C121-C120</f>
        <v>15850.989999998361</v>
      </c>
      <c r="D139" s="1083">
        <f t="shared" si="38"/>
        <v>0</v>
      </c>
      <c r="E139" s="1083">
        <f t="shared" si="38"/>
        <v>1194262.280000031</v>
      </c>
      <c r="F139" s="1083">
        <f t="shared" si="38"/>
        <v>18874.299999952316</v>
      </c>
      <c r="G139" s="1083">
        <f t="shared" si="38"/>
        <v>16811.80999994278</v>
      </c>
      <c r="H139" s="1083">
        <f t="shared" si="38"/>
        <v>-7027.669999986887</v>
      </c>
      <c r="I139" s="1083">
        <f t="shared" si="38"/>
        <v>51680.05999982357</v>
      </c>
      <c r="J139" s="1083">
        <f t="shared" si="38"/>
        <v>6221.3100000023842</v>
      </c>
      <c r="K139" s="1083">
        <f t="shared" si="38"/>
        <v>1650.8699999973178</v>
      </c>
      <c r="L139" s="1083">
        <f t="shared" si="38"/>
        <v>-1807.5</v>
      </c>
      <c r="M139" s="1083">
        <f t="shared" si="29"/>
        <v>1296516.4499997608</v>
      </c>
      <c r="N139" s="14"/>
      <c r="P139" s="7"/>
    </row>
    <row r="140" spans="1:16" ht="13">
      <c r="A140" s="553">
        <f t="shared" si="30"/>
        <v>76</v>
      </c>
      <c r="B140" s="705" t="s">
        <v>2563</v>
      </c>
      <c r="C140" s="1083">
        <f t="shared" ref="C140:L140" si="39">C122-C121</f>
        <v>65.96000000089407</v>
      </c>
      <c r="D140" s="1083">
        <f t="shared" si="39"/>
        <v>844.73999999463558</v>
      </c>
      <c r="E140" s="1083">
        <f t="shared" si="39"/>
        <v>11452.800000071526</v>
      </c>
      <c r="F140" s="1083">
        <f t="shared" si="39"/>
        <v>-1910.8099999427795</v>
      </c>
      <c r="G140" s="1083">
        <f t="shared" si="39"/>
        <v>362247.88000011444</v>
      </c>
      <c r="H140" s="1083">
        <f t="shared" si="39"/>
        <v>357121.12000000477</v>
      </c>
      <c r="I140" s="1083">
        <f t="shared" si="39"/>
        <v>411876.8599998951</v>
      </c>
      <c r="J140" s="1083">
        <f t="shared" si="39"/>
        <v>5529.3899999856949</v>
      </c>
      <c r="K140" s="1083">
        <f t="shared" si="39"/>
        <v>1099.5099999979138</v>
      </c>
      <c r="L140" s="1083">
        <f t="shared" si="39"/>
        <v>383441.78999999166</v>
      </c>
      <c r="M140" s="1083">
        <f t="shared" si="29"/>
        <v>1531769.2400001138</v>
      </c>
      <c r="N140" s="14"/>
      <c r="P140" s="7"/>
    </row>
    <row r="141" spans="1:16" ht="13">
      <c r="A141" s="553">
        <f t="shared" si="30"/>
        <v>77</v>
      </c>
      <c r="B141" s="705" t="s">
        <v>2564</v>
      </c>
      <c r="C141" s="1083">
        <f t="shared" ref="C141:L141" si="40">C123-C122</f>
        <v>65031.109999999404</v>
      </c>
      <c r="D141" s="1083">
        <f t="shared" si="40"/>
        <v>48.530000001192093</v>
      </c>
      <c r="E141" s="1083">
        <f t="shared" si="40"/>
        <v>-569.11000001430511</v>
      </c>
      <c r="F141" s="1083">
        <f t="shared" si="40"/>
        <v>70.730000019073486</v>
      </c>
      <c r="G141" s="1083">
        <f t="shared" si="40"/>
        <v>258413.50999951363</v>
      </c>
      <c r="H141" s="1083">
        <f t="shared" si="40"/>
        <v>-162615.62000000477</v>
      </c>
      <c r="I141" s="1083">
        <f t="shared" si="40"/>
        <v>605397.24000000954</v>
      </c>
      <c r="J141" s="1083">
        <f t="shared" si="40"/>
        <v>11485.090000003576</v>
      </c>
      <c r="K141" s="1083">
        <f t="shared" si="40"/>
        <v>4321.2400000020862</v>
      </c>
      <c r="L141" s="1083">
        <f t="shared" si="40"/>
        <v>74526.490000009537</v>
      </c>
      <c r="M141" s="1083">
        <f t="shared" si="29"/>
        <v>856109.20999953896</v>
      </c>
      <c r="N141" s="14"/>
      <c r="P141" s="7"/>
    </row>
    <row r="142" spans="1:16" ht="13">
      <c r="A142" s="553">
        <f t="shared" si="30"/>
        <v>78</v>
      </c>
      <c r="B142" s="704" t="s">
        <v>2553</v>
      </c>
      <c r="C142" s="1084">
        <f t="shared" ref="C142:L142" si="41">C124-C123</f>
        <v>10406.239999998361</v>
      </c>
      <c r="D142" s="1084">
        <f t="shared" si="41"/>
        <v>3468.2800000011921</v>
      </c>
      <c r="E142" s="1084">
        <f t="shared" si="41"/>
        <v>38249670.261343896</v>
      </c>
      <c r="F142" s="1084">
        <f t="shared" si="41"/>
        <v>100670100.87986803</v>
      </c>
      <c r="G142" s="1084">
        <f t="shared" si="41"/>
        <v>2875871.0100004673</v>
      </c>
      <c r="H142" s="1084">
        <f t="shared" si="41"/>
        <v>1675477.6600000262</v>
      </c>
      <c r="I142" s="1084">
        <f t="shared" si="41"/>
        <v>2176550.7699999809</v>
      </c>
      <c r="J142" s="1084">
        <f t="shared" si="41"/>
        <v>4140.8600000143051</v>
      </c>
      <c r="K142" s="1084">
        <f t="shared" si="41"/>
        <v>1333.2299999967217</v>
      </c>
      <c r="L142" s="1084">
        <f t="shared" si="41"/>
        <v>173178.31999999285</v>
      </c>
      <c r="M142" s="1084">
        <f t="shared" si="29"/>
        <v>145840197.51121238</v>
      </c>
      <c r="N142" s="14"/>
      <c r="P142" s="7"/>
    </row>
    <row r="143" spans="1:16" ht="13">
      <c r="A143" s="553">
        <f t="shared" si="30"/>
        <v>79</v>
      </c>
      <c r="B143" s="1067" t="s">
        <v>4</v>
      </c>
      <c r="C143" s="1083">
        <f t="shared" ref="C143:M143" si="42">SUM(C131:C142)</f>
        <v>230777.11999999359</v>
      </c>
      <c r="D143" s="1083">
        <f t="shared" si="42"/>
        <v>12647.819999992847</v>
      </c>
      <c r="E143" s="1083">
        <f t="shared" si="42"/>
        <v>38952095.61134398</v>
      </c>
      <c r="F143" s="1083">
        <f t="shared" si="42"/>
        <v>101922377.96986818</v>
      </c>
      <c r="G143" s="1083">
        <f t="shared" si="42"/>
        <v>-8992400.0699994564</v>
      </c>
      <c r="H143" s="1083">
        <f t="shared" si="42"/>
        <v>6913810.4900000393</v>
      </c>
      <c r="I143" s="1083">
        <f t="shared" si="42"/>
        <v>9582198.1599999666</v>
      </c>
      <c r="J143" s="1083">
        <f t="shared" si="42"/>
        <v>24477003.230000019</v>
      </c>
      <c r="K143" s="1083">
        <f t="shared" si="42"/>
        <v>-24735220.949999988</v>
      </c>
      <c r="L143" s="1083">
        <f t="shared" si="42"/>
        <v>3354651.8000000119</v>
      </c>
      <c r="M143" s="1083">
        <f t="shared" si="42"/>
        <v>151717941.18121272</v>
      </c>
      <c r="N143" s="14"/>
      <c r="P143" s="7"/>
    </row>
    <row r="144" spans="1:16" ht="13">
      <c r="A144" s="553"/>
      <c r="B144" s="1067"/>
      <c r="C144" s="1174"/>
      <c r="D144" s="1174"/>
      <c r="E144" s="1174"/>
      <c r="F144" s="1174"/>
      <c r="G144" s="1174"/>
      <c r="H144" s="1174"/>
      <c r="I144" s="1174"/>
      <c r="J144" s="1174"/>
      <c r="K144" s="1174"/>
      <c r="L144" s="1174"/>
      <c r="M144" s="1174"/>
    </row>
    <row r="145" spans="1:14" ht="13">
      <c r="B145" s="1085" t="s">
        <v>2354</v>
      </c>
      <c r="C145" s="14"/>
      <c r="D145" s="14"/>
      <c r="E145" s="14"/>
      <c r="F145" s="14"/>
      <c r="G145" s="14"/>
    </row>
    <row r="146" spans="1:14">
      <c r="B146" s="14"/>
      <c r="C146" s="14"/>
      <c r="D146" s="14"/>
      <c r="E146" s="14"/>
      <c r="F146" s="14"/>
      <c r="G146" s="14"/>
    </row>
    <row r="147" spans="1:14" ht="13">
      <c r="A147" s="386"/>
      <c r="B147" s="352" t="s">
        <v>358</v>
      </c>
      <c r="C147" s="352" t="s">
        <v>342</v>
      </c>
      <c r="D147" s="352" t="s">
        <v>343</v>
      </c>
      <c r="E147" s="352" t="s">
        <v>344</v>
      </c>
      <c r="F147" s="352" t="s">
        <v>345</v>
      </c>
      <c r="G147" s="352" t="s">
        <v>346</v>
      </c>
      <c r="H147" s="84" t="s">
        <v>347</v>
      </c>
      <c r="I147" s="84" t="s">
        <v>534</v>
      </c>
      <c r="J147" s="84" t="s">
        <v>951</v>
      </c>
      <c r="K147" s="84" t="s">
        <v>963</v>
      </c>
      <c r="L147" s="84" t="s">
        <v>966</v>
      </c>
      <c r="M147" s="84" t="s">
        <v>984</v>
      </c>
    </row>
    <row r="148" spans="1:14">
      <c r="A148" s="228"/>
      <c r="B148" s="444"/>
      <c r="C148" s="236"/>
      <c r="D148" s="236"/>
      <c r="E148" s="236"/>
      <c r="F148" s="236"/>
      <c r="G148" s="236"/>
      <c r="H148" s="228"/>
      <c r="I148" s="228"/>
      <c r="J148" s="228"/>
      <c r="K148" s="228"/>
      <c r="M148" s="244" t="s">
        <v>1216</v>
      </c>
    </row>
    <row r="149" spans="1:14" ht="13">
      <c r="A149" s="51"/>
      <c r="B149" s="123" t="s">
        <v>1750</v>
      </c>
      <c r="C149" s="352">
        <v>350.1</v>
      </c>
      <c r="D149" s="352">
        <v>350.2</v>
      </c>
      <c r="E149" s="352">
        <v>352</v>
      </c>
      <c r="F149" s="352">
        <v>353</v>
      </c>
      <c r="G149" s="352">
        <v>354</v>
      </c>
      <c r="H149" s="84">
        <v>355</v>
      </c>
      <c r="I149" s="84">
        <v>356</v>
      </c>
      <c r="J149" s="84">
        <v>357</v>
      </c>
      <c r="K149" s="84">
        <v>358</v>
      </c>
      <c r="L149" s="84">
        <v>359</v>
      </c>
      <c r="M149" s="3" t="s">
        <v>196</v>
      </c>
    </row>
    <row r="150" spans="1:14" ht="13">
      <c r="A150" s="553">
        <f>A143+1</f>
        <v>80</v>
      </c>
      <c r="B150" s="705" t="s">
        <v>2554</v>
      </c>
      <c r="C150" s="1047">
        <f>C93-C131</f>
        <v>-368.18000000715256</v>
      </c>
      <c r="D150" s="1047">
        <f t="shared" ref="D150:L161" si="43">D93-D131</f>
        <v>-22029.119999989867</v>
      </c>
      <c r="E150" s="1047">
        <f t="shared" si="43"/>
        <v>4740163.5799999833</v>
      </c>
      <c r="F150" s="1047">
        <f t="shared" si="43"/>
        <v>6784104.0700001717</v>
      </c>
      <c r="G150" s="1047">
        <f t="shared" si="43"/>
        <v>-2371716.6400005817</v>
      </c>
      <c r="H150" s="1047">
        <f t="shared" si="43"/>
        <v>11581244.900000006</v>
      </c>
      <c r="I150" s="1047">
        <f t="shared" si="43"/>
        <v>4793075.6599999666</v>
      </c>
      <c r="J150" s="1047">
        <f t="shared" si="43"/>
        <v>8923.2600000202656</v>
      </c>
      <c r="K150" s="1047">
        <f t="shared" si="43"/>
        <v>-58642.920000001788</v>
      </c>
      <c r="L150" s="1047">
        <f t="shared" si="43"/>
        <v>12649.09999999404</v>
      </c>
      <c r="M150" s="1047">
        <f t="shared" ref="M150:M161" si="44">SUM(C150:L150)</f>
        <v>25467403.709999561</v>
      </c>
      <c r="N150" s="14"/>
    </row>
    <row r="151" spans="1:14" ht="13">
      <c r="A151" s="553">
        <f t="shared" ref="A151:A162" si="45">A150+1</f>
        <v>81</v>
      </c>
      <c r="B151" s="704" t="s">
        <v>2555</v>
      </c>
      <c r="C151" s="1047">
        <f t="shared" ref="C151:C161" si="46">C94-C132</f>
        <v>7.4505805969238281E-9</v>
      </c>
      <c r="D151" s="1047">
        <f t="shared" si="43"/>
        <v>10246</v>
      </c>
      <c r="E151" s="1047">
        <f t="shared" si="43"/>
        <v>8142192.5199999809</v>
      </c>
      <c r="F151" s="1047">
        <f t="shared" si="43"/>
        <v>215560.38000035286</v>
      </c>
      <c r="G151" s="1047">
        <f t="shared" si="43"/>
        <v>301936.24000048637</v>
      </c>
      <c r="H151" s="1047">
        <f t="shared" si="43"/>
        <v>20116024.340000004</v>
      </c>
      <c r="I151" s="1047">
        <f t="shared" si="43"/>
        <v>333872.27999997139</v>
      </c>
      <c r="J151" s="1047">
        <f t="shared" si="43"/>
        <v>-3851.6599999964237</v>
      </c>
      <c r="K151" s="1047">
        <f t="shared" si="43"/>
        <v>103907.76999999583</v>
      </c>
      <c r="L151" s="1047">
        <f t="shared" si="43"/>
        <v>83063.409999996424</v>
      </c>
      <c r="M151" s="1047">
        <f t="shared" si="44"/>
        <v>29302951.280000798</v>
      </c>
      <c r="N151" s="14"/>
    </row>
    <row r="152" spans="1:14" ht="13">
      <c r="A152" s="553">
        <f t="shared" si="45"/>
        <v>82</v>
      </c>
      <c r="B152" s="704" t="s">
        <v>2556</v>
      </c>
      <c r="C152" s="1047">
        <f t="shared" si="46"/>
        <v>0</v>
      </c>
      <c r="D152" s="1047">
        <f t="shared" si="43"/>
        <v>17210.869999974966</v>
      </c>
      <c r="E152" s="1047">
        <f t="shared" si="43"/>
        <v>13226667.26000005</v>
      </c>
      <c r="F152" s="1047">
        <f t="shared" si="43"/>
        <v>23236905.620000839</v>
      </c>
      <c r="G152" s="1047">
        <f t="shared" si="43"/>
        <v>3896629.3400001526</v>
      </c>
      <c r="H152" s="1047">
        <f t="shared" si="43"/>
        <v>21903577.199999988</v>
      </c>
      <c r="I152" s="1047">
        <f t="shared" si="43"/>
        <v>1179184.9100000858</v>
      </c>
      <c r="J152" s="1047">
        <f t="shared" si="43"/>
        <v>1043572.4799999595</v>
      </c>
      <c r="K152" s="1047">
        <f t="shared" si="43"/>
        <v>2027429.8099999577</v>
      </c>
      <c r="L152" s="1047">
        <f t="shared" si="43"/>
        <v>10106.140000015497</v>
      </c>
      <c r="M152" s="1047">
        <f t="shared" si="44"/>
        <v>66541283.630001023</v>
      </c>
      <c r="N152" s="14"/>
    </row>
    <row r="153" spans="1:14" ht="13">
      <c r="A153" s="553">
        <f t="shared" si="45"/>
        <v>83</v>
      </c>
      <c r="B153" s="705" t="s">
        <v>2557</v>
      </c>
      <c r="C153" s="1047">
        <f t="shared" si="46"/>
        <v>71945.469999998808</v>
      </c>
      <c r="D153" s="1047">
        <f t="shared" si="43"/>
        <v>-21730.769999995828</v>
      </c>
      <c r="E153" s="1047">
        <f t="shared" si="43"/>
        <v>430863.31999999285</v>
      </c>
      <c r="F153" s="1047">
        <f t="shared" si="43"/>
        <v>25282393.689999342</v>
      </c>
      <c r="G153" s="1047">
        <f t="shared" si="43"/>
        <v>4080391.4899995327</v>
      </c>
      <c r="H153" s="1047">
        <f t="shared" si="43"/>
        <v>11307017.00999999</v>
      </c>
      <c r="I153" s="1047">
        <f t="shared" si="43"/>
        <v>18678976.649999976</v>
      </c>
      <c r="J153" s="1047">
        <f t="shared" si="43"/>
        <v>22997.15000000596</v>
      </c>
      <c r="K153" s="1047">
        <f t="shared" si="43"/>
        <v>29459.480000019073</v>
      </c>
      <c r="L153" s="1047">
        <f t="shared" si="43"/>
        <v>150024.31999999285</v>
      </c>
      <c r="M153" s="1047">
        <f t="shared" si="44"/>
        <v>60032337.809998855</v>
      </c>
      <c r="N153" s="14"/>
    </row>
    <row r="154" spans="1:14" ht="13">
      <c r="A154" s="553">
        <f t="shared" si="45"/>
        <v>84</v>
      </c>
      <c r="B154" s="704" t="s">
        <v>2558</v>
      </c>
      <c r="C154" s="1047">
        <f t="shared" si="46"/>
        <v>4185.9700000025332</v>
      </c>
      <c r="D154" s="1047">
        <f t="shared" si="43"/>
        <v>17284.579999983311</v>
      </c>
      <c r="E154" s="1047">
        <f t="shared" si="43"/>
        <v>9071592.5899999738</v>
      </c>
      <c r="F154" s="1047">
        <f t="shared" si="43"/>
        <v>50433389.339999199</v>
      </c>
      <c r="G154" s="1047">
        <f t="shared" si="43"/>
        <v>1025835.8500006199</v>
      </c>
      <c r="H154" s="1047">
        <f t="shared" si="43"/>
        <v>11593568.650000036</v>
      </c>
      <c r="I154" s="1047">
        <f t="shared" si="43"/>
        <v>25854527.459999919</v>
      </c>
      <c r="J154" s="1047">
        <f t="shared" si="43"/>
        <v>435888.16999998689</v>
      </c>
      <c r="K154" s="1047">
        <f t="shared" si="43"/>
        <v>444651.03999997675</v>
      </c>
      <c r="L154" s="1047">
        <f t="shared" si="43"/>
        <v>1255063</v>
      </c>
      <c r="M154" s="1047">
        <f t="shared" si="44"/>
        <v>100135986.64999969</v>
      </c>
      <c r="N154" s="14"/>
    </row>
    <row r="155" spans="1:14" ht="13">
      <c r="A155" s="553">
        <f t="shared" si="45"/>
        <v>85</v>
      </c>
      <c r="B155" s="704" t="s">
        <v>2559</v>
      </c>
      <c r="C155" s="1047">
        <f t="shared" si="46"/>
        <v>-1374.5300000011921</v>
      </c>
      <c r="D155" s="1047">
        <f t="shared" si="43"/>
        <v>69130.100000008941</v>
      </c>
      <c r="E155" s="1047">
        <f t="shared" si="43"/>
        <v>1174500.5700001121</v>
      </c>
      <c r="F155" s="1047">
        <f t="shared" si="43"/>
        <v>8625737.2500007153</v>
      </c>
      <c r="G155" s="1047">
        <f t="shared" si="43"/>
        <v>4206897.8799993992</v>
      </c>
      <c r="H155" s="1047">
        <f t="shared" si="43"/>
        <v>11424870.459999919</v>
      </c>
      <c r="I155" s="1047">
        <f t="shared" si="43"/>
        <v>9836980.2099999189</v>
      </c>
      <c r="J155" s="1047">
        <f t="shared" si="43"/>
        <v>-1938534.9899999797</v>
      </c>
      <c r="K155" s="1047">
        <f t="shared" si="43"/>
        <v>-2205034.4799999893</v>
      </c>
      <c r="L155" s="1047">
        <f t="shared" si="43"/>
        <v>-5298.410000026226</v>
      </c>
      <c r="M155" s="1047">
        <f t="shared" si="44"/>
        <v>31187874.060000077</v>
      </c>
      <c r="N155" s="14"/>
    </row>
    <row r="156" spans="1:14" ht="13">
      <c r="A156" s="553">
        <f t="shared" si="45"/>
        <v>86</v>
      </c>
      <c r="B156" s="705" t="s">
        <v>2560</v>
      </c>
      <c r="C156" s="1047">
        <f t="shared" si="46"/>
        <v>0</v>
      </c>
      <c r="D156" s="1047">
        <f t="shared" si="43"/>
        <v>35440.659999996424</v>
      </c>
      <c r="E156" s="1047">
        <f t="shared" si="43"/>
        <v>896831.67999994755</v>
      </c>
      <c r="F156" s="1047">
        <f t="shared" si="43"/>
        <v>8704097.8399999142</v>
      </c>
      <c r="G156" s="1047">
        <f t="shared" si="43"/>
        <v>1390989.8499999046</v>
      </c>
      <c r="H156" s="1047">
        <f t="shared" si="43"/>
        <v>12799449.740000069</v>
      </c>
      <c r="I156" s="1047">
        <f t="shared" si="43"/>
        <v>1509066.75</v>
      </c>
      <c r="J156" s="1047">
        <f t="shared" si="43"/>
        <v>421571.64999997616</v>
      </c>
      <c r="K156" s="1047">
        <f t="shared" si="43"/>
        <v>-1140697.419999972</v>
      </c>
      <c r="L156" s="1047">
        <f t="shared" si="43"/>
        <v>5804.2899999916553</v>
      </c>
      <c r="M156" s="1047">
        <f t="shared" si="44"/>
        <v>24622555.039999828</v>
      </c>
      <c r="N156" s="14"/>
    </row>
    <row r="157" spans="1:14" ht="13">
      <c r="A157" s="553">
        <f t="shared" si="45"/>
        <v>87</v>
      </c>
      <c r="B157" s="704" t="s">
        <v>2561</v>
      </c>
      <c r="C157" s="1047">
        <f t="shared" si="46"/>
        <v>0</v>
      </c>
      <c r="D157" s="1047">
        <f t="shared" si="43"/>
        <v>105.98000001907349</v>
      </c>
      <c r="E157" s="1047">
        <f t="shared" si="43"/>
        <v>27985123.579999983</v>
      </c>
      <c r="F157" s="1047">
        <f t="shared" si="43"/>
        <v>50269412.719999075</v>
      </c>
      <c r="G157" s="1047">
        <f t="shared" si="43"/>
        <v>2212553.3800001144</v>
      </c>
      <c r="H157" s="1047">
        <f t="shared" si="43"/>
        <v>7312638.3099998832</v>
      </c>
      <c r="I157" s="1047">
        <f t="shared" si="43"/>
        <v>-1424548.4700000286</v>
      </c>
      <c r="J157" s="1047">
        <f t="shared" si="43"/>
        <v>147.14999997615814</v>
      </c>
      <c r="K157" s="1047">
        <f t="shared" si="43"/>
        <v>1276107.7499999553</v>
      </c>
      <c r="L157" s="1047">
        <f t="shared" si="43"/>
        <v>1125.0900000333786</v>
      </c>
      <c r="M157" s="1047">
        <f t="shared" si="44"/>
        <v>87632665.489999011</v>
      </c>
      <c r="N157" s="14"/>
    </row>
    <row r="158" spans="1:14" ht="13">
      <c r="A158" s="553">
        <f t="shared" si="45"/>
        <v>88</v>
      </c>
      <c r="B158" s="704" t="s">
        <v>2562</v>
      </c>
      <c r="C158" s="1047">
        <f t="shared" si="46"/>
        <v>736.96000000461936</v>
      </c>
      <c r="D158" s="1047">
        <f t="shared" si="43"/>
        <v>54892.619999974966</v>
      </c>
      <c r="E158" s="1047">
        <f t="shared" si="43"/>
        <v>2466047.0299999118</v>
      </c>
      <c r="F158" s="1047">
        <f t="shared" si="43"/>
        <v>12036012.340000391</v>
      </c>
      <c r="G158" s="1047">
        <f t="shared" si="43"/>
        <v>14536606.889999866</v>
      </c>
      <c r="H158" s="1047">
        <f t="shared" si="43"/>
        <v>8811285.7900001109</v>
      </c>
      <c r="I158" s="1047">
        <f t="shared" si="43"/>
        <v>10395455.980000138</v>
      </c>
      <c r="J158" s="1047">
        <f t="shared" si="43"/>
        <v>79190.850000023842</v>
      </c>
      <c r="K158" s="1047">
        <f t="shared" si="43"/>
        <v>751770.12000001222</v>
      </c>
      <c r="L158" s="1047">
        <f t="shared" si="43"/>
        <v>8086.1799999773502</v>
      </c>
      <c r="M158" s="1047">
        <f t="shared" si="44"/>
        <v>49140084.760000415</v>
      </c>
      <c r="N158" s="14"/>
    </row>
    <row r="159" spans="1:14" ht="13">
      <c r="A159" s="553">
        <f t="shared" si="45"/>
        <v>89</v>
      </c>
      <c r="B159" s="705" t="s">
        <v>2563</v>
      </c>
      <c r="C159" s="1047">
        <f t="shared" si="46"/>
        <v>-500.64999999850988</v>
      </c>
      <c r="D159" s="1047">
        <f t="shared" si="43"/>
        <v>1266.1300000101328</v>
      </c>
      <c r="E159" s="1047">
        <f t="shared" si="43"/>
        <v>1189957.1699999571</v>
      </c>
      <c r="F159" s="1047">
        <f t="shared" si="43"/>
        <v>15657045.570000172</v>
      </c>
      <c r="G159" s="1047">
        <f t="shared" si="43"/>
        <v>1237846.9299998283</v>
      </c>
      <c r="H159" s="1047">
        <f t="shared" si="43"/>
        <v>11538833.699999928</v>
      </c>
      <c r="I159" s="1047">
        <f t="shared" si="43"/>
        <v>28312937.220000029</v>
      </c>
      <c r="J159" s="1047">
        <f t="shared" si="43"/>
        <v>232912.43999999762</v>
      </c>
      <c r="K159" s="1047">
        <f t="shared" si="43"/>
        <v>374660.85000001639</v>
      </c>
      <c r="L159" s="1047">
        <f t="shared" si="43"/>
        <v>349676.30000001192</v>
      </c>
      <c r="M159" s="1047">
        <f t="shared" si="44"/>
        <v>58894635.659999952</v>
      </c>
      <c r="N159" s="14"/>
    </row>
    <row r="160" spans="1:14" ht="13">
      <c r="A160" s="553">
        <f t="shared" si="45"/>
        <v>90</v>
      </c>
      <c r="B160" s="705" t="s">
        <v>2564</v>
      </c>
      <c r="C160" s="1047">
        <f t="shared" si="46"/>
        <v>1303358.6999999881</v>
      </c>
      <c r="D160" s="1047">
        <f t="shared" si="43"/>
        <v>-6555.8199999928474</v>
      </c>
      <c r="E160" s="1047">
        <f t="shared" si="43"/>
        <v>-207577.92999994755</v>
      </c>
      <c r="F160" s="1047">
        <f t="shared" si="43"/>
        <v>16639190.759998798</v>
      </c>
      <c r="G160" s="1047">
        <f t="shared" si="43"/>
        <v>1445974.580000639</v>
      </c>
      <c r="H160" s="1047">
        <f t="shared" si="43"/>
        <v>12796211.169999957</v>
      </c>
      <c r="I160" s="1047">
        <f t="shared" si="43"/>
        <v>2365030.2899999619</v>
      </c>
      <c r="J160" s="1047">
        <f t="shared" si="43"/>
        <v>13395.260000020266</v>
      </c>
      <c r="K160" s="1047">
        <f t="shared" si="43"/>
        <v>50213.269999988377</v>
      </c>
      <c r="L160" s="1047">
        <f t="shared" si="43"/>
        <v>833633.77000001073</v>
      </c>
      <c r="M160" s="1047">
        <f t="shared" si="44"/>
        <v>35232874.049999423</v>
      </c>
      <c r="N160" s="14"/>
    </row>
    <row r="161" spans="1:14" ht="13">
      <c r="A161" s="553">
        <f t="shared" si="45"/>
        <v>91</v>
      </c>
      <c r="B161" s="704" t="s">
        <v>2553</v>
      </c>
      <c r="C161" s="1086">
        <f t="shared" si="46"/>
        <v>-1275.9999999888241</v>
      </c>
      <c r="D161" s="1086">
        <f t="shared" si="43"/>
        <v>71000.030000001192</v>
      </c>
      <c r="E161" s="1086">
        <f t="shared" si="43"/>
        <v>52140048.39865607</v>
      </c>
      <c r="F161" s="1086">
        <f t="shared" si="43"/>
        <v>125501019.18013334</v>
      </c>
      <c r="G161" s="1086">
        <f t="shared" si="43"/>
        <v>1566093.8999993801</v>
      </c>
      <c r="H161" s="1086">
        <f t="shared" si="43"/>
        <v>18570042.790000021</v>
      </c>
      <c r="I161" s="1086">
        <f t="shared" si="43"/>
        <v>-698155.51999998093</v>
      </c>
      <c r="J161" s="1086">
        <f t="shared" si="43"/>
        <v>382061.70999997854</v>
      </c>
      <c r="K161" s="1086">
        <f t="shared" si="43"/>
        <v>-55941.619999982417</v>
      </c>
      <c r="L161" s="1086">
        <f t="shared" si="43"/>
        <v>48589.359999984503</v>
      </c>
      <c r="M161" s="1086">
        <f t="shared" si="44"/>
        <v>197523482.22878885</v>
      </c>
      <c r="N161" s="14"/>
    </row>
    <row r="162" spans="1:14" ht="13">
      <c r="A162" s="553">
        <f t="shared" si="45"/>
        <v>92</v>
      </c>
      <c r="B162" s="1067" t="s">
        <v>4</v>
      </c>
      <c r="C162" s="1047">
        <f t="shared" ref="C162:M162" si="47">SUM(C150:C161)</f>
        <v>1376707.7400000058</v>
      </c>
      <c r="D162" s="1047">
        <f t="shared" si="47"/>
        <v>226261.25999999046</v>
      </c>
      <c r="E162" s="1047">
        <f t="shared" si="47"/>
        <v>121256409.76865602</v>
      </c>
      <c r="F162" s="1047">
        <f t="shared" si="47"/>
        <v>343384868.76013231</v>
      </c>
      <c r="G162" s="1047">
        <f t="shared" si="47"/>
        <v>33530039.689999342</v>
      </c>
      <c r="H162" s="1047">
        <f t="shared" si="47"/>
        <v>159754764.05999991</v>
      </c>
      <c r="I162" s="1047">
        <f t="shared" si="47"/>
        <v>101136403.41999996</v>
      </c>
      <c r="J162" s="1047">
        <f t="shared" si="47"/>
        <v>698273.46999996901</v>
      </c>
      <c r="K162" s="1047">
        <f t="shared" si="47"/>
        <v>1597883.6499999762</v>
      </c>
      <c r="L162" s="1047">
        <f t="shared" si="47"/>
        <v>2752522.5499999821</v>
      </c>
      <c r="M162" s="1047">
        <f t="shared" si="47"/>
        <v>765714134.36878753</v>
      </c>
      <c r="N162" s="14"/>
    </row>
    <row r="163" spans="1:14" ht="13">
      <c r="A163" s="553"/>
      <c r="B163" s="1067"/>
      <c r="C163" s="1174"/>
      <c r="D163" s="1174"/>
      <c r="E163" s="1174"/>
      <c r="F163" s="1174"/>
      <c r="G163" s="1174"/>
      <c r="H163" s="1174"/>
      <c r="I163" s="1174"/>
      <c r="J163" s="1174"/>
      <c r="K163" s="1174"/>
      <c r="L163" s="1174"/>
      <c r="M163" s="1174"/>
    </row>
    <row r="164" spans="1:14" s="467" customFormat="1" ht="13">
      <c r="B164" s="44" t="s">
        <v>2355</v>
      </c>
      <c r="M164" s="1082"/>
    </row>
    <row r="165" spans="1:14" s="467" customFormat="1">
      <c r="M165" s="1082"/>
    </row>
    <row r="166" spans="1:14" s="467" customFormat="1" ht="13">
      <c r="B166" s="123" t="s">
        <v>1750</v>
      </c>
      <c r="C166" s="352">
        <v>350.1</v>
      </c>
      <c r="D166" s="352">
        <v>350.2</v>
      </c>
      <c r="E166" s="352">
        <v>352</v>
      </c>
      <c r="F166" s="352">
        <v>353</v>
      </c>
      <c r="G166" s="352">
        <v>354</v>
      </c>
      <c r="H166" s="84">
        <v>355</v>
      </c>
      <c r="I166" s="84">
        <v>356</v>
      </c>
      <c r="J166" s="84">
        <v>357</v>
      </c>
      <c r="K166" s="84">
        <v>358</v>
      </c>
      <c r="L166" s="84">
        <v>359</v>
      </c>
      <c r="M166" s="1082"/>
    </row>
    <row r="167" spans="1:14" s="467" customFormat="1" ht="13">
      <c r="A167" s="553">
        <f>A162+1</f>
        <v>93</v>
      </c>
      <c r="B167" s="705" t="s">
        <v>2554</v>
      </c>
      <c r="C167" s="1089">
        <f>C150/C$162</f>
        <v>-2.6743512025809559E-4</v>
      </c>
      <c r="D167" s="1089">
        <f t="shared" ref="D167:L167" si="48">D150/D$162</f>
        <v>-9.7361430763670265E-2</v>
      </c>
      <c r="E167" s="1089">
        <f t="shared" si="48"/>
        <v>3.9092066052785972E-2</v>
      </c>
      <c r="F167" s="1089">
        <f t="shared" si="48"/>
        <v>1.9756560894764214E-2</v>
      </c>
      <c r="G167" s="1089">
        <f>G150/G$162</f>
        <v>-7.0734083882041124E-2</v>
      </c>
      <c r="H167" s="1089">
        <f t="shared" si="48"/>
        <v>7.2493893801191298E-2</v>
      </c>
      <c r="I167" s="1089">
        <f t="shared" si="48"/>
        <v>4.7392190130543292E-2</v>
      </c>
      <c r="J167" s="1089">
        <f t="shared" si="48"/>
        <v>1.2779033406525758E-2</v>
      </c>
      <c r="K167" s="1089">
        <f t="shared" si="48"/>
        <v>-3.670036926656247E-2</v>
      </c>
      <c r="L167" s="1089">
        <f t="shared" si="48"/>
        <v>4.5954573560148025E-3</v>
      </c>
      <c r="M167" s="1082"/>
    </row>
    <row r="168" spans="1:14" s="467" customFormat="1" ht="13">
      <c r="A168" s="553">
        <f t="shared" ref="A168:A178" si="49">A167+1</f>
        <v>94</v>
      </c>
      <c r="B168" s="704" t="s">
        <v>2555</v>
      </c>
      <c r="C168" s="1089">
        <f>C151/C$162</f>
        <v>5.4118825517199434E-15</v>
      </c>
      <c r="D168" s="1089">
        <f t="shared" ref="C168:L178" si="50">D151/D$162</f>
        <v>4.5283934156472173E-2</v>
      </c>
      <c r="E168" s="1089">
        <f t="shared" si="50"/>
        <v>6.7148553511805237E-2</v>
      </c>
      <c r="F168" s="1089">
        <f t="shared" si="50"/>
        <v>6.2775153948594676E-4</v>
      </c>
      <c r="G168" s="1089">
        <f t="shared" si="50"/>
        <v>9.004947288819995E-3</v>
      </c>
      <c r="H168" s="1089">
        <f t="shared" si="50"/>
        <v>0.12591814997419998</v>
      </c>
      <c r="I168" s="1089">
        <f t="shared" si="50"/>
        <v>3.3012077620900187E-3</v>
      </c>
      <c r="J168" s="1089">
        <f t="shared" si="50"/>
        <v>-5.5159764268239986E-3</v>
      </c>
      <c r="K168" s="1089">
        <f t="shared" si="50"/>
        <v>6.5028370494933957E-2</v>
      </c>
      <c r="L168" s="1089">
        <f t="shared" si="50"/>
        <v>3.0177195096911E-2</v>
      </c>
      <c r="M168" s="1082"/>
    </row>
    <row r="169" spans="1:14" s="467" customFormat="1" ht="13">
      <c r="A169" s="553">
        <f t="shared" si="49"/>
        <v>95</v>
      </c>
      <c r="B169" s="704" t="s">
        <v>2556</v>
      </c>
      <c r="C169" s="1089">
        <f t="shared" si="50"/>
        <v>0</v>
      </c>
      <c r="D169" s="1089">
        <f t="shared" si="50"/>
        <v>7.6066357979159546E-2</v>
      </c>
      <c r="E169" s="1089">
        <f t="shared" si="50"/>
        <v>0.10908014912560157</v>
      </c>
      <c r="F169" s="1089">
        <f t="shared" si="50"/>
        <v>6.7670150126017112E-2</v>
      </c>
      <c r="G169" s="1089">
        <f t="shared" si="50"/>
        <v>0.11621308462579481</v>
      </c>
      <c r="H169" s="1089">
        <f t="shared" si="50"/>
        <v>0.13710750555002885</v>
      </c>
      <c r="I169" s="1089">
        <f t="shared" si="50"/>
        <v>1.1659351827088002E-2</v>
      </c>
      <c r="J169" s="1089">
        <f t="shared" si="50"/>
        <v>1.4945039799378399</v>
      </c>
      <c r="K169" s="1089">
        <f t="shared" si="50"/>
        <v>1.2688219258016615</v>
      </c>
      <c r="L169" s="1089">
        <f t="shared" si="50"/>
        <v>3.6715920819669809E-3</v>
      </c>
      <c r="M169" s="1082"/>
    </row>
    <row r="170" spans="1:14" s="467" customFormat="1" ht="13">
      <c r="A170" s="553">
        <f t="shared" si="49"/>
        <v>96</v>
      </c>
      <c r="B170" s="705" t="s">
        <v>2557</v>
      </c>
      <c r="C170" s="1089">
        <f t="shared" si="50"/>
        <v>5.2259072793473582E-2</v>
      </c>
      <c r="D170" s="1089">
        <f t="shared" si="50"/>
        <v>-9.6042822354992383E-2</v>
      </c>
      <c r="E170" s="1089">
        <f t="shared" si="50"/>
        <v>3.5533240743481766E-3</v>
      </c>
      <c r="F170" s="1089">
        <f t="shared" si="50"/>
        <v>7.3626988228360404E-2</v>
      </c>
      <c r="G170" s="1089">
        <f t="shared" si="50"/>
        <v>0.121693607515071</v>
      </c>
      <c r="H170" s="1089">
        <f t="shared" si="50"/>
        <v>7.0777338482083424E-2</v>
      </c>
      <c r="I170" s="1089">
        <f t="shared" si="50"/>
        <v>0.18469093242746426</v>
      </c>
      <c r="J170" s="1089">
        <f t="shared" si="50"/>
        <v>3.2934302945817173E-2</v>
      </c>
      <c r="K170" s="1089">
        <f t="shared" si="50"/>
        <v>1.8436561385442245E-2</v>
      </c>
      <c r="L170" s="1089">
        <f t="shared" si="50"/>
        <v>5.450430188119397E-2</v>
      </c>
      <c r="M170" s="1082"/>
    </row>
    <row r="171" spans="1:14" s="467" customFormat="1" ht="13">
      <c r="A171" s="553">
        <f t="shared" si="49"/>
        <v>97</v>
      </c>
      <c r="B171" s="704" t="s">
        <v>2558</v>
      </c>
      <c r="C171" s="1089">
        <f t="shared" si="50"/>
        <v>3.0405654579980174E-3</v>
      </c>
      <c r="D171" s="1089">
        <f t="shared" si="50"/>
        <v>7.6392131821346881E-2</v>
      </c>
      <c r="E171" s="1089">
        <f t="shared" si="50"/>
        <v>7.4813303538407427E-2</v>
      </c>
      <c r="F171" s="1089">
        <f t="shared" si="50"/>
        <v>0.14687132115663745</v>
      </c>
      <c r="G171" s="1089">
        <f t="shared" si="50"/>
        <v>3.0594531336226999E-2</v>
      </c>
      <c r="H171" s="1089">
        <f t="shared" si="50"/>
        <v>7.2571035475635523E-2</v>
      </c>
      <c r="I171" s="1089">
        <f t="shared" si="50"/>
        <v>0.25564017095437985</v>
      </c>
      <c r="J171" s="1089">
        <f t="shared" si="50"/>
        <v>0.62423704855922169</v>
      </c>
      <c r="K171" s="1089">
        <f t="shared" si="50"/>
        <v>0.2782749795330739</v>
      </c>
      <c r="L171" s="1089">
        <f t="shared" si="50"/>
        <v>0.45596828988740096</v>
      </c>
      <c r="M171" s="1082"/>
    </row>
    <row r="172" spans="1:14" s="467" customFormat="1" ht="13">
      <c r="A172" s="553">
        <f t="shared" si="49"/>
        <v>98</v>
      </c>
      <c r="B172" s="704" t="s">
        <v>2559</v>
      </c>
      <c r="C172" s="1089">
        <f t="shared" si="50"/>
        <v>-9.984181537333308E-4</v>
      </c>
      <c r="D172" s="1089">
        <f t="shared" si="50"/>
        <v>0.30553219760206346</v>
      </c>
      <c r="E172" s="1089">
        <f t="shared" si="50"/>
        <v>9.686090592991586E-3</v>
      </c>
      <c r="F172" s="1089">
        <f t="shared" si="50"/>
        <v>2.5119736001023761E-2</v>
      </c>
      <c r="G172" s="1089">
        <f t="shared" si="50"/>
        <v>0.12546653445370501</v>
      </c>
      <c r="H172" s="1089">
        <f t="shared" si="50"/>
        <v>7.1515053258186537E-2</v>
      </c>
      <c r="I172" s="1089">
        <f t="shared" si="50"/>
        <v>9.7264485164148456E-2</v>
      </c>
      <c r="J172" s="1089">
        <f t="shared" si="50"/>
        <v>-2.776183076238119</v>
      </c>
      <c r="K172" s="1089">
        <f t="shared" si="50"/>
        <v>-1.379971864659872</v>
      </c>
      <c r="L172" s="1089">
        <f t="shared" si="50"/>
        <v>-1.9249288257515858E-3</v>
      </c>
      <c r="M172" s="1082"/>
    </row>
    <row r="173" spans="1:14" s="467" customFormat="1" ht="13">
      <c r="A173" s="553">
        <f t="shared" si="49"/>
        <v>99</v>
      </c>
      <c r="B173" s="705" t="s">
        <v>2560</v>
      </c>
      <c r="C173" s="1089">
        <f t="shared" si="50"/>
        <v>0</v>
      </c>
      <c r="D173" s="1089">
        <f t="shared" si="50"/>
        <v>0.15663600565115707</v>
      </c>
      <c r="E173" s="1089">
        <f t="shared" si="50"/>
        <v>7.3961589470693092E-3</v>
      </c>
      <c r="F173" s="1089">
        <f t="shared" si="50"/>
        <v>2.5347936475558757E-2</v>
      </c>
      <c r="G173" s="1089">
        <f t="shared" si="50"/>
        <v>4.1484885280788406E-2</v>
      </c>
      <c r="H173" s="1089">
        <f t="shared" si="50"/>
        <v>8.0119361793761057E-2</v>
      </c>
      <c r="I173" s="1089">
        <f t="shared" si="50"/>
        <v>1.4921103568743068E-2</v>
      </c>
      <c r="J173" s="1089">
        <f t="shared" si="50"/>
        <v>0.60373430770611247</v>
      </c>
      <c r="K173" s="1089">
        <f t="shared" si="50"/>
        <v>-0.71388015015986239</v>
      </c>
      <c r="L173" s="1089">
        <f t="shared" si="50"/>
        <v>2.108716602518549E-3</v>
      </c>
      <c r="M173" s="1082"/>
    </row>
    <row r="174" spans="1:14" s="467" customFormat="1" ht="13">
      <c r="A174" s="553">
        <f t="shared" si="49"/>
        <v>100</v>
      </c>
      <c r="B174" s="704" t="s">
        <v>2561</v>
      </c>
      <c r="C174" s="1089">
        <f t="shared" si="50"/>
        <v>0</v>
      </c>
      <c r="D174" s="1089">
        <f t="shared" si="50"/>
        <v>4.6839657844687134E-4</v>
      </c>
      <c r="E174" s="1089">
        <f t="shared" si="50"/>
        <v>0.23079294227325831</v>
      </c>
      <c r="F174" s="1089">
        <f t="shared" si="50"/>
        <v>0.14639379102960479</v>
      </c>
      <c r="G174" s="1089">
        <f t="shared" si="50"/>
        <v>6.5987198358731139E-2</v>
      </c>
      <c r="H174" s="1089">
        <f t="shared" si="50"/>
        <v>4.5774148602250375E-2</v>
      </c>
      <c r="I174" s="1089">
        <f t="shared" si="50"/>
        <v>-1.4085417533429123E-2</v>
      </c>
      <c r="J174" s="1089">
        <f t="shared" si="50"/>
        <v>2.1073405520642891E-4</v>
      </c>
      <c r="K174" s="1089">
        <f t="shared" si="50"/>
        <v>0.79862369828990631</v>
      </c>
      <c r="L174" s="1089">
        <f t="shared" si="50"/>
        <v>4.0874869491382945E-4</v>
      </c>
      <c r="M174" s="1082"/>
    </row>
    <row r="175" spans="1:14" s="467" customFormat="1" ht="13">
      <c r="A175" s="553">
        <f t="shared" si="49"/>
        <v>101</v>
      </c>
      <c r="B175" s="704" t="s">
        <v>2562</v>
      </c>
      <c r="C175" s="1089">
        <f t="shared" si="50"/>
        <v>5.3530606285733255E-4</v>
      </c>
      <c r="D175" s="1089">
        <f t="shared" si="50"/>
        <v>0.24260724085058696</v>
      </c>
      <c r="E175" s="1089">
        <f t="shared" si="50"/>
        <v>2.0337457085401588E-2</v>
      </c>
      <c r="F175" s="1089">
        <f t="shared" si="50"/>
        <v>3.5051085341818056E-2</v>
      </c>
      <c r="G175" s="1089">
        <f t="shared" si="50"/>
        <v>0.43353980563093547</v>
      </c>
      <c r="H175" s="1089">
        <f t="shared" si="50"/>
        <v>5.5155073727196087E-2</v>
      </c>
      <c r="I175" s="1089">
        <f t="shared" si="50"/>
        <v>0.10278649060546297</v>
      </c>
      <c r="J175" s="1089">
        <f t="shared" si="50"/>
        <v>0.1134095070231257</v>
      </c>
      <c r="K175" s="1089">
        <f t="shared" si="50"/>
        <v>0.47047863591321148</v>
      </c>
      <c r="L175" s="1089">
        <f t="shared" si="50"/>
        <v>2.9377343339030602E-3</v>
      </c>
      <c r="M175" s="1082"/>
    </row>
    <row r="176" spans="1:14" s="467" customFormat="1" ht="13">
      <c r="A176" s="553">
        <f t="shared" si="49"/>
        <v>102</v>
      </c>
      <c r="B176" s="705" t="s">
        <v>2563</v>
      </c>
      <c r="C176" s="1089">
        <f t="shared" si="50"/>
        <v>-3.6365743102345584E-4</v>
      </c>
      <c r="D176" s="1089">
        <f t="shared" si="50"/>
        <v>5.5958762008581856E-3</v>
      </c>
      <c r="E176" s="1089">
        <f t="shared" si="50"/>
        <v>9.8135609677893754E-3</v>
      </c>
      <c r="F176" s="1089">
        <f t="shared" si="50"/>
        <v>4.5596201214495639E-2</v>
      </c>
      <c r="G176" s="1089">
        <f t="shared" si="50"/>
        <v>3.6917550394938187E-2</v>
      </c>
      <c r="H176" s="1089">
        <f t="shared" si="50"/>
        <v>7.2228416898204237E-2</v>
      </c>
      <c r="I176" s="1089">
        <f t="shared" si="50"/>
        <v>0.27994803317675698</v>
      </c>
      <c r="J176" s="1089">
        <f t="shared" si="50"/>
        <v>0.33355476042933146</v>
      </c>
      <c r="K176" s="1089">
        <f t="shared" si="50"/>
        <v>0.23447317331272649</v>
      </c>
      <c r="L176" s="1089">
        <f t="shared" si="50"/>
        <v>0.12703848693265535</v>
      </c>
      <c r="M176" s="1082"/>
    </row>
    <row r="177" spans="1:13" s="467" customFormat="1" ht="13">
      <c r="A177" s="553">
        <f t="shared" si="49"/>
        <v>103</v>
      </c>
      <c r="B177" s="705" t="s">
        <v>2564</v>
      </c>
      <c r="C177" s="1089">
        <f t="shared" si="50"/>
        <v>0.94672141525112841</v>
      </c>
      <c r="D177" s="1089">
        <f t="shared" si="50"/>
        <v>-2.8974557995447934E-2</v>
      </c>
      <c r="E177" s="1089">
        <f t="shared" si="50"/>
        <v>-1.7118924302309754E-3</v>
      </c>
      <c r="F177" s="1089">
        <f t="shared" si="50"/>
        <v>4.8456388949455781E-2</v>
      </c>
      <c r="G177" s="1089">
        <f t="shared" si="50"/>
        <v>4.3124750026225435E-2</v>
      </c>
      <c r="H177" s="1089">
        <f t="shared" si="50"/>
        <v>8.0099089659661227E-2</v>
      </c>
      <c r="I177" s="1089">
        <f t="shared" si="50"/>
        <v>2.338455996085255E-2</v>
      </c>
      <c r="J177" s="1089">
        <f t="shared" si="50"/>
        <v>1.9183401024846124E-2</v>
      </c>
      <c r="K177" s="1089">
        <f t="shared" si="50"/>
        <v>3.1424860001533356E-2</v>
      </c>
      <c r="L177" s="1089">
        <f t="shared" si="50"/>
        <v>0.30286174040609265</v>
      </c>
      <c r="M177" s="1082"/>
    </row>
    <row r="178" spans="1:13" s="467" customFormat="1" ht="13">
      <c r="A178" s="553">
        <f t="shared" si="49"/>
        <v>104</v>
      </c>
      <c r="B178" s="704" t="s">
        <v>2553</v>
      </c>
      <c r="C178" s="1089">
        <f t="shared" si="50"/>
        <v>-9.2684886044791081E-4</v>
      </c>
      <c r="D178" s="1089">
        <f t="shared" si="50"/>
        <v>0.31379667027401942</v>
      </c>
      <c r="E178" s="1089">
        <f t="shared" si="50"/>
        <v>0.42999828626077241</v>
      </c>
      <c r="F178" s="1089">
        <f t="shared" si="50"/>
        <v>0.36548208904277807</v>
      </c>
      <c r="G178" s="1089">
        <f t="shared" si="50"/>
        <v>4.6707188970804669E-2</v>
      </c>
      <c r="H178" s="1089">
        <f t="shared" si="50"/>
        <v>0.11624093277760139</v>
      </c>
      <c r="I178" s="1089">
        <f t="shared" si="50"/>
        <v>-6.9031080441003603E-3</v>
      </c>
      <c r="J178" s="1089">
        <f t="shared" si="50"/>
        <v>0.54715197757691625</v>
      </c>
      <c r="K178" s="1089">
        <f t="shared" si="50"/>
        <v>-3.5009820646192388E-2</v>
      </c>
      <c r="L178" s="1089">
        <f t="shared" si="50"/>
        <v>1.7652665552180424E-2</v>
      </c>
      <c r="M178" s="1082"/>
    </row>
    <row r="180" spans="1:13" ht="13">
      <c r="B180" s="1" t="s">
        <v>2790</v>
      </c>
    </row>
    <row r="181" spans="1:13">
      <c r="B181" s="471" t="s">
        <v>2356</v>
      </c>
    </row>
    <row r="182" spans="1:13" ht="13">
      <c r="B182" s="16"/>
      <c r="C182" s="84">
        <v>350.1</v>
      </c>
      <c r="D182" s="84">
        <v>350.2</v>
      </c>
      <c r="E182" s="84">
        <v>352</v>
      </c>
      <c r="F182" s="84">
        <v>353</v>
      </c>
      <c r="G182" s="84">
        <v>354</v>
      </c>
      <c r="H182" s="84">
        <v>355</v>
      </c>
      <c r="I182" s="84">
        <v>356</v>
      </c>
      <c r="J182" s="84">
        <v>357</v>
      </c>
      <c r="K182" s="84">
        <v>358</v>
      </c>
      <c r="L182" s="84">
        <v>359</v>
      </c>
      <c r="M182" s="3" t="s">
        <v>196</v>
      </c>
    </row>
    <row r="183" spans="1:13" ht="13">
      <c r="A183" s="553">
        <f>A178+1</f>
        <v>105</v>
      </c>
      <c r="B183" s="16"/>
      <c r="C183" s="7">
        <f t="shared" ref="C183:L183" si="51">C24-C12</f>
        <v>1370259.3707255274</v>
      </c>
      <c r="D183" s="7">
        <f t="shared" si="51"/>
        <v>470619.14158222079</v>
      </c>
      <c r="E183" s="7">
        <f t="shared" si="51"/>
        <v>97555261.284875631</v>
      </c>
      <c r="F183" s="7">
        <f t="shared" si="51"/>
        <v>255170602.64577246</v>
      </c>
      <c r="G183" s="7">
        <f t="shared" si="51"/>
        <v>20414982.796180248</v>
      </c>
      <c r="H183" s="7">
        <f t="shared" si="51"/>
        <v>21458728.125070572</v>
      </c>
      <c r="I183" s="7">
        <f t="shared" si="51"/>
        <v>96503828.565033674</v>
      </c>
      <c r="J183" s="7">
        <f t="shared" si="51"/>
        <v>24477499.526364118</v>
      </c>
      <c r="K183" s="7">
        <f t="shared" si="51"/>
        <v>-24737653.393757269</v>
      </c>
      <c r="L183" s="7">
        <f t="shared" si="51"/>
        <v>5367995.4930346608</v>
      </c>
      <c r="M183" s="7">
        <f>M24-M12</f>
        <v>498052123.55488014</v>
      </c>
    </row>
    <row r="184" spans="1:13">
      <c r="B184" s="16"/>
      <c r="C184" s="7"/>
      <c r="D184" s="7"/>
      <c r="E184" s="7"/>
      <c r="F184" s="7"/>
      <c r="G184" s="7"/>
      <c r="H184" s="7"/>
      <c r="I184" s="7"/>
      <c r="J184" s="7"/>
      <c r="K184" s="7"/>
      <c r="L184" s="7"/>
      <c r="M184" s="7"/>
    </row>
    <row r="185" spans="1:13">
      <c r="B185" s="471" t="s">
        <v>2357</v>
      </c>
      <c r="C185" s="7"/>
      <c r="D185" s="7"/>
      <c r="E185" s="7"/>
      <c r="F185" s="7"/>
      <c r="G185" s="7"/>
      <c r="H185" s="7"/>
      <c r="I185" s="7"/>
      <c r="J185" s="7"/>
      <c r="K185" s="7"/>
      <c r="L185" s="7"/>
      <c r="M185" s="7"/>
    </row>
    <row r="186" spans="1:13" ht="13">
      <c r="B186" s="16"/>
      <c r="C186" s="84">
        <v>350.1</v>
      </c>
      <c r="D186" s="84">
        <v>350.2</v>
      </c>
      <c r="E186" s="84">
        <v>352</v>
      </c>
      <c r="F186" s="84">
        <v>353</v>
      </c>
      <c r="G186" s="84">
        <v>354</v>
      </c>
      <c r="H186" s="84">
        <v>355</v>
      </c>
      <c r="I186" s="84">
        <v>356</v>
      </c>
      <c r="J186" s="84">
        <v>357</v>
      </c>
      <c r="K186" s="84">
        <v>358</v>
      </c>
      <c r="L186" s="84">
        <v>359</v>
      </c>
      <c r="M186" s="3" t="s">
        <v>196</v>
      </c>
    </row>
    <row r="187" spans="1:13" ht="13">
      <c r="A187" s="553">
        <f>A183+1</f>
        <v>106</v>
      </c>
      <c r="B187" s="16"/>
      <c r="C187" s="7">
        <f>C143</f>
        <v>230777.11999999359</v>
      </c>
      <c r="D187" s="7">
        <f t="shared" ref="D187:M187" si="52">D143</f>
        <v>12647.819999992847</v>
      </c>
      <c r="E187" s="7">
        <f t="shared" si="52"/>
        <v>38952095.61134398</v>
      </c>
      <c r="F187" s="7">
        <f t="shared" si="52"/>
        <v>101922377.96986818</v>
      </c>
      <c r="G187" s="7">
        <f t="shared" si="52"/>
        <v>-8992400.0699994564</v>
      </c>
      <c r="H187" s="7">
        <f t="shared" si="52"/>
        <v>6913810.4900000393</v>
      </c>
      <c r="I187" s="7">
        <f t="shared" si="52"/>
        <v>9582198.1599999666</v>
      </c>
      <c r="J187" s="7">
        <f t="shared" si="52"/>
        <v>24477003.230000019</v>
      </c>
      <c r="K187" s="7">
        <f t="shared" si="52"/>
        <v>-24735220.949999988</v>
      </c>
      <c r="L187" s="7">
        <f t="shared" si="52"/>
        <v>3354651.8000000119</v>
      </c>
      <c r="M187" s="7">
        <f t="shared" si="52"/>
        <v>151717941.18121272</v>
      </c>
    </row>
    <row r="188" spans="1:13">
      <c r="B188" s="16"/>
      <c r="C188" s="7"/>
      <c r="D188" s="7"/>
      <c r="E188" s="7"/>
      <c r="F188" s="7"/>
      <c r="G188" s="7"/>
      <c r="H188" s="7"/>
      <c r="I188" s="7"/>
      <c r="J188" s="7"/>
      <c r="K188" s="7"/>
      <c r="L188" s="7"/>
      <c r="M188" s="7"/>
    </row>
    <row r="189" spans="1:13">
      <c r="B189" s="471" t="s">
        <v>2358</v>
      </c>
      <c r="C189" s="7"/>
      <c r="D189" s="7"/>
      <c r="E189" s="7"/>
      <c r="F189" s="7"/>
      <c r="G189" s="7"/>
      <c r="H189" s="7"/>
      <c r="I189" s="7"/>
      <c r="J189" s="7"/>
      <c r="K189" s="7"/>
      <c r="L189" s="7"/>
      <c r="M189" s="7"/>
    </row>
    <row r="190" spans="1:13" ht="13">
      <c r="C190" s="84">
        <v>350.1</v>
      </c>
      <c r="D190" s="84">
        <v>350.2</v>
      </c>
      <c r="E190" s="84">
        <v>352</v>
      </c>
      <c r="F190" s="84">
        <v>353</v>
      </c>
      <c r="G190" s="84">
        <v>354</v>
      </c>
      <c r="H190" s="84">
        <v>355</v>
      </c>
      <c r="I190" s="84">
        <v>356</v>
      </c>
      <c r="J190" s="84">
        <v>357</v>
      </c>
      <c r="K190" s="84">
        <v>358</v>
      </c>
      <c r="L190" s="84">
        <v>359</v>
      </c>
      <c r="M190" s="3" t="s">
        <v>196</v>
      </c>
    </row>
    <row r="191" spans="1:13" ht="13">
      <c r="A191" s="553">
        <f>A187+1</f>
        <v>107</v>
      </c>
      <c r="C191" s="7">
        <f>C183-C187</f>
        <v>1139482.2507255338</v>
      </c>
      <c r="D191" s="7">
        <f t="shared" ref="D191:M191" si="53">D183-D187</f>
        <v>457971.32158222795</v>
      </c>
      <c r="E191" s="7">
        <f t="shared" si="53"/>
        <v>58603165.673531651</v>
      </c>
      <c r="F191" s="7">
        <f t="shared" si="53"/>
        <v>153248224.67590427</v>
      </c>
      <c r="G191" s="7">
        <f t="shared" si="53"/>
        <v>29407382.866179705</v>
      </c>
      <c r="H191" s="7">
        <f t="shared" si="53"/>
        <v>14544917.635070533</v>
      </c>
      <c r="I191" s="7">
        <f t="shared" si="53"/>
        <v>86921630.405033708</v>
      </c>
      <c r="J191" s="7">
        <f t="shared" si="53"/>
        <v>496.29636409878731</v>
      </c>
      <c r="K191" s="7">
        <f t="shared" si="53"/>
        <v>-2432.4437572807074</v>
      </c>
      <c r="L191" s="7">
        <f t="shared" si="53"/>
        <v>2013343.6930346489</v>
      </c>
      <c r="M191" s="7">
        <f t="shared" si="53"/>
        <v>346334182.37366742</v>
      </c>
    </row>
    <row r="193" spans="1:14" ht="13">
      <c r="B193" s="44" t="s">
        <v>2791</v>
      </c>
      <c r="C193" s="14"/>
      <c r="D193" s="14"/>
      <c r="E193" s="14"/>
      <c r="F193" s="14"/>
      <c r="G193" s="14"/>
    </row>
    <row r="194" spans="1:14" ht="13">
      <c r="A194" s="386"/>
      <c r="B194" s="352" t="s">
        <v>358</v>
      </c>
      <c r="C194" s="352" t="s">
        <v>342</v>
      </c>
      <c r="D194" s="352" t="s">
        <v>343</v>
      </c>
      <c r="E194" s="352" t="s">
        <v>344</v>
      </c>
      <c r="F194" s="352" t="s">
        <v>345</v>
      </c>
      <c r="G194" s="352" t="s">
        <v>346</v>
      </c>
      <c r="H194" s="84" t="s">
        <v>347</v>
      </c>
      <c r="I194" s="84" t="s">
        <v>534</v>
      </c>
      <c r="J194" s="84" t="s">
        <v>951</v>
      </c>
      <c r="K194" s="84" t="s">
        <v>963</v>
      </c>
      <c r="L194" s="84" t="s">
        <v>966</v>
      </c>
      <c r="M194" s="84" t="s">
        <v>984</v>
      </c>
    </row>
    <row r="195" spans="1:14" ht="13">
      <c r="A195" s="228"/>
      <c r="B195" s="442"/>
      <c r="C195" s="236"/>
      <c r="D195" s="236"/>
      <c r="E195" s="236"/>
      <c r="F195" s="504"/>
      <c r="G195" s="236"/>
      <c r="H195" s="228"/>
      <c r="I195" s="228"/>
      <c r="J195" s="228"/>
      <c r="K195" s="228"/>
      <c r="L195" s="228"/>
      <c r="M195" s="244" t="s">
        <v>1216</v>
      </c>
    </row>
    <row r="196" spans="1:14" ht="13">
      <c r="A196" s="228"/>
      <c r="B196" s="110"/>
      <c r="C196" s="352"/>
      <c r="D196" s="352"/>
      <c r="E196" s="236"/>
      <c r="F196" s="236"/>
      <c r="G196" s="236"/>
      <c r="H196" s="228"/>
      <c r="I196" s="228"/>
      <c r="J196" s="228"/>
      <c r="K196" s="228"/>
      <c r="L196" s="228"/>
    </row>
    <row r="197" spans="1:14" ht="13">
      <c r="A197" s="51"/>
      <c r="B197" s="123" t="s">
        <v>1750</v>
      </c>
      <c r="C197" s="352">
        <v>350.1</v>
      </c>
      <c r="D197" s="352">
        <v>350.2</v>
      </c>
      <c r="E197" s="352">
        <v>352</v>
      </c>
      <c r="F197" s="352">
        <v>353</v>
      </c>
      <c r="G197" s="352">
        <v>354</v>
      </c>
      <c r="H197" s="84">
        <v>355</v>
      </c>
      <c r="I197" s="84">
        <v>356</v>
      </c>
      <c r="J197" s="84">
        <v>357</v>
      </c>
      <c r="K197" s="84">
        <v>358</v>
      </c>
      <c r="L197" s="84">
        <v>359</v>
      </c>
      <c r="M197" s="3" t="s">
        <v>196</v>
      </c>
    </row>
    <row r="198" spans="1:14" ht="13">
      <c r="A198" s="553">
        <f>A191+1</f>
        <v>108</v>
      </c>
      <c r="B198" s="705" t="s">
        <v>2554</v>
      </c>
      <c r="C198" s="481">
        <f>C$191*C167</f>
        <v>-304.73757275474856</v>
      </c>
      <c r="D198" s="481">
        <f t="shared" ref="D198:L198" si="54">D$191*D167</f>
        <v>-44588.743117974656</v>
      </c>
      <c r="E198" s="481">
        <f t="shared" si="54"/>
        <v>2290918.8234120589</v>
      </c>
      <c r="F198" s="481">
        <f t="shared" si="54"/>
        <v>3027657.8828240107</v>
      </c>
      <c r="G198" s="481">
        <f t="shared" si="54"/>
        <v>-2080104.2864076542</v>
      </c>
      <c r="H198" s="481">
        <f t="shared" si="54"/>
        <v>1054417.7143838776</v>
      </c>
      <c r="I198" s="481">
        <f t="shared" si="54"/>
        <v>4119406.4346121703</v>
      </c>
      <c r="J198" s="481">
        <f t="shared" si="54"/>
        <v>6.3421878163556737</v>
      </c>
      <c r="K198" s="481">
        <f t="shared" si="54"/>
        <v>89.271584112346616</v>
      </c>
      <c r="L198" s="481">
        <f t="shared" si="54"/>
        <v>9252.2350843420863</v>
      </c>
      <c r="M198" s="481">
        <f t="shared" ref="M198:M210" si="55">SUM(C198:L198)</f>
        <v>8376750.936990004</v>
      </c>
      <c r="N198" s="14"/>
    </row>
    <row r="199" spans="1:14" ht="13">
      <c r="A199" s="553">
        <f t="shared" ref="A199:A210" si="56">A198+1</f>
        <v>109</v>
      </c>
      <c r="B199" s="704" t="s">
        <v>2555</v>
      </c>
      <c r="C199" s="481">
        <f t="shared" ref="C199:L209" si="57">C$191*C168</f>
        <v>6.1667441106960866E-9</v>
      </c>
      <c r="D199" s="481">
        <f t="shared" si="57"/>
        <v>20738.743172082155</v>
      </c>
      <c r="E199" s="481">
        <f t="shared" si="57"/>
        <v>3935117.8061903277</v>
      </c>
      <c r="F199" s="481">
        <f t="shared" si="57"/>
        <v>96201.80896378716</v>
      </c>
      <c r="G199" s="481">
        <f t="shared" si="57"/>
        <v>264811.93261209648</v>
      </c>
      <c r="H199" s="481">
        <f t="shared" si="57"/>
        <v>1831469.1201351974</v>
      </c>
      <c r="I199" s="481">
        <f t="shared" si="57"/>
        <v>286946.36098661704</v>
      </c>
      <c r="J199" s="481">
        <f t="shared" si="57"/>
        <v>-2.7375590450873712</v>
      </c>
      <c r="K199" s="481">
        <f t="shared" si="57"/>
        <v>-158.17785385653906</v>
      </c>
      <c r="L199" s="481">
        <f t="shared" si="57"/>
        <v>60757.065421841893</v>
      </c>
      <c r="M199" s="481">
        <f t="shared" si="55"/>
        <v>6495881.922069056</v>
      </c>
      <c r="N199" s="14"/>
    </row>
    <row r="200" spans="1:14" ht="13">
      <c r="A200" s="553">
        <f t="shared" si="56"/>
        <v>110</v>
      </c>
      <c r="B200" s="704" t="s">
        <v>2556</v>
      </c>
      <c r="C200" s="481">
        <f t="shared" si="57"/>
        <v>0</v>
      </c>
      <c r="D200" s="481">
        <f t="shared" si="57"/>
        <v>34836.210491662547</v>
      </c>
      <c r="E200" s="481">
        <f t="shared" si="57"/>
        <v>6392442.050901168</v>
      </c>
      <c r="F200" s="481">
        <f t="shared" si="57"/>
        <v>10370330.370364042</v>
      </c>
      <c r="G200" s="481">
        <f t="shared" si="57"/>
        <v>3417522.6736504906</v>
      </c>
      <c r="H200" s="481">
        <f t="shared" si="57"/>
        <v>1994217.3753751456</v>
      </c>
      <c r="I200" s="481">
        <f t="shared" si="57"/>
        <v>1013449.8702763978</v>
      </c>
      <c r="J200" s="481">
        <f t="shared" si="57"/>
        <v>741.7168913743169</v>
      </c>
      <c r="K200" s="481">
        <f t="shared" si="57"/>
        <v>-3086.3379725171367</v>
      </c>
      <c r="L200" s="481">
        <f t="shared" si="57"/>
        <v>7392.1767616241768</v>
      </c>
      <c r="M200" s="481">
        <f t="shared" si="55"/>
        <v>23227846.106739387</v>
      </c>
      <c r="N200" s="14"/>
    </row>
    <row r="201" spans="1:14" ht="13">
      <c r="A201" s="553">
        <f t="shared" si="56"/>
        <v>111</v>
      </c>
      <c r="B201" s="705" t="s">
        <v>2557</v>
      </c>
      <c r="C201" s="481">
        <f t="shared" si="57"/>
        <v>59548.285887536789</v>
      </c>
      <c r="D201" s="481">
        <f t="shared" si="57"/>
        <v>-43984.858282403009</v>
      </c>
      <c r="E201" s="481">
        <f t="shared" si="57"/>
        <v>208236.0394207747</v>
      </c>
      <c r="F201" s="481">
        <f t="shared" si="57"/>
        <v>11283205.234229935</v>
      </c>
      <c r="G201" s="481">
        <f t="shared" si="57"/>
        <v>3578690.5085622966</v>
      </c>
      <c r="H201" s="481">
        <f t="shared" si="57"/>
        <v>1029450.5586514114</v>
      </c>
      <c r="I201" s="481">
        <f t="shared" si="57"/>
        <v>16053636.967621103</v>
      </c>
      <c r="J201" s="481">
        <f t="shared" si="57"/>
        <v>16.345174806137042</v>
      </c>
      <c r="K201" s="481">
        <f t="shared" si="57"/>
        <v>-44.845898647741535</v>
      </c>
      <c r="L201" s="481">
        <f t="shared" si="57"/>
        <v>109735.89243575843</v>
      </c>
      <c r="M201" s="481">
        <f t="shared" si="55"/>
        <v>32278490.127802569</v>
      </c>
      <c r="N201" s="14"/>
    </row>
    <row r="202" spans="1:14" ht="13">
      <c r="A202" s="553">
        <f t="shared" si="56"/>
        <v>112</v>
      </c>
      <c r="B202" s="704" t="s">
        <v>2558</v>
      </c>
      <c r="C202" s="481">
        <f t="shared" si="57"/>
        <v>3464.6703715578942</v>
      </c>
      <c r="D202" s="481">
        <f t="shared" si="57"/>
        <v>34985.405568706003</v>
      </c>
      <c r="E202" s="481">
        <f t="shared" si="57"/>
        <v>4384296.4218455022</v>
      </c>
      <c r="F202" s="481">
        <f t="shared" si="57"/>
        <v>22507769.223059271</v>
      </c>
      <c r="G202" s="481">
        <f t="shared" si="57"/>
        <v>899705.09661575989</v>
      </c>
      <c r="H202" s="481">
        <f t="shared" si="57"/>
        <v>1055539.7336849004</v>
      </c>
      <c r="I202" s="481">
        <f t="shared" si="57"/>
        <v>22220660.45637624</v>
      </c>
      <c r="J202" s="481">
        <f t="shared" si="57"/>
        <v>309.80657753569989</v>
      </c>
      <c r="K202" s="481">
        <f t="shared" si="57"/>
        <v>-676.88823677264224</v>
      </c>
      <c r="L202" s="481">
        <f t="shared" si="57"/>
        <v>918020.88066859322</v>
      </c>
      <c r="M202" s="481">
        <f t="shared" si="55"/>
        <v>52024074.806531295</v>
      </c>
      <c r="N202" s="14"/>
    </row>
    <row r="203" spans="1:14" ht="13">
      <c r="A203" s="553">
        <f t="shared" si="56"/>
        <v>113</v>
      </c>
      <c r="B203" s="704" t="s">
        <v>2559</v>
      </c>
      <c r="C203" s="481">
        <f t="shared" si="57"/>
        <v>-1137.6797649812879</v>
      </c>
      <c r="D203" s="481">
        <f t="shared" si="57"/>
        <v>139924.98432173941</v>
      </c>
      <c r="E203" s="481">
        <f t="shared" si="57"/>
        <v>567635.57174992235</v>
      </c>
      <c r="F203" s="481">
        <f t="shared" si="57"/>
        <v>3849554.9464842905</v>
      </c>
      <c r="G203" s="481">
        <f t="shared" si="57"/>
        <v>3689642.4155728305</v>
      </c>
      <c r="H203" s="481">
        <f t="shared" si="57"/>
        <v>1040180.5593080057</v>
      </c>
      <c r="I203" s="481">
        <f t="shared" si="57"/>
        <v>8454387.6309739966</v>
      </c>
      <c r="J203" s="481">
        <f t="shared" si="57"/>
        <v>-1377.809566809565</v>
      </c>
      <c r="K203" s="481">
        <f t="shared" si="57"/>
        <v>3356.7039474149228</v>
      </c>
      <c r="L203" s="481">
        <f t="shared" si="57"/>
        <v>-3875.5433108675479</v>
      </c>
      <c r="M203" s="481">
        <f t="shared" si="55"/>
        <v>17738291.779715542</v>
      </c>
      <c r="N203" s="14"/>
    </row>
    <row r="204" spans="1:14" ht="13">
      <c r="A204" s="553">
        <f t="shared" si="56"/>
        <v>114</v>
      </c>
      <c r="B204" s="705" t="s">
        <v>2560</v>
      </c>
      <c r="C204" s="481">
        <f t="shared" si="57"/>
        <v>0</v>
      </c>
      <c r="D204" s="481">
        <f t="shared" si="57"/>
        <v>71734.798515421731</v>
      </c>
      <c r="E204" s="481">
        <f t="shared" si="57"/>
        <v>433438.32812287612</v>
      </c>
      <c r="F204" s="481">
        <f t="shared" si="57"/>
        <v>3884526.2640769775</v>
      </c>
      <c r="G204" s="481">
        <f t="shared" si="57"/>
        <v>1219961.9046116876</v>
      </c>
      <c r="H204" s="481">
        <f t="shared" si="57"/>
        <v>1165329.5182646716</v>
      </c>
      <c r="I204" s="481">
        <f t="shared" si="57"/>
        <v>1296966.6496375145</v>
      </c>
      <c r="J204" s="481">
        <f t="shared" si="57"/>
        <v>299.6311417962421</v>
      </c>
      <c r="K204" s="481">
        <f t="shared" si="57"/>
        <v>1736.4733147029713</v>
      </c>
      <c r="L204" s="481">
        <f t="shared" si="57"/>
        <v>4245.571272078173</v>
      </c>
      <c r="M204" s="481">
        <f t="shared" si="55"/>
        <v>8078239.1389577258</v>
      </c>
      <c r="N204" s="14"/>
    </row>
    <row r="205" spans="1:14" ht="13">
      <c r="A205" s="553">
        <f t="shared" si="56"/>
        <v>115</v>
      </c>
      <c r="B205" s="704" t="s">
        <v>2561</v>
      </c>
      <c r="C205" s="481">
        <f t="shared" si="57"/>
        <v>0</v>
      </c>
      <c r="D205" s="481">
        <f t="shared" si="57"/>
        <v>214.51220005590739</v>
      </c>
      <c r="E205" s="481">
        <f t="shared" si="57"/>
        <v>13525197.032321583</v>
      </c>
      <c r="F205" s="481">
        <f t="shared" si="57"/>
        <v>22434588.578862254</v>
      </c>
      <c r="G205" s="481">
        <f t="shared" si="57"/>
        <v>1940510.8064017517</v>
      </c>
      <c r="H205" s="481">
        <f t="shared" si="57"/>
        <v>665781.22123521066</v>
      </c>
      <c r="I205" s="481">
        <f t="shared" si="57"/>
        <v>-1224327.4569413078</v>
      </c>
      <c r="J205" s="481">
        <f t="shared" si="57"/>
        <v>0.10458654539074379</v>
      </c>
      <c r="K205" s="481">
        <f t="shared" si="57"/>
        <v>-1942.6072293217137</v>
      </c>
      <c r="L205" s="481">
        <f t="shared" si="57"/>
        <v>822.95160694090237</v>
      </c>
      <c r="M205" s="481">
        <f t="shared" si="55"/>
        <v>37340845.143043719</v>
      </c>
      <c r="N205" s="14"/>
    </row>
    <row r="206" spans="1:14" ht="13">
      <c r="A206" s="553">
        <f t="shared" si="56"/>
        <v>116</v>
      </c>
      <c r="B206" s="704" t="s">
        <v>2562</v>
      </c>
      <c r="C206" s="481">
        <f t="shared" si="57"/>
        <v>609.9717573316974</v>
      </c>
      <c r="D206" s="481">
        <f t="shared" si="57"/>
        <v>111107.15871776119</v>
      </c>
      <c r="E206" s="481">
        <f t="shared" si="57"/>
        <v>1191839.3669541294</v>
      </c>
      <c r="F206" s="481">
        <f t="shared" si="57"/>
        <v>5371516.6015972281</v>
      </c>
      <c r="G206" s="481">
        <f t="shared" si="57"/>
        <v>12749271.051918052</v>
      </c>
      <c r="H206" s="481">
        <f t="shared" si="57"/>
        <v>802226.00451830972</v>
      </c>
      <c r="I206" s="481">
        <f t="shared" si="57"/>
        <v>8934369.3470385205</v>
      </c>
      <c r="J206" s="481">
        <f t="shared" si="57"/>
        <v>56.284725989813168</v>
      </c>
      <c r="K206" s="481">
        <f t="shared" si="57"/>
        <v>-1144.4128208610341</v>
      </c>
      <c r="L206" s="481">
        <f t="shared" si="57"/>
        <v>5914.6688929750717</v>
      </c>
      <c r="M206" s="481">
        <f t="shared" si="55"/>
        <v>29165766.043299437</v>
      </c>
      <c r="N206" s="14"/>
    </row>
    <row r="207" spans="1:14" ht="13">
      <c r="A207" s="553">
        <f t="shared" si="56"/>
        <v>117</v>
      </c>
      <c r="B207" s="705" t="s">
        <v>2563</v>
      </c>
      <c r="C207" s="481">
        <f t="shared" si="57"/>
        <v>-414.38118799567303</v>
      </c>
      <c r="D207" s="481">
        <f t="shared" si="57"/>
        <v>2562.7508191175602</v>
      </c>
      <c r="E207" s="481">
        <f t="shared" si="57"/>
        <v>575105.73924266442</v>
      </c>
      <c r="F207" s="481">
        <f t="shared" si="57"/>
        <v>6987536.8880867669</v>
      </c>
      <c r="G207" s="481">
        <f t="shared" si="57"/>
        <v>1085648.5389454311</v>
      </c>
      <c r="H207" s="481">
        <f t="shared" si="57"/>
        <v>1050556.3746959174</v>
      </c>
      <c r="I207" s="481">
        <f t="shared" si="57"/>
        <v>24333539.472406186</v>
      </c>
      <c r="J207" s="481">
        <f t="shared" si="57"/>
        <v>165.54201482891926</v>
      </c>
      <c r="K207" s="481">
        <f t="shared" si="57"/>
        <v>-570.34280667433893</v>
      </c>
      <c r="L207" s="481">
        <f t="shared" si="57"/>
        <v>255772.1364385263</v>
      </c>
      <c r="M207" s="481">
        <f t="shared" si="55"/>
        <v>34289902.718654774</v>
      </c>
      <c r="N207" s="14"/>
    </row>
    <row r="208" spans="1:14" ht="13">
      <c r="A208" s="553">
        <f t="shared" si="56"/>
        <v>118</v>
      </c>
      <c r="B208" s="705" t="s">
        <v>2564</v>
      </c>
      <c r="C208" s="481">
        <f t="shared" si="57"/>
        <v>1078772.2490604185</v>
      </c>
      <c r="D208" s="481">
        <f t="shared" si="57"/>
        <v>-13269.5166174362</v>
      </c>
      <c r="E208" s="481">
        <f t="shared" si="57"/>
        <v>-100322.31570409058</v>
      </c>
      <c r="F208" s="481">
        <f t="shared" si="57"/>
        <v>7425855.580709205</v>
      </c>
      <c r="G208" s="481">
        <f t="shared" si="57"/>
        <v>1268186.0350295047</v>
      </c>
      <c r="H208" s="481">
        <f t="shared" si="57"/>
        <v>1165034.6617439024</v>
      </c>
      <c r="I208" s="481">
        <f t="shared" si="57"/>
        <v>2032624.0781015749</v>
      </c>
      <c r="J208" s="481">
        <f t="shared" si="57"/>
        <v>9.5206521796800825</v>
      </c>
      <c r="K208" s="481">
        <f t="shared" si="57"/>
        <v>-76.439204534150008</v>
      </c>
      <c r="L208" s="481">
        <f t="shared" si="57"/>
        <v>609764.77490810375</v>
      </c>
      <c r="M208" s="481">
        <f t="shared" si="55"/>
        <v>13466578.628678827</v>
      </c>
      <c r="N208" s="14"/>
    </row>
    <row r="209" spans="1:44" ht="13">
      <c r="A209" s="553">
        <f t="shared" si="56"/>
        <v>119</v>
      </c>
      <c r="B209" s="704" t="s">
        <v>2553</v>
      </c>
      <c r="C209" s="111">
        <f t="shared" si="57"/>
        <v>-1056.1278255855816</v>
      </c>
      <c r="D209" s="111">
        <f t="shared" si="57"/>
        <v>143709.8757934953</v>
      </c>
      <c r="E209" s="111">
        <f t="shared" si="57"/>
        <v>25199260.809074733</v>
      </c>
      <c r="F209" s="111">
        <f t="shared" si="57"/>
        <v>56009481.296646506</v>
      </c>
      <c r="G209" s="111">
        <f t="shared" si="57"/>
        <v>1373536.1886674589</v>
      </c>
      <c r="H209" s="111">
        <f t="shared" si="57"/>
        <v>1690714.7930739827</v>
      </c>
      <c r="I209" s="111">
        <f t="shared" si="57"/>
        <v>-600029.40605530667</v>
      </c>
      <c r="J209" s="111">
        <f t="shared" si="57"/>
        <v>271.54953708088476</v>
      </c>
      <c r="K209" s="111">
        <f t="shared" si="57"/>
        <v>85.159419674347902</v>
      </c>
      <c r="L209" s="111">
        <f t="shared" si="57"/>
        <v>35540.882854732467</v>
      </c>
      <c r="M209" s="111">
        <f t="shared" si="55"/>
        <v>83851515.021186769</v>
      </c>
      <c r="N209" s="14"/>
    </row>
    <row r="210" spans="1:44" ht="13">
      <c r="A210" s="553">
        <f t="shared" si="56"/>
        <v>120</v>
      </c>
      <c r="B210" s="1067" t="s">
        <v>4</v>
      </c>
      <c r="C210" s="230">
        <f t="shared" ref="C210:L210" si="58">SUM(C198:C209)</f>
        <v>1139482.2507255336</v>
      </c>
      <c r="D210" s="230">
        <f t="shared" si="58"/>
        <v>457971.32158222795</v>
      </c>
      <c r="E210" s="230">
        <f t="shared" si="58"/>
        <v>58603165.673531651</v>
      </c>
      <c r="F210" s="230">
        <f t="shared" si="58"/>
        <v>153248224.67590427</v>
      </c>
      <c r="G210" s="230">
        <f t="shared" si="58"/>
        <v>29407382.866179708</v>
      </c>
      <c r="H210" s="230">
        <f t="shared" si="58"/>
        <v>14544917.635070531</v>
      </c>
      <c r="I210" s="230">
        <f t="shared" si="58"/>
        <v>86921630.405033708</v>
      </c>
      <c r="J210" s="230">
        <f t="shared" si="58"/>
        <v>496.29636409878714</v>
      </c>
      <c r="K210" s="230">
        <f t="shared" si="58"/>
        <v>-2432.4437572807078</v>
      </c>
      <c r="L210" s="230">
        <f t="shared" si="58"/>
        <v>2013343.6930346487</v>
      </c>
      <c r="M210" s="481">
        <f t="shared" si="55"/>
        <v>346334182.37366903</v>
      </c>
      <c r="N210" s="14"/>
    </row>
    <row r="211" spans="1:44">
      <c r="C211" s="14"/>
      <c r="D211" s="14"/>
      <c r="E211" s="14"/>
      <c r="F211" s="14"/>
      <c r="G211" s="14"/>
      <c r="H211" s="14"/>
      <c r="I211" s="14"/>
      <c r="J211" s="14"/>
      <c r="K211" s="14"/>
      <c r="L211" s="14"/>
      <c r="M211" s="14"/>
    </row>
    <row r="212" spans="1:44" ht="13">
      <c r="B212" s="389" t="s">
        <v>230</v>
      </c>
    </row>
    <row r="213" spans="1:44">
      <c r="B213" s="469" t="s">
        <v>1846</v>
      </c>
      <c r="C213" s="14"/>
      <c r="D213" s="14"/>
      <c r="E213" s="14"/>
      <c r="F213" s="14"/>
      <c r="G213" s="14"/>
      <c r="H213" s="14"/>
      <c r="I213" s="14"/>
      <c r="J213" s="14"/>
      <c r="K213" s="14"/>
      <c r="L213" s="14"/>
    </row>
    <row r="214" spans="1:44">
      <c r="B214" s="866" t="s">
        <v>1869</v>
      </c>
      <c r="C214" s="469"/>
      <c r="D214" s="469"/>
      <c r="E214" s="469"/>
      <c r="F214" s="469"/>
      <c r="G214" s="469"/>
      <c r="H214" s="469"/>
      <c r="I214" s="14"/>
      <c r="J214" s="469"/>
      <c r="K214" s="469"/>
      <c r="L214" s="469"/>
      <c r="M214" s="469"/>
      <c r="N214" s="467"/>
      <c r="O214" s="467"/>
      <c r="P214" s="467"/>
      <c r="Q214" s="467"/>
      <c r="R214" s="467"/>
      <c r="S214" s="467"/>
      <c r="T214" s="467"/>
      <c r="U214" s="467"/>
      <c r="V214" s="467"/>
      <c r="W214" s="467"/>
      <c r="X214" s="467"/>
      <c r="Y214" s="467"/>
      <c r="Z214" s="467"/>
      <c r="AA214" s="467"/>
      <c r="AB214" s="467"/>
      <c r="AC214" s="467"/>
      <c r="AD214" s="467"/>
      <c r="AE214" s="467"/>
      <c r="AF214" s="467"/>
      <c r="AG214" s="467"/>
      <c r="AH214" s="467"/>
      <c r="AI214" s="467"/>
      <c r="AJ214" s="467"/>
      <c r="AK214" s="467"/>
      <c r="AL214" s="467"/>
      <c r="AM214" s="467"/>
      <c r="AN214" s="467"/>
      <c r="AO214" s="467"/>
      <c r="AP214" s="467"/>
      <c r="AQ214" s="467"/>
      <c r="AR214" s="467"/>
    </row>
    <row r="215" spans="1:44">
      <c r="B215" s="1062" t="s">
        <v>1847</v>
      </c>
      <c r="C215" s="14"/>
      <c r="D215" s="14"/>
      <c r="E215" s="14"/>
      <c r="F215" s="14"/>
      <c r="G215" s="14"/>
      <c r="H215" s="14"/>
      <c r="I215" s="14"/>
      <c r="J215" s="14"/>
      <c r="K215" s="14"/>
      <c r="L215" s="14"/>
      <c r="M215" s="14"/>
    </row>
    <row r="216" spans="1:44">
      <c r="B216" s="466" t="s">
        <v>2359</v>
      </c>
      <c r="C216" s="14"/>
      <c r="D216" s="14"/>
      <c r="E216" s="14"/>
      <c r="F216" s="14"/>
      <c r="G216" s="14"/>
      <c r="H216" s="14"/>
      <c r="I216" s="14"/>
      <c r="J216" s="14"/>
      <c r="K216" s="14"/>
      <c r="L216" s="14"/>
      <c r="M216" s="14"/>
    </row>
    <row r="217" spans="1:44">
      <c r="B217" s="466" t="s">
        <v>2360</v>
      </c>
      <c r="C217" s="14"/>
      <c r="D217" s="14"/>
      <c r="E217" s="14"/>
      <c r="F217" s="14"/>
      <c r="G217" s="14"/>
      <c r="H217" s="14"/>
      <c r="I217" s="14"/>
      <c r="J217" s="14"/>
      <c r="K217" s="14"/>
      <c r="L217" s="14"/>
      <c r="M217" s="14"/>
    </row>
    <row r="218" spans="1:44">
      <c r="B218" s="113" t="s">
        <v>1848</v>
      </c>
      <c r="C218" s="14"/>
      <c r="D218" s="14"/>
      <c r="E218" s="14"/>
      <c r="F218" s="14"/>
      <c r="G218" s="14"/>
      <c r="H218" s="14"/>
      <c r="I218" s="14"/>
      <c r="J218" s="14"/>
      <c r="K218" s="14"/>
      <c r="L218" s="14"/>
      <c r="M218" s="14"/>
    </row>
    <row r="219" spans="1:44">
      <c r="B219" s="469" t="s">
        <v>1849</v>
      </c>
      <c r="C219" s="14"/>
      <c r="D219" s="14"/>
      <c r="E219" s="14"/>
      <c r="F219" s="14"/>
      <c r="G219" s="14"/>
      <c r="H219" s="14"/>
      <c r="I219" s="14"/>
      <c r="J219" s="14"/>
      <c r="K219" s="14"/>
      <c r="L219" s="14"/>
      <c r="M219" s="14"/>
    </row>
    <row r="220" spans="1:44">
      <c r="B220" s="466" t="s">
        <v>2361</v>
      </c>
      <c r="C220" s="14"/>
      <c r="D220" s="14"/>
      <c r="E220" s="14"/>
      <c r="F220" s="14"/>
      <c r="G220" s="14"/>
      <c r="H220" s="14"/>
      <c r="I220" s="14"/>
      <c r="J220" s="14"/>
      <c r="K220" s="14"/>
      <c r="L220" s="14"/>
      <c r="M220" s="14"/>
    </row>
    <row r="221" spans="1:44">
      <c r="B221" s="466" t="s">
        <v>2362</v>
      </c>
      <c r="C221" s="14"/>
      <c r="D221" s="14"/>
      <c r="E221" s="14"/>
      <c r="F221" s="14"/>
      <c r="G221" s="14"/>
      <c r="H221" s="14"/>
      <c r="I221" s="14"/>
      <c r="J221" s="14"/>
      <c r="K221" s="14"/>
      <c r="L221" s="14"/>
      <c r="M221" s="14"/>
    </row>
    <row r="222" spans="1:44">
      <c r="B222" s="466" t="s">
        <v>2363</v>
      </c>
      <c r="C222" s="14"/>
      <c r="D222" s="14"/>
      <c r="E222" s="14"/>
      <c r="F222" s="14"/>
      <c r="G222" s="14"/>
      <c r="H222" s="14"/>
      <c r="I222" s="14"/>
      <c r="J222" s="14"/>
      <c r="K222" s="14"/>
      <c r="L222" s="14"/>
      <c r="M222" s="14"/>
    </row>
    <row r="223" spans="1:44">
      <c r="B223" s="469" t="str">
        <f>"2) Amounts on Line "&amp;A35&amp;" must match 6-Plant Study amounts for Distribution Plant - ISO for previous year."</f>
        <v>2) Amounts on Line 15 must match 6-Plant Study amounts for Distribution Plant - ISO for previous year.</v>
      </c>
      <c r="C223" s="14"/>
      <c r="D223" s="14"/>
      <c r="E223" s="14"/>
      <c r="F223" s="14"/>
      <c r="G223" s="14"/>
      <c r="H223" s="14"/>
      <c r="I223" s="14"/>
      <c r="J223" s="14"/>
      <c r="K223" s="14"/>
      <c r="L223" s="14"/>
    </row>
    <row r="224" spans="1:44">
      <c r="B224" s="466" t="str">
        <f>"Amounts on Line "&amp;A36&amp;" must match amounts on 6-PlantStudy for Distribution Plant - ISO."</f>
        <v>Amounts on Line 16 must match amounts on 6-PlantStudy for Distribution Plant - ISO.</v>
      </c>
      <c r="C224" s="14"/>
      <c r="D224" s="14"/>
      <c r="E224" s="14"/>
      <c r="F224" s="14"/>
      <c r="G224" s="14"/>
      <c r="H224" s="14"/>
      <c r="I224" s="14"/>
      <c r="J224" s="14"/>
      <c r="K224" s="14"/>
      <c r="L224" s="14"/>
    </row>
    <row r="225" spans="2:12">
      <c r="B225" s="1087" t="s">
        <v>2569</v>
      </c>
      <c r="C225" s="14"/>
      <c r="D225" s="14"/>
      <c r="E225" s="14"/>
      <c r="F225" s="14"/>
      <c r="G225" s="14"/>
      <c r="H225" s="978" t="s">
        <v>2665</v>
      </c>
      <c r="I225" s="1270"/>
      <c r="J225" s="14"/>
      <c r="K225" s="14"/>
      <c r="L225" s="14"/>
    </row>
    <row r="226" spans="2:12">
      <c r="B226" s="469" t="s">
        <v>2565</v>
      </c>
      <c r="C226" s="14"/>
      <c r="D226" s="14"/>
      <c r="E226" s="14"/>
      <c r="F226" s="14"/>
      <c r="G226" s="14"/>
      <c r="H226" s="14"/>
      <c r="I226" s="14"/>
      <c r="J226" s="14"/>
      <c r="K226" s="14"/>
      <c r="L226" s="14"/>
    </row>
    <row r="227" spans="2:12">
      <c r="B227" s="469" t="s">
        <v>2364</v>
      </c>
      <c r="C227" s="14"/>
      <c r="D227" s="14"/>
      <c r="E227" s="14"/>
      <c r="F227" s="14"/>
      <c r="G227" s="14"/>
      <c r="H227" s="14"/>
      <c r="I227" s="14"/>
      <c r="J227" s="14"/>
      <c r="K227" s="14"/>
      <c r="L227" s="14"/>
    </row>
    <row r="228" spans="2:12">
      <c r="B228" s="469" t="s">
        <v>2566</v>
      </c>
      <c r="C228" s="14"/>
      <c r="D228" s="14"/>
      <c r="E228" s="14"/>
      <c r="F228" s="14"/>
      <c r="G228" s="14"/>
      <c r="H228" s="14"/>
      <c r="I228" s="14"/>
      <c r="J228" s="14"/>
      <c r="L228" s="14"/>
    </row>
    <row r="229" spans="2:12">
      <c r="B229" s="467" t="s">
        <v>2365</v>
      </c>
      <c r="C229" s="14"/>
      <c r="D229" s="14"/>
      <c r="E229" s="14"/>
      <c r="F229" s="14"/>
      <c r="G229" s="14"/>
      <c r="H229" s="14"/>
      <c r="I229" s="14"/>
      <c r="J229" s="14"/>
      <c r="K229" s="14"/>
      <c r="L229" s="14"/>
    </row>
    <row r="230" spans="2:12">
      <c r="B230" s="467" t="s">
        <v>2366</v>
      </c>
      <c r="C230" s="14"/>
      <c r="D230" s="14"/>
      <c r="E230" s="14"/>
      <c r="F230" s="14"/>
      <c r="G230" s="14"/>
      <c r="H230" s="14"/>
      <c r="I230" s="14"/>
      <c r="J230" s="14"/>
      <c r="K230" s="14"/>
      <c r="L230" s="14"/>
    </row>
    <row r="231" spans="2:12">
      <c r="B231" s="972" t="str">
        <f>"9) Amount on Line "&amp;A24&amp;" less amount on Line "&amp;A12&amp;" for each account."</f>
        <v>9) Amount on Line 13 less amount on Line 1 for each account.</v>
      </c>
      <c r="C231" s="14"/>
      <c r="D231" s="14"/>
      <c r="E231" s="14"/>
      <c r="F231" s="14"/>
      <c r="G231" s="14"/>
      <c r="H231" s="14"/>
      <c r="I231" s="14"/>
      <c r="J231" s="14"/>
      <c r="K231" s="14"/>
      <c r="L231" s="14"/>
    </row>
    <row r="232" spans="2:12">
      <c r="B232" s="972" t="str">
        <f>"10) Line "&amp;A143&amp;""</f>
        <v>10) Line 79</v>
      </c>
      <c r="C232" s="14"/>
      <c r="D232" s="14"/>
      <c r="E232" s="14"/>
      <c r="F232" s="14"/>
      <c r="G232" s="14"/>
      <c r="H232" s="14"/>
      <c r="I232" s="14"/>
      <c r="J232" s="14"/>
      <c r="K232" s="14"/>
      <c r="L232" s="14"/>
    </row>
    <row r="233" spans="2:12">
      <c r="B233" s="972" t="str">
        <f>"11) Amount on Line "&amp;A183&amp;" less amount on Line "&amp;A187&amp;" for each account."</f>
        <v>11) Amount on Line 105 less amount on Line 106 for each account.</v>
      </c>
      <c r="C233" s="14"/>
      <c r="D233" s="14"/>
      <c r="E233" s="14"/>
      <c r="F233" s="14"/>
      <c r="G233" s="14"/>
      <c r="H233" s="14"/>
      <c r="I233" s="14"/>
      <c r="J233" s="14"/>
      <c r="K233" s="14"/>
      <c r="L233" s="14"/>
    </row>
    <row r="234" spans="2:12">
      <c r="B234" s="469" t="str">
        <f>"12) For each column (FERC Account) divide Line "&amp;A191&amp;" by Line "&amp;A162&amp;" to arrive at a ratio for each column."</f>
        <v>12) For each column (FERC Account) divide Line 107 by Line 92 to arrive at a ratio for each column.</v>
      </c>
    </row>
    <row r="235" spans="2:12">
      <c r="B235" s="466" t="str">
        <f>"Apply the ratio of each column to each monthly value from Lines "&amp;A150&amp;"-"&amp;A161&amp;" to calculate the values for"</f>
        <v>Apply the ratio of each column to each monthly value from Lines 80-91 to calculate the values for</v>
      </c>
    </row>
    <row r="236" spans="2:12">
      <c r="B236" s="466" t="str">
        <f>"the corresponsing months listed in Lines "&amp;A198&amp;"-"&amp;A209&amp;"."</f>
        <v>the corresponsing months listed in Lines 108-119.</v>
      </c>
    </row>
  </sheetData>
  <phoneticPr fontId="23" type="noConversion"/>
  <pageMargins left="0.75" right="0.75" top="1" bottom="1" header="0.5" footer="0.5"/>
  <pageSetup scale="62" orientation="landscape" cellComments="asDisplayed" r:id="rId1"/>
  <headerFooter alignWithMargins="0">
    <oddHeader>&amp;CSchedule 6
Plant In Service
&amp;RTO2021 Draft Annual Update 
Attachment 1</oddHeader>
    <oddFooter>&amp;R&amp;A</oddFooter>
  </headerFooter>
  <rowBreaks count="4" manualBreakCount="4">
    <brk id="38" max="16383" man="1"/>
    <brk id="87" max="12" man="1"/>
    <brk id="125" max="12" man="1"/>
    <brk id="17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zoomScalePageLayoutView="90" workbookViewId="0"/>
  </sheetViews>
  <sheetFormatPr defaultRowHeight="13"/>
  <cols>
    <col min="1" max="1" width="4.54296875" customWidth="1"/>
    <col min="2" max="2" width="25.54296875" style="125" customWidth="1"/>
    <col min="3" max="5" width="15.54296875" style="125" customWidth="1"/>
    <col min="6" max="6" width="12.453125" style="125" customWidth="1"/>
    <col min="8" max="8" width="15.54296875" customWidth="1"/>
  </cols>
  <sheetData>
    <row r="1" spans="1:8">
      <c r="A1" s="1" t="s">
        <v>426</v>
      </c>
      <c r="B1" s="170"/>
      <c r="C1" s="170"/>
      <c r="D1" s="170"/>
      <c r="E1" s="171" t="s">
        <v>446</v>
      </c>
      <c r="F1" s="184"/>
      <c r="G1" s="12"/>
    </row>
    <row r="2" spans="1:8">
      <c r="B2" s="1285" t="s">
        <v>2537</v>
      </c>
      <c r="C2" s="1291" t="s">
        <v>2663</v>
      </c>
      <c r="G2" s="12"/>
    </row>
    <row r="3" spans="1:8">
      <c r="A3" s="867" t="s">
        <v>1720</v>
      </c>
      <c r="B3" s="868"/>
      <c r="C3" s="868"/>
      <c r="D3" s="868"/>
      <c r="E3" s="869" t="s">
        <v>1715</v>
      </c>
      <c r="F3" s="1448">
        <v>2019</v>
      </c>
      <c r="G3" s="12"/>
    </row>
    <row r="4" spans="1:8">
      <c r="A4" s="168"/>
      <c r="B4" s="170"/>
      <c r="C4" s="170"/>
      <c r="D4" s="170"/>
      <c r="E4" s="170"/>
      <c r="F4" s="170"/>
      <c r="G4" s="12"/>
    </row>
    <row r="5" spans="1:8">
      <c r="B5" s="168"/>
      <c r="C5" s="84" t="s">
        <v>358</v>
      </c>
      <c r="E5" s="84" t="s">
        <v>342</v>
      </c>
      <c r="F5" s="84" t="s">
        <v>343</v>
      </c>
      <c r="G5" s="12"/>
    </row>
    <row r="6" spans="1:8">
      <c r="B6" s="168"/>
      <c r="C6" s="84"/>
      <c r="E6" s="84"/>
      <c r="F6" s="84"/>
      <c r="G6" s="12"/>
    </row>
    <row r="7" spans="1:8">
      <c r="A7" s="51" t="s">
        <v>329</v>
      </c>
      <c r="B7" s="168"/>
      <c r="C7" s="169" t="s">
        <v>196</v>
      </c>
      <c r="D7" s="169"/>
      <c r="E7" s="169" t="s">
        <v>1118</v>
      </c>
      <c r="F7" s="169" t="s">
        <v>428</v>
      </c>
      <c r="G7" s="12"/>
    </row>
    <row r="8" spans="1:8">
      <c r="A8" s="2">
        <v>1</v>
      </c>
      <c r="B8" s="161" t="s">
        <v>99</v>
      </c>
      <c r="C8" s="161" t="s">
        <v>371</v>
      </c>
      <c r="D8" s="161" t="s">
        <v>432</v>
      </c>
      <c r="E8" s="161" t="s">
        <v>1119</v>
      </c>
      <c r="F8" s="161" t="s">
        <v>429</v>
      </c>
      <c r="G8" s="172" t="s">
        <v>168</v>
      </c>
    </row>
    <row r="9" spans="1:8" ht="12.75" customHeight="1">
      <c r="A9" s="2">
        <f>A8+1</f>
        <v>2</v>
      </c>
      <c r="B9" s="162" t="s">
        <v>422</v>
      </c>
      <c r="C9" s="173"/>
      <c r="D9" s="173"/>
      <c r="E9" s="173"/>
      <c r="F9" s="174"/>
      <c r="G9" s="12"/>
    </row>
    <row r="10" spans="1:8">
      <c r="A10" s="2">
        <f t="shared" ref="A10:A28" si="0">A9+1</f>
        <v>3</v>
      </c>
      <c r="B10" s="163">
        <v>352</v>
      </c>
      <c r="C10" s="497">
        <v>1143959578</v>
      </c>
      <c r="D10" s="155" t="s">
        <v>433</v>
      </c>
      <c r="E10" s="952">
        <v>741230571.26955175</v>
      </c>
      <c r="F10" s="157">
        <f>E10/C10</f>
        <v>0.64795171571136734</v>
      </c>
      <c r="G10" s="12"/>
      <c r="H10" s="951"/>
    </row>
    <row r="11" spans="1:8">
      <c r="A11" s="2">
        <f t="shared" si="0"/>
        <v>4</v>
      </c>
      <c r="B11" s="163">
        <v>353</v>
      </c>
      <c r="C11" s="116">
        <v>6517444414</v>
      </c>
      <c r="D11" s="155" t="s">
        <v>434</v>
      </c>
      <c r="E11" s="116">
        <v>3714934155.6737089</v>
      </c>
      <c r="F11" s="158">
        <f>E11/C11</f>
        <v>0.56999859449414381</v>
      </c>
      <c r="G11" s="12"/>
      <c r="H11" s="467"/>
    </row>
    <row r="12" spans="1:8">
      <c r="A12" s="2">
        <f t="shared" si="0"/>
        <v>5</v>
      </c>
      <c r="B12" s="165" t="s">
        <v>417</v>
      </c>
      <c r="C12" s="153">
        <f>SUM(C10:C11)</f>
        <v>7661403992</v>
      </c>
      <c r="D12" s="13" t="str">
        <f>"L "&amp;A10&amp;" + L "&amp;A11&amp;""</f>
        <v>L 3 + L 4</v>
      </c>
      <c r="E12" s="153">
        <f>SUM(E10:E11)</f>
        <v>4456164726.9432602</v>
      </c>
      <c r="F12" s="157">
        <f>E12/C12</f>
        <v>0.58163813468084513</v>
      </c>
      <c r="G12" s="15"/>
    </row>
    <row r="13" spans="1:8">
      <c r="A13" s="2">
        <f t="shared" si="0"/>
        <v>6</v>
      </c>
      <c r="B13" s="175"/>
      <c r="C13" s="176"/>
      <c r="D13" s="176"/>
      <c r="E13" s="176"/>
      <c r="F13" s="157"/>
      <c r="G13" s="12"/>
    </row>
    <row r="14" spans="1:8">
      <c r="A14" s="2">
        <f t="shared" si="0"/>
        <v>7</v>
      </c>
      <c r="B14" s="164" t="s">
        <v>418</v>
      </c>
      <c r="C14" s="177"/>
      <c r="D14" s="177"/>
      <c r="E14" s="177"/>
      <c r="F14" s="178"/>
      <c r="G14" s="12"/>
    </row>
    <row r="15" spans="1:8">
      <c r="A15" s="2">
        <f t="shared" si="0"/>
        <v>8</v>
      </c>
      <c r="B15" s="163">
        <v>350</v>
      </c>
      <c r="C15" s="701">
        <v>345076489</v>
      </c>
      <c r="D15" s="155" t="s">
        <v>435</v>
      </c>
      <c r="E15" s="701">
        <v>254455515.51833019</v>
      </c>
      <c r="F15" s="157">
        <f>E15/C15</f>
        <v>0.73738873446788256</v>
      </c>
      <c r="G15" s="12"/>
      <c r="H15" s="467"/>
    </row>
    <row r="16" spans="1:8">
      <c r="A16" s="2">
        <f t="shared" si="0"/>
        <v>9</v>
      </c>
      <c r="B16" s="163"/>
      <c r="C16" s="153"/>
      <c r="D16" s="153"/>
      <c r="E16" s="153"/>
      <c r="F16" s="157"/>
      <c r="G16" s="12"/>
    </row>
    <row r="17" spans="1:8">
      <c r="A17" s="2">
        <f t="shared" si="0"/>
        <v>10</v>
      </c>
      <c r="B17" s="164" t="s">
        <v>419</v>
      </c>
      <c r="C17" s="153">
        <f>C12+C15</f>
        <v>8006480481</v>
      </c>
      <c r="D17" s="13" t="str">
        <f>"L "&amp;A12&amp;" + L "&amp;A15&amp;""</f>
        <v>L 5 + L 8</v>
      </c>
      <c r="E17" s="153">
        <f>E12+E15</f>
        <v>4710620242.4615908</v>
      </c>
      <c r="F17" s="157">
        <f>E17/C17</f>
        <v>0.58835093067924893</v>
      </c>
      <c r="G17" s="15"/>
    </row>
    <row r="18" spans="1:8">
      <c r="A18" s="2">
        <f t="shared" si="0"/>
        <v>11</v>
      </c>
      <c r="B18" s="175"/>
      <c r="C18" s="176"/>
      <c r="D18" s="176"/>
      <c r="E18" s="176"/>
      <c r="F18" s="157"/>
      <c r="G18" s="12"/>
    </row>
    <row r="19" spans="1:8">
      <c r="A19" s="2">
        <f t="shared" si="0"/>
        <v>12</v>
      </c>
      <c r="B19" s="164" t="s">
        <v>420</v>
      </c>
      <c r="C19" s="176"/>
      <c r="D19" s="176"/>
      <c r="E19" s="176"/>
      <c r="F19" s="157"/>
      <c r="G19" s="12"/>
    </row>
    <row r="20" spans="1:8">
      <c r="A20" s="2">
        <f t="shared" si="0"/>
        <v>13</v>
      </c>
      <c r="B20" s="163">
        <v>354</v>
      </c>
      <c r="C20" s="709">
        <v>2380316641</v>
      </c>
      <c r="D20" s="155" t="s">
        <v>436</v>
      </c>
      <c r="E20" s="709">
        <v>2305124777.8401799</v>
      </c>
      <c r="F20" s="179">
        <f>E20/C20</f>
        <v>0.9684109828647709</v>
      </c>
      <c r="G20" s="12"/>
      <c r="H20" s="467"/>
    </row>
    <row r="21" spans="1:8">
      <c r="A21" s="2">
        <f t="shared" si="0"/>
        <v>14</v>
      </c>
      <c r="B21" s="163">
        <v>355</v>
      </c>
      <c r="C21" s="709">
        <v>1666864455</v>
      </c>
      <c r="D21" s="155" t="s">
        <v>437</v>
      </c>
      <c r="E21" s="709">
        <v>408001019.0888837</v>
      </c>
      <c r="F21" s="179">
        <f t="shared" ref="F21:F26" si="1">E21/C21</f>
        <v>0.2447715636775539</v>
      </c>
      <c r="G21" s="12"/>
      <c r="H21" s="467"/>
    </row>
    <row r="22" spans="1:8">
      <c r="A22" s="2">
        <f t="shared" si="0"/>
        <v>15</v>
      </c>
      <c r="B22" s="163">
        <v>356</v>
      </c>
      <c r="C22" s="709">
        <v>1763812033</v>
      </c>
      <c r="D22" s="155" t="s">
        <v>438</v>
      </c>
      <c r="E22" s="709">
        <v>1408013215.7482004</v>
      </c>
      <c r="F22" s="179">
        <f t="shared" si="1"/>
        <v>0.79827849533000683</v>
      </c>
      <c r="G22" s="12"/>
      <c r="H22" s="467"/>
    </row>
    <row r="23" spans="1:8">
      <c r="A23" s="2">
        <f t="shared" si="0"/>
        <v>16</v>
      </c>
      <c r="B23" s="163">
        <v>357</v>
      </c>
      <c r="C23" s="709">
        <v>296662316</v>
      </c>
      <c r="D23" s="155" t="s">
        <v>439</v>
      </c>
      <c r="E23" s="709">
        <v>215368701.52640039</v>
      </c>
      <c r="F23" s="179">
        <f t="shared" si="1"/>
        <v>0.72597256176750269</v>
      </c>
      <c r="G23" s="12"/>
      <c r="H23" s="467"/>
    </row>
    <row r="24" spans="1:8">
      <c r="A24" s="2">
        <f t="shared" si="0"/>
        <v>17</v>
      </c>
      <c r="B24" s="163">
        <v>358</v>
      </c>
      <c r="C24" s="709">
        <v>376202208</v>
      </c>
      <c r="D24" s="155" t="s">
        <v>440</v>
      </c>
      <c r="E24" s="709">
        <v>59251565.606308758</v>
      </c>
      <c r="F24" s="179">
        <f t="shared" si="1"/>
        <v>0.15749924999459003</v>
      </c>
      <c r="G24" s="12"/>
      <c r="H24" s="467"/>
    </row>
    <row r="25" spans="1:8">
      <c r="A25" s="2">
        <f t="shared" si="0"/>
        <v>18</v>
      </c>
      <c r="B25" s="163">
        <v>359</v>
      </c>
      <c r="C25" s="180">
        <v>201604232</v>
      </c>
      <c r="D25" s="155" t="s">
        <v>441</v>
      </c>
      <c r="E25" s="180">
        <v>179151598.49303469</v>
      </c>
      <c r="F25" s="181">
        <f t="shared" si="1"/>
        <v>0.88863014786829819</v>
      </c>
      <c r="G25" s="12"/>
      <c r="H25" s="467"/>
    </row>
    <row r="26" spans="1:8">
      <c r="A26" s="2">
        <f t="shared" si="0"/>
        <v>19</v>
      </c>
      <c r="B26" s="165" t="s">
        <v>421</v>
      </c>
      <c r="C26" s="153">
        <f>SUM(C20:C25)</f>
        <v>6685461885</v>
      </c>
      <c r="D26" s="156" t="str">
        <f>"Sum L"&amp;A20&amp;" to L"&amp;A25&amp;""</f>
        <v>Sum L13 to L18</v>
      </c>
      <c r="E26" s="153">
        <f>SUM(E20:E25)</f>
        <v>4574910878.3030081</v>
      </c>
      <c r="F26" s="157">
        <f t="shared" si="1"/>
        <v>0.68430737576525846</v>
      </c>
      <c r="G26" s="15"/>
    </row>
    <row r="27" spans="1:8">
      <c r="A27" s="2">
        <f t="shared" si="0"/>
        <v>20</v>
      </c>
      <c r="B27" s="182"/>
      <c r="C27" s="153"/>
      <c r="D27" s="153"/>
      <c r="E27" s="153"/>
      <c r="F27" s="157"/>
      <c r="G27" s="12"/>
    </row>
    <row r="28" spans="1:8">
      <c r="A28" s="2">
        <f t="shared" si="0"/>
        <v>21</v>
      </c>
      <c r="B28" s="183" t="s">
        <v>431</v>
      </c>
      <c r="C28" s="159">
        <f>C17+C26</f>
        <v>14691942366</v>
      </c>
      <c r="D28" s="13" t="str">
        <f>"L "&amp;A17&amp;" + L "&amp;A26&amp;""</f>
        <v>L 10 + L 19</v>
      </c>
      <c r="E28" s="159">
        <f>E17+E26</f>
        <v>9285531120.7645988</v>
      </c>
      <c r="F28" s="160">
        <f>E28/C28</f>
        <v>0.63201521551385309</v>
      </c>
      <c r="G28" s="12" t="s">
        <v>359</v>
      </c>
      <c r="H28" s="14"/>
    </row>
    <row r="29" spans="1:8">
      <c r="A29" s="2"/>
      <c r="B29" s="130"/>
      <c r="C29" s="126"/>
      <c r="D29" s="126"/>
      <c r="E29" s="126"/>
      <c r="F29" s="129"/>
    </row>
    <row r="30" spans="1:8">
      <c r="A30" s="2"/>
      <c r="B30" s="127"/>
      <c r="C30" s="128"/>
      <c r="D30" s="128"/>
      <c r="E30" s="570"/>
      <c r="F30" s="128"/>
    </row>
    <row r="31" spans="1:8">
      <c r="A31" s="168" t="s">
        <v>430</v>
      </c>
      <c r="C31" s="128"/>
      <c r="D31" s="128"/>
      <c r="E31" s="128"/>
      <c r="F31" s="128"/>
    </row>
    <row r="32" spans="1:8">
      <c r="A32" s="2"/>
      <c r="B32" s="133"/>
      <c r="C32" s="128"/>
      <c r="D32" s="128"/>
      <c r="E32" s="128"/>
      <c r="F32" s="128"/>
    </row>
    <row r="33" spans="1:9">
      <c r="A33" s="51" t="s">
        <v>329</v>
      </c>
      <c r="B33" s="168"/>
      <c r="C33" s="169" t="s">
        <v>196</v>
      </c>
      <c r="D33" s="169"/>
      <c r="E33" s="169" t="s">
        <v>305</v>
      </c>
      <c r="F33" s="169" t="s">
        <v>428</v>
      </c>
    </row>
    <row r="34" spans="1:9">
      <c r="A34" s="2">
        <f>A28+1</f>
        <v>22</v>
      </c>
      <c r="B34" s="161" t="s">
        <v>99</v>
      </c>
      <c r="C34" s="161" t="s">
        <v>371</v>
      </c>
      <c r="D34" s="161" t="s">
        <v>432</v>
      </c>
      <c r="E34" s="161" t="s">
        <v>1119</v>
      </c>
      <c r="F34" s="161" t="s">
        <v>429</v>
      </c>
    </row>
    <row r="35" spans="1:9">
      <c r="A35" s="2">
        <f t="shared" ref="A35:A42" si="2">A34+1</f>
        <v>23</v>
      </c>
      <c r="B35" s="162" t="s">
        <v>423</v>
      </c>
      <c r="C35" s="126"/>
      <c r="D35" s="126"/>
      <c r="E35" s="126"/>
      <c r="F35" s="129"/>
    </row>
    <row r="36" spans="1:9">
      <c r="A36" s="2">
        <f t="shared" si="2"/>
        <v>24</v>
      </c>
      <c r="B36" s="163">
        <v>360</v>
      </c>
      <c r="C36" s="701">
        <v>129043959</v>
      </c>
      <c r="D36" s="155" t="s">
        <v>442</v>
      </c>
      <c r="E36" s="953">
        <v>0</v>
      </c>
      <c r="F36" s="157">
        <f>E36/C36</f>
        <v>0</v>
      </c>
      <c r="H36" s="467"/>
    </row>
    <row r="37" spans="1:9">
      <c r="A37" s="2">
        <f t="shared" si="2"/>
        <v>25</v>
      </c>
      <c r="B37" s="164" t="s">
        <v>424</v>
      </c>
      <c r="C37" s="153"/>
      <c r="D37" s="153"/>
      <c r="E37" s="153"/>
      <c r="F37" s="157"/>
    </row>
    <row r="38" spans="1:9">
      <c r="A38" s="2">
        <f t="shared" si="2"/>
        <v>26</v>
      </c>
      <c r="B38" s="163">
        <v>361</v>
      </c>
      <c r="C38" s="701">
        <v>799384569</v>
      </c>
      <c r="D38" s="155" t="s">
        <v>443</v>
      </c>
      <c r="E38" s="152">
        <v>0</v>
      </c>
      <c r="F38" s="157">
        <f>E38/C38</f>
        <v>0</v>
      </c>
      <c r="H38" s="467"/>
    </row>
    <row r="39" spans="1:9">
      <c r="A39" s="2">
        <f t="shared" si="2"/>
        <v>27</v>
      </c>
      <c r="B39" s="163">
        <v>362</v>
      </c>
      <c r="C39" s="154">
        <v>2967456409</v>
      </c>
      <c r="D39" s="155" t="s">
        <v>444</v>
      </c>
      <c r="E39" s="154">
        <v>0</v>
      </c>
      <c r="F39" s="158">
        <f>E39/C39</f>
        <v>0</v>
      </c>
      <c r="H39" s="467"/>
    </row>
    <row r="40" spans="1:9">
      <c r="A40" s="2">
        <f t="shared" si="2"/>
        <v>28</v>
      </c>
      <c r="B40" s="165" t="s">
        <v>425</v>
      </c>
      <c r="C40" s="153">
        <f>SUM(C38:C39)</f>
        <v>3766840978</v>
      </c>
      <c r="D40" s="13" t="str">
        <f>"L "&amp;A38&amp;" + L "&amp;A39&amp;""</f>
        <v>L 26 + L 27</v>
      </c>
      <c r="E40" s="153">
        <f>SUM(E38:E39)</f>
        <v>0</v>
      </c>
      <c r="F40" s="157">
        <f>E40/C40</f>
        <v>0</v>
      </c>
      <c r="G40" s="14"/>
    </row>
    <row r="41" spans="1:9">
      <c r="A41" s="2">
        <f t="shared" si="2"/>
        <v>29</v>
      </c>
      <c r="B41" s="166"/>
      <c r="C41" s="137"/>
      <c r="D41" s="153"/>
      <c r="E41" s="153"/>
      <c r="F41" s="157"/>
    </row>
    <row r="42" spans="1:9">
      <c r="A42" s="2">
        <f t="shared" si="2"/>
        <v>30</v>
      </c>
      <c r="B42" s="167" t="s">
        <v>1217</v>
      </c>
      <c r="C42" s="159">
        <f>C36+C40</f>
        <v>3895884937</v>
      </c>
      <c r="D42" s="13" t="str">
        <f>"L "&amp;A36&amp;" + L "&amp;A40&amp;""</f>
        <v>L 24 + L 28</v>
      </c>
      <c r="E42" s="159">
        <f>E36+E40</f>
        <v>0</v>
      </c>
      <c r="F42" s="160">
        <f>E42/C42</f>
        <v>0</v>
      </c>
      <c r="G42" s="12" t="s">
        <v>360</v>
      </c>
      <c r="H42" s="15"/>
    </row>
    <row r="43" spans="1:9">
      <c r="A43" s="2"/>
      <c r="B43" s="134"/>
      <c r="C43" s="135"/>
      <c r="D43" s="135"/>
      <c r="E43" s="135"/>
      <c r="F43" s="136"/>
      <c r="H43" s="138"/>
      <c r="I43" s="12"/>
    </row>
    <row r="44" spans="1:9">
      <c r="A44" s="61"/>
      <c r="E44" s="131"/>
    </row>
    <row r="45" spans="1:9">
      <c r="A45" s="83" t="s">
        <v>230</v>
      </c>
    </row>
    <row r="46" spans="1:9">
      <c r="A46" s="13" t="s">
        <v>445</v>
      </c>
      <c r="E46" s="131"/>
    </row>
    <row r="47" spans="1:9">
      <c r="A47" s="13" t="s">
        <v>450</v>
      </c>
    </row>
    <row r="48" spans="1:9">
      <c r="A48" s="13" t="s">
        <v>447</v>
      </c>
      <c r="C48" s="131"/>
      <c r="D48" s="131"/>
    </row>
    <row r="49" spans="1:4">
      <c r="A49" s="13" t="s">
        <v>449</v>
      </c>
      <c r="C49" s="132"/>
      <c r="D49" s="132"/>
    </row>
    <row r="50" spans="1:4">
      <c r="A50" s="61"/>
      <c r="C50" s="131"/>
      <c r="D50" s="131"/>
    </row>
    <row r="51" spans="1:4">
      <c r="A51" s="83" t="s">
        <v>377</v>
      </c>
    </row>
    <row r="52" spans="1:4">
      <c r="A52" s="13" t="s">
        <v>448</v>
      </c>
    </row>
    <row r="53" spans="1:4">
      <c r="A53" s="13" t="s">
        <v>1421</v>
      </c>
    </row>
    <row r="54" spans="1:4">
      <c r="A54" s="471" t="s">
        <v>2011</v>
      </c>
    </row>
  </sheetData>
  <pageMargins left="0.7" right="0.7" top="0.75" bottom="0.75" header="0.3" footer="0.3"/>
  <pageSetup scale="90" orientation="portrait" cellComments="asDisplayed" r:id="rId1"/>
  <headerFooter>
    <oddHeader>&amp;CSchedule 7
Transmission Plant Study Summary
&amp;RTO2021 Draft Annual Update 
Attachment 1</oddHeader>
    <oddFooter>&amp;R7-PlantStudy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54"/>
  <sheetViews>
    <sheetView zoomScaleNormal="100" zoomScalePageLayoutView="90" workbookViewId="0"/>
  </sheetViews>
  <sheetFormatPr defaultColWidth="8.54296875" defaultRowHeight="12.5"/>
  <cols>
    <col min="1" max="1" width="4.54296875" style="972" customWidth="1"/>
    <col min="2" max="2" width="7.54296875" style="972" customWidth="1"/>
    <col min="3" max="3" width="10.54296875" style="972" customWidth="1"/>
    <col min="4" max="4" width="13.54296875" style="972" customWidth="1"/>
    <col min="5" max="6" width="14.54296875" style="972" customWidth="1"/>
    <col min="7" max="10" width="13.54296875" style="972" customWidth="1"/>
    <col min="11" max="12" width="11.54296875" style="972" customWidth="1"/>
    <col min="13" max="13" width="13.54296875" style="972" customWidth="1"/>
    <col min="14" max="14" width="14.54296875" style="972" customWidth="1"/>
    <col min="15" max="15" width="13.54296875" style="14" customWidth="1"/>
    <col min="16" max="23" width="8.54296875" style="14"/>
    <col min="24" max="16384" width="8.54296875" style="972"/>
  </cols>
  <sheetData>
    <row r="1" spans="1:18" ht="13">
      <c r="A1" s="1" t="s">
        <v>163</v>
      </c>
      <c r="B1" s="1"/>
      <c r="C1" s="228"/>
      <c r="D1" s="228"/>
      <c r="E1" s="228"/>
      <c r="F1" s="228"/>
      <c r="G1" s="228"/>
      <c r="H1" s="228"/>
      <c r="I1" s="228"/>
      <c r="J1" s="505" t="s">
        <v>446</v>
      </c>
      <c r="K1" s="184"/>
      <c r="L1" s="228"/>
      <c r="M1" s="228"/>
      <c r="N1" s="228"/>
      <c r="O1" s="236"/>
      <c r="P1" s="236"/>
      <c r="Q1" s="236"/>
      <c r="R1" s="236"/>
    </row>
    <row r="2" spans="1:18" ht="13">
      <c r="A2" s="228"/>
      <c r="B2" s="228"/>
      <c r="C2" s="1285" t="s">
        <v>2537</v>
      </c>
      <c r="D2" s="1291" t="s">
        <v>2665</v>
      </c>
      <c r="E2" s="975"/>
      <c r="F2" s="228"/>
      <c r="G2" s="228"/>
      <c r="H2" s="228"/>
      <c r="I2" s="228"/>
      <c r="L2" s="228"/>
      <c r="M2" s="228"/>
      <c r="N2" s="228"/>
      <c r="O2" s="236"/>
      <c r="P2" s="236"/>
      <c r="Q2" s="236"/>
      <c r="R2" s="236"/>
    </row>
    <row r="3" spans="1:18" ht="13">
      <c r="A3" s="228"/>
      <c r="B3" s="1" t="s">
        <v>327</v>
      </c>
      <c r="C3" s="228"/>
      <c r="D3" s="228"/>
      <c r="E3" s="228"/>
      <c r="F3" s="228"/>
      <c r="G3" s="865" t="s">
        <v>1715</v>
      </c>
      <c r="H3" s="975">
        <v>2019</v>
      </c>
      <c r="I3" s="228"/>
      <c r="J3" s="228"/>
      <c r="K3" s="228"/>
      <c r="L3" s="228"/>
      <c r="M3" s="228"/>
      <c r="N3" s="228"/>
      <c r="O3" s="236"/>
      <c r="P3" s="236"/>
      <c r="Q3" s="236"/>
      <c r="R3" s="236"/>
    </row>
    <row r="4" spans="1:18">
      <c r="A4" s="228"/>
      <c r="B4" s="228"/>
      <c r="C4" s="228"/>
      <c r="D4" s="228"/>
      <c r="E4" s="228"/>
      <c r="F4" s="228"/>
      <c r="G4" s="228"/>
      <c r="H4" s="228"/>
      <c r="I4" s="228"/>
      <c r="J4" s="228"/>
      <c r="K4" s="228"/>
      <c r="L4" s="228"/>
      <c r="M4" s="228"/>
      <c r="N4" s="228"/>
      <c r="O4" s="236"/>
      <c r="P4" s="236"/>
      <c r="Q4" s="236"/>
      <c r="R4" s="236"/>
    </row>
    <row r="5" spans="1:18">
      <c r="A5" s="228"/>
      <c r="B5" s="228"/>
      <c r="C5" s="467" t="s">
        <v>1531</v>
      </c>
      <c r="D5" s="228"/>
      <c r="E5" s="228"/>
      <c r="F5" s="228"/>
      <c r="G5" s="228"/>
      <c r="H5" s="228"/>
      <c r="I5" s="228"/>
      <c r="J5" s="467"/>
      <c r="K5" s="228"/>
      <c r="L5" s="228"/>
      <c r="M5" s="228"/>
      <c r="N5" s="228"/>
      <c r="O5" s="236"/>
      <c r="P5" s="236"/>
      <c r="Q5" s="236"/>
      <c r="R5" s="236"/>
    </row>
    <row r="6" spans="1:18">
      <c r="A6" s="228"/>
      <c r="B6" s="228"/>
      <c r="C6" s="228"/>
      <c r="D6" s="228"/>
      <c r="E6" s="228"/>
      <c r="F6" s="228"/>
      <c r="G6" s="228"/>
      <c r="H6" s="228"/>
      <c r="I6" s="228"/>
      <c r="J6" s="228"/>
      <c r="K6" s="228"/>
      <c r="L6" s="228"/>
      <c r="M6" s="228"/>
      <c r="N6" s="228"/>
      <c r="O6" s="236"/>
      <c r="P6" s="236"/>
      <c r="Q6" s="236"/>
      <c r="R6" s="236"/>
    </row>
    <row r="7" spans="1:18" ht="13">
      <c r="A7" s="228"/>
      <c r="B7" s="228"/>
      <c r="C7" s="84" t="s">
        <v>358</v>
      </c>
      <c r="D7" s="84" t="s">
        <v>342</v>
      </c>
      <c r="E7" s="84" t="s">
        <v>343</v>
      </c>
      <c r="F7" s="84" t="s">
        <v>344</v>
      </c>
      <c r="G7" s="84" t="s">
        <v>345</v>
      </c>
      <c r="H7" s="84" t="s">
        <v>346</v>
      </c>
      <c r="I7" s="84" t="s">
        <v>347</v>
      </c>
      <c r="J7" s="84" t="s">
        <v>534</v>
      </c>
      <c r="K7" s="84" t="s">
        <v>951</v>
      </c>
      <c r="L7" s="84" t="s">
        <v>963</v>
      </c>
      <c r="M7" s="84" t="s">
        <v>966</v>
      </c>
      <c r="N7" s="84" t="s">
        <v>984</v>
      </c>
      <c r="O7" s="236"/>
      <c r="P7" s="236"/>
      <c r="Q7" s="236"/>
      <c r="R7" s="236"/>
    </row>
    <row r="8" spans="1:18">
      <c r="A8" s="228"/>
      <c r="B8" s="228"/>
      <c r="C8" s="244"/>
      <c r="D8" s="228"/>
      <c r="E8" s="228"/>
      <c r="F8" s="228"/>
      <c r="G8" s="228"/>
      <c r="H8" s="228"/>
      <c r="I8" s="228"/>
      <c r="J8" s="228"/>
      <c r="K8" s="228"/>
      <c r="L8" s="228"/>
      <c r="M8" s="228"/>
      <c r="N8" s="450" t="s">
        <v>1642</v>
      </c>
      <c r="O8" s="236"/>
      <c r="P8" s="236"/>
      <c r="Q8" s="236"/>
      <c r="R8" s="236"/>
    </row>
    <row r="9" spans="1:18" ht="13">
      <c r="A9" s="228"/>
      <c r="B9" s="228"/>
      <c r="C9" s="442"/>
      <c r="D9" s="506" t="s">
        <v>12</v>
      </c>
      <c r="E9" s="228"/>
      <c r="F9" s="228"/>
      <c r="G9" s="228"/>
      <c r="H9" s="228"/>
      <c r="I9" s="228"/>
      <c r="J9" s="228"/>
      <c r="K9" s="228"/>
      <c r="L9" s="228"/>
      <c r="M9" s="228"/>
      <c r="N9" s="228"/>
      <c r="O9" s="236"/>
      <c r="P9" s="236"/>
      <c r="Q9" s="236"/>
      <c r="R9" s="236"/>
    </row>
    <row r="10" spans="1:18" ht="13">
      <c r="A10" s="228"/>
      <c r="B10" s="228"/>
      <c r="C10" s="110"/>
      <c r="D10" s="506" t="s">
        <v>964</v>
      </c>
      <c r="E10" s="228"/>
      <c r="F10" s="228"/>
      <c r="G10" s="228"/>
      <c r="H10" s="228"/>
      <c r="I10" s="228"/>
      <c r="J10" s="228"/>
      <c r="K10" s="228"/>
      <c r="L10" s="228"/>
      <c r="M10" s="228"/>
      <c r="N10" s="228"/>
      <c r="O10" s="236"/>
      <c r="P10" s="236"/>
      <c r="Q10" s="236"/>
      <c r="R10" s="236"/>
    </row>
    <row r="11" spans="1:18" ht="12.75" customHeight="1">
      <c r="A11" s="51" t="s">
        <v>329</v>
      </c>
      <c r="B11" s="51"/>
      <c r="C11" s="123" t="s">
        <v>1750</v>
      </c>
      <c r="D11" s="84">
        <v>350.1</v>
      </c>
      <c r="E11" s="84">
        <v>350.2</v>
      </c>
      <c r="F11" s="84">
        <v>352</v>
      </c>
      <c r="G11" s="84">
        <v>353</v>
      </c>
      <c r="H11" s="84">
        <v>354</v>
      </c>
      <c r="I11" s="84">
        <v>355</v>
      </c>
      <c r="J11" s="84">
        <v>356</v>
      </c>
      <c r="K11" s="84">
        <v>357</v>
      </c>
      <c r="L11" s="84">
        <v>358</v>
      </c>
      <c r="M11" s="84">
        <v>359</v>
      </c>
      <c r="N11" s="3" t="s">
        <v>196</v>
      </c>
      <c r="O11" s="236"/>
      <c r="P11" s="236"/>
      <c r="Q11" s="236"/>
      <c r="R11" s="236"/>
    </row>
    <row r="12" spans="1:18" ht="12.75" customHeight="1">
      <c r="A12" s="553">
        <v>1</v>
      </c>
      <c r="B12" s="553"/>
      <c r="C12" s="939" t="s">
        <v>2479</v>
      </c>
      <c r="D12" s="497">
        <v>0</v>
      </c>
      <c r="E12" s="497">
        <v>23285718.871868949</v>
      </c>
      <c r="F12" s="497">
        <v>105746315.80267715</v>
      </c>
      <c r="G12" s="497">
        <v>558039637.56029141</v>
      </c>
      <c r="H12" s="497">
        <v>542790390.88820314</v>
      </c>
      <c r="I12" s="497">
        <v>49370280.436928757</v>
      </c>
      <c r="J12" s="497">
        <v>437221587.28354192</v>
      </c>
      <c r="K12" s="497">
        <v>6809024.0482156798</v>
      </c>
      <c r="L12" s="497">
        <v>11173141.017508255</v>
      </c>
      <c r="M12" s="497">
        <v>20303393.816705655</v>
      </c>
      <c r="N12" s="230">
        <f t="shared" ref="N12:N24" si="0">SUM(D12:M12)</f>
        <v>1754739489.7259409</v>
      </c>
      <c r="O12" s="236"/>
      <c r="P12" s="236"/>
      <c r="Q12" s="236"/>
      <c r="R12" s="236"/>
    </row>
    <row r="13" spans="1:18" ht="12.75" customHeight="1">
      <c r="A13" s="553">
        <f>A12+1</f>
        <v>2</v>
      </c>
      <c r="B13" s="553"/>
      <c r="C13" s="705" t="s">
        <v>2554</v>
      </c>
      <c r="D13" s="232">
        <f>D12+D70+D119</f>
        <v>0</v>
      </c>
      <c r="E13" s="232">
        <f>E12+E70+E119</f>
        <v>23508188.729181208</v>
      </c>
      <c r="F13" s="232">
        <f t="shared" ref="F13:M23" si="1">F12+F70+F119</f>
        <v>106936819.55405301</v>
      </c>
      <c r="G13" s="232">
        <f t="shared" si="1"/>
        <v>564297619.76932418</v>
      </c>
      <c r="H13" s="232">
        <f t="shared" si="1"/>
        <v>547954515.54556227</v>
      </c>
      <c r="I13" s="232">
        <f t="shared" si="1"/>
        <v>49701493.506246299</v>
      </c>
      <c r="J13" s="232">
        <f t="shared" si="1"/>
        <v>440338210.08393097</v>
      </c>
      <c r="K13" s="232">
        <f t="shared" si="1"/>
        <v>7070037.9308226928</v>
      </c>
      <c r="L13" s="232">
        <f t="shared" si="1"/>
        <v>11416025.890373191</v>
      </c>
      <c r="M13" s="232">
        <f t="shared" si="1"/>
        <v>20530072.496242356</v>
      </c>
      <c r="N13" s="230">
        <f t="shared" si="0"/>
        <v>1771752983.5057361</v>
      </c>
      <c r="O13" s="236"/>
      <c r="P13" s="236"/>
      <c r="Q13" s="236"/>
      <c r="R13" s="236"/>
    </row>
    <row r="14" spans="1:18" ht="12.75" customHeight="1">
      <c r="A14" s="553">
        <f t="shared" ref="A14:A25" si="2">A13+1</f>
        <v>3</v>
      </c>
      <c r="B14" s="553"/>
      <c r="C14" s="704" t="s">
        <v>2555</v>
      </c>
      <c r="D14" s="232">
        <f t="shared" ref="D14:E23" si="3">D13+D71+D120</f>
        <v>0</v>
      </c>
      <c r="E14" s="232">
        <f t="shared" si="3"/>
        <v>23739596.929944005</v>
      </c>
      <c r="F14" s="232">
        <f t="shared" si="1"/>
        <v>107997352.86432198</v>
      </c>
      <c r="G14" s="232">
        <f t="shared" si="1"/>
        <v>571397998.69025826</v>
      </c>
      <c r="H14" s="232">
        <f t="shared" si="1"/>
        <v>552511314.73904705</v>
      </c>
      <c r="I14" s="232">
        <f t="shared" si="1"/>
        <v>49424146.857711926</v>
      </c>
      <c r="J14" s="232">
        <f t="shared" si="1"/>
        <v>443677525.66296303</v>
      </c>
      <c r="K14" s="232">
        <f t="shared" si="1"/>
        <v>7333139.0625924729</v>
      </c>
      <c r="L14" s="232">
        <f t="shared" si="1"/>
        <v>11736463.009130927</v>
      </c>
      <c r="M14" s="232">
        <f t="shared" si="1"/>
        <v>20760995.073914189</v>
      </c>
      <c r="N14" s="230">
        <f t="shared" si="0"/>
        <v>1788578532.8898842</v>
      </c>
      <c r="O14" s="236"/>
      <c r="P14" s="236"/>
      <c r="Q14" s="236"/>
      <c r="R14" s="236"/>
    </row>
    <row r="15" spans="1:18" ht="12.75" customHeight="1">
      <c r="A15" s="553">
        <f t="shared" si="2"/>
        <v>4</v>
      </c>
      <c r="B15" s="553"/>
      <c r="C15" s="704" t="s">
        <v>2556</v>
      </c>
      <c r="D15" s="232">
        <f t="shared" si="3"/>
        <v>0</v>
      </c>
      <c r="E15" s="232">
        <f t="shared" si="3"/>
        <v>23972976.181234267</v>
      </c>
      <c r="F15" s="232">
        <f t="shared" si="1"/>
        <v>108864575.87717934</v>
      </c>
      <c r="G15" s="232">
        <f t="shared" si="1"/>
        <v>575568812.72845113</v>
      </c>
      <c r="H15" s="232">
        <f t="shared" si="1"/>
        <v>556282958.84747243</v>
      </c>
      <c r="I15" s="232">
        <f t="shared" si="1"/>
        <v>49021373.392592452</v>
      </c>
      <c r="J15" s="232">
        <f t="shared" si="1"/>
        <v>446979650.48626506</v>
      </c>
      <c r="K15" s="232">
        <f t="shared" si="1"/>
        <v>7424697.4638095666</v>
      </c>
      <c r="L15" s="232">
        <f t="shared" si="1"/>
        <v>12974686.335257404</v>
      </c>
      <c r="M15" s="232">
        <f t="shared" si="1"/>
        <v>20987757.873310838</v>
      </c>
      <c r="N15" s="230">
        <f t="shared" si="0"/>
        <v>1802077489.1855721</v>
      </c>
      <c r="O15" s="236"/>
      <c r="P15" s="236"/>
      <c r="Q15" s="236"/>
      <c r="R15" s="236"/>
    </row>
    <row r="16" spans="1:18" ht="12.75" customHeight="1">
      <c r="A16" s="553">
        <f t="shared" si="2"/>
        <v>5</v>
      </c>
      <c r="B16" s="553"/>
      <c r="C16" s="705" t="s">
        <v>2557</v>
      </c>
      <c r="D16" s="232">
        <f t="shared" si="3"/>
        <v>0</v>
      </c>
      <c r="E16" s="232">
        <f t="shared" si="3"/>
        <v>24195546.95622224</v>
      </c>
      <c r="F16" s="232">
        <f t="shared" si="1"/>
        <v>110253072.20928743</v>
      </c>
      <c r="G16" s="232">
        <f t="shared" si="1"/>
        <v>579500716.45053017</v>
      </c>
      <c r="H16" s="232">
        <f t="shared" si="1"/>
        <v>560013794.61749053</v>
      </c>
      <c r="I16" s="232">
        <f t="shared" si="1"/>
        <v>49403352.004142374</v>
      </c>
      <c r="J16" s="232">
        <f t="shared" si="1"/>
        <v>449496842.71255153</v>
      </c>
      <c r="K16" s="232">
        <f t="shared" si="1"/>
        <v>7683440.2658031844</v>
      </c>
      <c r="L16" s="232">
        <f t="shared" si="1"/>
        <v>13259636.175110083</v>
      </c>
      <c r="M16" s="232">
        <f t="shared" si="1"/>
        <v>21226344.695434976</v>
      </c>
      <c r="N16" s="230">
        <f t="shared" si="0"/>
        <v>1815032746.0865726</v>
      </c>
      <c r="O16" s="236"/>
      <c r="P16" s="236"/>
      <c r="Q16" s="236"/>
      <c r="R16" s="236"/>
    </row>
    <row r="17" spans="1:18" ht="12.75" customHeight="1">
      <c r="A17" s="553">
        <f t="shared" si="2"/>
        <v>6</v>
      </c>
      <c r="B17" s="553"/>
      <c r="C17" s="704" t="s">
        <v>2558</v>
      </c>
      <c r="D17" s="232">
        <f t="shared" si="3"/>
        <v>0</v>
      </c>
      <c r="E17" s="232">
        <f t="shared" si="3"/>
        <v>24428939.132300764</v>
      </c>
      <c r="F17" s="232">
        <f t="shared" si="1"/>
        <v>111299296.07815929</v>
      </c>
      <c r="G17" s="232">
        <f t="shared" si="1"/>
        <v>580255313.47458017</v>
      </c>
      <c r="H17" s="232">
        <f t="shared" si="1"/>
        <v>564419874.73844838</v>
      </c>
      <c r="I17" s="232">
        <f t="shared" si="1"/>
        <v>49767040.874761</v>
      </c>
      <c r="J17" s="232">
        <f t="shared" si="1"/>
        <v>451730760.73878103</v>
      </c>
      <c r="K17" s="232">
        <f t="shared" si="1"/>
        <v>7874571.5974107888</v>
      </c>
      <c r="L17" s="232">
        <f t="shared" si="1"/>
        <v>13742704.228438172</v>
      </c>
      <c r="M17" s="232">
        <f t="shared" si="1"/>
        <v>21531405.912219651</v>
      </c>
      <c r="N17" s="230">
        <f t="shared" si="0"/>
        <v>1825049906.7750993</v>
      </c>
      <c r="O17" s="236"/>
      <c r="P17" s="236"/>
      <c r="Q17" s="236"/>
      <c r="R17" s="236"/>
    </row>
    <row r="18" spans="1:18" ht="12.75" customHeight="1">
      <c r="A18" s="553">
        <f t="shared" si="2"/>
        <v>7</v>
      </c>
      <c r="B18" s="553"/>
      <c r="C18" s="704" t="s">
        <v>2559</v>
      </c>
      <c r="D18" s="232">
        <f t="shared" si="3"/>
        <v>0</v>
      </c>
      <c r="E18" s="232">
        <f t="shared" si="3"/>
        <v>24676836.079628237</v>
      </c>
      <c r="F18" s="232">
        <f t="shared" si="1"/>
        <v>112668169.95588161</v>
      </c>
      <c r="G18" s="232">
        <f t="shared" si="1"/>
        <v>586376810.47082746</v>
      </c>
      <c r="H18" s="232">
        <f t="shared" si="1"/>
        <v>568132315.41784072</v>
      </c>
      <c r="I18" s="232">
        <f t="shared" si="1"/>
        <v>50146378.241208449</v>
      </c>
      <c r="J18" s="232">
        <f t="shared" si="1"/>
        <v>454745819.65809155</v>
      </c>
      <c r="K18" s="232">
        <f t="shared" si="1"/>
        <v>8454630.9344944116</v>
      </c>
      <c r="L18" s="232">
        <f t="shared" si="1"/>
        <v>12961553.700431658</v>
      </c>
      <c r="M18" s="232">
        <f t="shared" si="1"/>
        <v>21761949.241098046</v>
      </c>
      <c r="N18" s="230">
        <f t="shared" si="0"/>
        <v>1839924463.6995025</v>
      </c>
      <c r="O18" s="236"/>
      <c r="P18" s="236"/>
      <c r="Q18" s="236"/>
      <c r="R18" s="236"/>
    </row>
    <row r="19" spans="1:18" ht="12.75" customHeight="1">
      <c r="A19" s="553">
        <f t="shared" si="2"/>
        <v>8</v>
      </c>
      <c r="B19" s="553"/>
      <c r="C19" s="705" t="s">
        <v>2560</v>
      </c>
      <c r="D19" s="232">
        <f t="shared" si="3"/>
        <v>0</v>
      </c>
      <c r="E19" s="232">
        <f t="shared" si="3"/>
        <v>24915532.784629174</v>
      </c>
      <c r="F19" s="232">
        <f t="shared" si="1"/>
        <v>114049275.19071698</v>
      </c>
      <c r="G19" s="232">
        <f t="shared" si="1"/>
        <v>592496270.18786323</v>
      </c>
      <c r="H19" s="232">
        <f t="shared" si="1"/>
        <v>572467960.59876585</v>
      </c>
      <c r="I19" s="232">
        <f t="shared" si="1"/>
        <v>50427883.827992335</v>
      </c>
      <c r="J19" s="232">
        <f t="shared" si="1"/>
        <v>458159160.27980149</v>
      </c>
      <c r="K19" s="232">
        <f t="shared" si="1"/>
        <v>8648142.5198268816</v>
      </c>
      <c r="L19" s="232">
        <f t="shared" si="1"/>
        <v>12688254.65268394</v>
      </c>
      <c r="M19" s="232">
        <f t="shared" si="1"/>
        <v>21993151.616426811</v>
      </c>
      <c r="N19" s="230">
        <f t="shared" si="0"/>
        <v>1855845631.6587067</v>
      </c>
      <c r="O19" s="236"/>
      <c r="P19" s="236"/>
      <c r="Q19" s="236"/>
      <c r="R19" s="236"/>
    </row>
    <row r="20" spans="1:18" ht="12.75" customHeight="1">
      <c r="A20" s="553">
        <f t="shared" si="2"/>
        <v>9</v>
      </c>
      <c r="B20" s="553"/>
      <c r="C20" s="704" t="s">
        <v>2561</v>
      </c>
      <c r="D20" s="232">
        <f t="shared" si="3"/>
        <v>0</v>
      </c>
      <c r="E20" s="232">
        <f t="shared" si="3"/>
        <v>25144481.702072307</v>
      </c>
      <c r="F20" s="232">
        <f t="shared" si="1"/>
        <v>114355614.27967694</v>
      </c>
      <c r="G20" s="232">
        <f t="shared" si="1"/>
        <v>593335937.700073</v>
      </c>
      <c r="H20" s="232">
        <f t="shared" si="1"/>
        <v>576626673.32874882</v>
      </c>
      <c r="I20" s="232">
        <f t="shared" si="1"/>
        <v>51116231.637252823</v>
      </c>
      <c r="J20" s="232">
        <f t="shared" si="1"/>
        <v>461708745.18542546</v>
      </c>
      <c r="K20" s="232">
        <f t="shared" si="1"/>
        <v>8944202.4107450116</v>
      </c>
      <c r="L20" s="232">
        <f t="shared" si="1"/>
        <v>13488188.573436858</v>
      </c>
      <c r="M20" s="232">
        <f t="shared" si="1"/>
        <v>22224114.918210894</v>
      </c>
      <c r="N20" s="230">
        <f t="shared" si="0"/>
        <v>1866944189.7356422</v>
      </c>
      <c r="O20" s="236"/>
      <c r="P20" s="236"/>
      <c r="Q20" s="236"/>
      <c r="R20" s="236"/>
    </row>
    <row r="21" spans="1:18" ht="12.75" customHeight="1">
      <c r="A21" s="553">
        <f t="shared" si="2"/>
        <v>10</v>
      </c>
      <c r="B21" s="553"/>
      <c r="C21" s="704" t="s">
        <v>2562</v>
      </c>
      <c r="D21" s="232">
        <f t="shared" si="3"/>
        <v>0</v>
      </c>
      <c r="E21" s="232">
        <f t="shared" si="3"/>
        <v>25388707.379880331</v>
      </c>
      <c r="F21" s="232">
        <f t="shared" si="1"/>
        <v>115703222.37486602</v>
      </c>
      <c r="G21" s="232">
        <f t="shared" si="1"/>
        <v>599087515.43056667</v>
      </c>
      <c r="H21" s="232">
        <f t="shared" si="1"/>
        <v>578094855.1774025</v>
      </c>
      <c r="I21" s="232">
        <f t="shared" si="1"/>
        <v>51696504.80450283</v>
      </c>
      <c r="J21" s="232">
        <f t="shared" si="1"/>
        <v>464720799.67695051</v>
      </c>
      <c r="K21" s="232">
        <f t="shared" si="1"/>
        <v>9227325.5545729138</v>
      </c>
      <c r="L21" s="232">
        <f t="shared" si="1"/>
        <v>14037946.14088228</v>
      </c>
      <c r="M21" s="232">
        <f t="shared" si="1"/>
        <v>22455500.607020225</v>
      </c>
      <c r="N21" s="230">
        <f t="shared" si="0"/>
        <v>1880412377.1466439</v>
      </c>
      <c r="O21" s="236"/>
      <c r="P21" s="236"/>
      <c r="Q21" s="236"/>
      <c r="R21" s="236"/>
    </row>
    <row r="22" spans="1:18" ht="12.75" customHeight="1">
      <c r="A22" s="553">
        <f t="shared" si="2"/>
        <v>11</v>
      </c>
      <c r="B22" s="553"/>
      <c r="C22" s="705" t="s">
        <v>2563</v>
      </c>
      <c r="D22" s="232">
        <f t="shared" si="3"/>
        <v>0</v>
      </c>
      <c r="E22" s="232">
        <f t="shared" si="3"/>
        <v>25618133.78338027</v>
      </c>
      <c r="F22" s="232">
        <f t="shared" si="1"/>
        <v>117106561.01260352</v>
      </c>
      <c r="G22" s="232">
        <f t="shared" si="1"/>
        <v>604389365.36341226</v>
      </c>
      <c r="H22" s="232">
        <f t="shared" si="1"/>
        <v>582496612.88466072</v>
      </c>
      <c r="I22" s="232">
        <f t="shared" si="1"/>
        <v>52078796.273452222</v>
      </c>
      <c r="J22" s="232">
        <f t="shared" si="1"/>
        <v>466945263.30622029</v>
      </c>
      <c r="K22" s="232">
        <f t="shared" si="1"/>
        <v>9485279.625958072</v>
      </c>
      <c r="L22" s="232">
        <f t="shared" si="1"/>
        <v>14407774.797019653</v>
      </c>
      <c r="M22" s="232">
        <f t="shared" si="1"/>
        <v>22707415.387885753</v>
      </c>
      <c r="N22" s="230">
        <f t="shared" si="0"/>
        <v>1895235202.434593</v>
      </c>
      <c r="O22" s="236"/>
      <c r="P22" s="236"/>
      <c r="Q22" s="236"/>
      <c r="R22" s="236"/>
    </row>
    <row r="23" spans="1:18" ht="12.75" customHeight="1">
      <c r="A23" s="553">
        <f t="shared" si="2"/>
        <v>12</v>
      </c>
      <c r="B23" s="553"/>
      <c r="C23" s="705" t="s">
        <v>2564</v>
      </c>
      <c r="D23" s="232">
        <f t="shared" si="3"/>
        <v>0</v>
      </c>
      <c r="E23" s="232">
        <f t="shared" si="3"/>
        <v>25845383.862741873</v>
      </c>
      <c r="F23" s="232">
        <f t="shared" si="1"/>
        <v>118566593.69692856</v>
      </c>
      <c r="G23" s="232">
        <f t="shared" si="1"/>
        <v>609580603.44452894</v>
      </c>
      <c r="H23" s="232">
        <f t="shared" si="1"/>
        <v>586855809.97415972</v>
      </c>
      <c r="I23" s="232">
        <f t="shared" si="1"/>
        <v>52373003.80805257</v>
      </c>
      <c r="J23" s="232">
        <f t="shared" si="1"/>
        <v>470406278.28024697</v>
      </c>
      <c r="K23" s="232">
        <f t="shared" si="1"/>
        <v>9779195.7397112139</v>
      </c>
      <c r="L23" s="232">
        <f t="shared" si="1"/>
        <v>14622801.142906452</v>
      </c>
      <c r="M23" s="232">
        <f t="shared" si="1"/>
        <v>22989238.754396893</v>
      </c>
      <c r="N23" s="230">
        <f t="shared" si="0"/>
        <v>1911018908.7036734</v>
      </c>
      <c r="O23" s="236"/>
      <c r="P23" s="236"/>
      <c r="Q23" s="236"/>
      <c r="R23" s="236"/>
    </row>
    <row r="24" spans="1:18" ht="13">
      <c r="A24" s="553">
        <f t="shared" si="2"/>
        <v>13</v>
      </c>
      <c r="B24" s="553"/>
      <c r="C24" s="704" t="s">
        <v>2553</v>
      </c>
      <c r="D24" s="116">
        <v>0</v>
      </c>
      <c r="E24" s="116">
        <v>26094240.982190136</v>
      </c>
      <c r="F24" s="116">
        <v>117949869.25554368</v>
      </c>
      <c r="G24" s="116">
        <v>600933059.71191561</v>
      </c>
      <c r="H24" s="116">
        <v>591191848.46649885</v>
      </c>
      <c r="I24" s="116">
        <v>52246029.772206806</v>
      </c>
      <c r="J24" s="116">
        <v>474012550.00490808</v>
      </c>
      <c r="K24" s="116">
        <v>10012744.632312972</v>
      </c>
      <c r="L24" s="116">
        <v>14787191.383395158</v>
      </c>
      <c r="M24" s="116">
        <v>23224783.891074482</v>
      </c>
      <c r="N24" s="361">
        <f t="shared" si="0"/>
        <v>1910452318.1000457</v>
      </c>
      <c r="O24" s="236"/>
      <c r="P24" s="236"/>
      <c r="Q24" s="236"/>
      <c r="R24" s="236"/>
    </row>
    <row r="25" spans="1:18" ht="13">
      <c r="A25" s="553">
        <f t="shared" si="2"/>
        <v>14</v>
      </c>
      <c r="B25" s="228"/>
      <c r="C25" s="1067" t="s">
        <v>1182</v>
      </c>
      <c r="D25" s="230">
        <f t="shared" ref="D25:M25" si="4">AVERAGE(D12:D24)</f>
        <v>0</v>
      </c>
      <c r="E25" s="230">
        <f t="shared" si="4"/>
        <v>24678021.798097983</v>
      </c>
      <c r="F25" s="230">
        <f t="shared" si="4"/>
        <v>112422826.01168427</v>
      </c>
      <c r="G25" s="230">
        <f t="shared" si="4"/>
        <v>585789204.6909709</v>
      </c>
      <c r="H25" s="230">
        <f t="shared" si="4"/>
        <v>567679917.32494617</v>
      </c>
      <c r="I25" s="230">
        <f t="shared" si="4"/>
        <v>50520962.725926988</v>
      </c>
      <c r="J25" s="230">
        <f t="shared" si="4"/>
        <v>455395630.2584368</v>
      </c>
      <c r="K25" s="230">
        <f t="shared" si="4"/>
        <v>8365110.137405836</v>
      </c>
      <c r="L25" s="230">
        <f t="shared" si="4"/>
        <v>13176643.618967235</v>
      </c>
      <c r="M25" s="230">
        <f t="shared" si="4"/>
        <v>21745855.714149293</v>
      </c>
      <c r="N25" s="230">
        <f>SUM(D25:M25)</f>
        <v>1839774172.2805853</v>
      </c>
      <c r="O25" s="236"/>
      <c r="P25" s="236"/>
      <c r="Q25" s="236"/>
      <c r="R25" s="236"/>
    </row>
    <row r="26" spans="1:18">
      <c r="A26" s="228"/>
      <c r="B26" s="228"/>
      <c r="C26" s="228"/>
      <c r="D26" s="236"/>
      <c r="E26" s="236"/>
      <c r="F26" s="236"/>
      <c r="G26" s="236"/>
      <c r="H26" s="236"/>
      <c r="I26" s="236"/>
      <c r="J26" s="236"/>
      <c r="K26" s="236"/>
      <c r="L26" s="236"/>
      <c r="M26" s="236"/>
      <c r="N26" s="236"/>
      <c r="O26" s="236"/>
      <c r="P26" s="236"/>
      <c r="Q26" s="236"/>
      <c r="R26" s="236"/>
    </row>
    <row r="27" spans="1:18" ht="13">
      <c r="A27" s="228"/>
      <c r="B27" s="386" t="s">
        <v>1532</v>
      </c>
      <c r="C27" s="228"/>
      <c r="D27" s="228"/>
      <c r="E27" s="228"/>
      <c r="F27" s="228"/>
      <c r="G27" s="228"/>
      <c r="H27" s="228"/>
      <c r="I27" s="228"/>
      <c r="J27" s="228"/>
      <c r="K27" s="228"/>
      <c r="L27" s="228"/>
      <c r="M27" s="228"/>
      <c r="N27" s="228"/>
      <c r="O27" s="236"/>
      <c r="P27" s="236"/>
      <c r="Q27" s="236"/>
      <c r="R27" s="236"/>
    </row>
    <row r="28" spans="1:18" ht="13">
      <c r="A28" s="228"/>
      <c r="B28" s="386"/>
      <c r="C28" s="228"/>
      <c r="D28" s="228"/>
      <c r="E28" s="228"/>
      <c r="F28" s="228"/>
      <c r="G28" s="228"/>
      <c r="H28" s="228"/>
      <c r="I28" s="228"/>
      <c r="J28" s="228"/>
      <c r="K28" s="228"/>
      <c r="L28" s="228"/>
      <c r="M28" s="228"/>
      <c r="N28" s="228"/>
      <c r="O28" s="236"/>
      <c r="P28" s="236"/>
      <c r="Q28" s="236"/>
      <c r="R28" s="236"/>
    </row>
    <row r="29" spans="1:18" ht="13">
      <c r="A29" s="228"/>
      <c r="B29" s="228"/>
      <c r="C29" s="84" t="s">
        <v>358</v>
      </c>
      <c r="D29" s="84" t="s">
        <v>342</v>
      </c>
      <c r="E29" s="84" t="s">
        <v>343</v>
      </c>
      <c r="F29" s="84" t="s">
        <v>344</v>
      </c>
      <c r="G29" s="84" t="s">
        <v>345</v>
      </c>
      <c r="H29" s="228"/>
      <c r="I29" s="228"/>
      <c r="J29" s="228"/>
      <c r="K29" s="228"/>
      <c r="L29" s="228"/>
      <c r="M29" s="228"/>
      <c r="N29" s="228"/>
      <c r="O29" s="236"/>
      <c r="P29" s="236"/>
      <c r="Q29" s="236"/>
      <c r="R29" s="236"/>
    </row>
    <row r="30" spans="1:18" ht="13">
      <c r="A30" s="228"/>
      <c r="B30" s="228"/>
      <c r="C30" s="228"/>
      <c r="D30" s="506" t="s">
        <v>12</v>
      </c>
      <c r="E30" s="228"/>
      <c r="F30" s="228"/>
      <c r="G30" s="450" t="s">
        <v>1641</v>
      </c>
      <c r="H30" s="228"/>
      <c r="I30" s="228"/>
      <c r="J30" s="228"/>
      <c r="K30" s="228"/>
      <c r="L30" s="228"/>
      <c r="M30" s="228"/>
      <c r="N30" s="228"/>
      <c r="O30" s="507"/>
      <c r="P30" s="236"/>
      <c r="Q30" s="236"/>
      <c r="R30" s="236"/>
    </row>
    <row r="31" spans="1:18">
      <c r="A31" s="228"/>
      <c r="B31" s="228"/>
      <c r="C31" s="228"/>
      <c r="D31" s="506" t="s">
        <v>964</v>
      </c>
      <c r="E31" s="228"/>
      <c r="F31" s="228"/>
      <c r="G31" s="228"/>
      <c r="H31" s="228"/>
      <c r="I31" s="228"/>
      <c r="J31" s="228"/>
      <c r="K31" s="228"/>
      <c r="L31" s="228"/>
      <c r="M31" s="228"/>
      <c r="N31" s="228"/>
      <c r="O31" s="454"/>
      <c r="P31" s="236"/>
      <c r="Q31" s="236"/>
      <c r="R31" s="236"/>
    </row>
    <row r="32" spans="1:18" ht="13">
      <c r="A32" s="228"/>
      <c r="B32" s="228"/>
      <c r="C32" s="123" t="s">
        <v>1750</v>
      </c>
      <c r="D32" s="84">
        <v>360</v>
      </c>
      <c r="E32" s="84">
        <v>361</v>
      </c>
      <c r="F32" s="84">
        <v>362</v>
      </c>
      <c r="G32" s="3" t="s">
        <v>196</v>
      </c>
      <c r="H32" s="870" t="s">
        <v>168</v>
      </c>
      <c r="I32" s="236"/>
      <c r="J32" s="236"/>
      <c r="K32" s="228"/>
      <c r="L32" s="228"/>
      <c r="M32" s="228"/>
      <c r="N32" s="228"/>
      <c r="O32" s="454"/>
      <c r="P32" s="236"/>
      <c r="Q32" s="236"/>
      <c r="R32" s="236"/>
    </row>
    <row r="33" spans="1:18" ht="13">
      <c r="A33" s="553">
        <f>A25+1</f>
        <v>15</v>
      </c>
      <c r="C33" s="704" t="s">
        <v>2479</v>
      </c>
      <c r="D33" s="980">
        <v>0</v>
      </c>
      <c r="E33" s="980">
        <v>0</v>
      </c>
      <c r="F33" s="980">
        <v>0</v>
      </c>
      <c r="G33" s="230">
        <f>SUM(D33:F33)</f>
        <v>0</v>
      </c>
      <c r="H33" s="466" t="s">
        <v>1751</v>
      </c>
      <c r="I33" s="236"/>
      <c r="J33" s="236"/>
      <c r="K33" s="228"/>
      <c r="L33" s="228"/>
      <c r="M33" s="228"/>
      <c r="N33" s="228"/>
      <c r="O33" s="454"/>
      <c r="P33" s="236"/>
      <c r="Q33" s="236"/>
      <c r="R33" s="236"/>
    </row>
    <row r="34" spans="1:18" ht="13">
      <c r="A34" s="553">
        <v>16</v>
      </c>
      <c r="C34" s="704" t="s">
        <v>2553</v>
      </c>
      <c r="D34" s="388">
        <v>0</v>
      </c>
      <c r="E34" s="388">
        <v>0</v>
      </c>
      <c r="F34" s="388">
        <v>0</v>
      </c>
      <c r="G34" s="361">
        <f>SUM(D34:F34)</f>
        <v>0</v>
      </c>
      <c r="H34" s="466" t="s">
        <v>89</v>
      </c>
      <c r="I34" s="236"/>
      <c r="J34" s="236"/>
      <c r="K34" s="228"/>
      <c r="L34" s="228"/>
      <c r="O34" s="454"/>
      <c r="P34" s="236"/>
      <c r="Q34" s="236"/>
      <c r="R34" s="236"/>
    </row>
    <row r="35" spans="1:18" ht="13">
      <c r="A35" s="553">
        <f>A34+1</f>
        <v>17</v>
      </c>
      <c r="C35" s="229" t="s">
        <v>1312</v>
      </c>
      <c r="D35" s="230">
        <f>AVERAGE(D33:D34)</f>
        <v>0</v>
      </c>
      <c r="E35" s="230">
        <f>AVERAGE(E33:E34)</f>
        <v>0</v>
      </c>
      <c r="F35" s="230">
        <f>AVERAGE(F33:F34)</f>
        <v>0</v>
      </c>
      <c r="G35" s="230">
        <f>AVERAGE(G33:G34)</f>
        <v>0</v>
      </c>
      <c r="H35" s="242" t="str">
        <f>"Average of Line "&amp;A33&amp;" and Line "&amp;A34&amp;""</f>
        <v>Average of Line 15 and Line 16</v>
      </c>
      <c r="I35" s="228"/>
      <c r="J35" s="236"/>
      <c r="K35" s="228"/>
      <c r="M35" s="615"/>
      <c r="N35" s="585"/>
      <c r="O35" s="454"/>
      <c r="P35" s="236"/>
      <c r="Q35" s="236"/>
      <c r="R35" s="236"/>
    </row>
    <row r="36" spans="1:18">
      <c r="C36" s="229"/>
      <c r="D36" s="14"/>
      <c r="E36" s="14"/>
      <c r="F36" s="14"/>
      <c r="G36" s="14"/>
      <c r="I36" s="228"/>
      <c r="J36" s="228"/>
      <c r="K36" s="228"/>
      <c r="M36" s="608"/>
      <c r="N36" s="1078"/>
      <c r="O36" s="454"/>
      <c r="P36" s="236"/>
      <c r="Q36" s="236"/>
      <c r="R36" s="236"/>
    </row>
    <row r="37" spans="1:18" ht="13">
      <c r="B37" s="386" t="s">
        <v>1529</v>
      </c>
      <c r="I37" s="228"/>
      <c r="J37" s="228"/>
      <c r="K37" s="228"/>
      <c r="L37" s="228"/>
      <c r="M37" s="615"/>
      <c r="N37" s="1078"/>
      <c r="O37" s="454"/>
      <c r="P37" s="236"/>
      <c r="Q37" s="236"/>
      <c r="R37" s="236"/>
    </row>
    <row r="38" spans="1:18" ht="14.5">
      <c r="B38" s="364"/>
      <c r="C38" s="352" t="s">
        <v>358</v>
      </c>
      <c r="D38" s="352" t="s">
        <v>342</v>
      </c>
      <c r="E38" s="352" t="s">
        <v>343</v>
      </c>
      <c r="F38" s="352" t="s">
        <v>344</v>
      </c>
      <c r="G38" s="352" t="s">
        <v>345</v>
      </c>
      <c r="J38" s="228"/>
      <c r="K38" s="231"/>
      <c r="L38" s="228"/>
      <c r="O38" s="236"/>
      <c r="P38" s="236"/>
      <c r="Q38" s="236"/>
      <c r="R38" s="236"/>
    </row>
    <row r="39" spans="1:18" ht="14.5">
      <c r="B39" s="364"/>
      <c r="C39" s="352"/>
      <c r="D39" s="352"/>
      <c r="E39" s="529" t="s">
        <v>1777</v>
      </c>
      <c r="F39" s="352"/>
      <c r="G39" s="352"/>
      <c r="J39" s="228"/>
      <c r="K39" s="231"/>
      <c r="L39" s="228"/>
      <c r="O39" s="236"/>
      <c r="P39" s="236"/>
      <c r="Q39" s="236"/>
      <c r="R39" s="236"/>
    </row>
    <row r="40" spans="1:18" ht="13">
      <c r="C40" s="14"/>
      <c r="D40" s="14"/>
      <c r="E40" s="442" t="s">
        <v>196</v>
      </c>
      <c r="F40" s="14"/>
      <c r="G40" s="14"/>
      <c r="J40" s="228"/>
      <c r="K40" s="231"/>
      <c r="L40" s="228"/>
      <c r="O40" s="236"/>
      <c r="P40" s="236"/>
      <c r="Q40" s="236"/>
      <c r="R40" s="236"/>
    </row>
    <row r="41" spans="1:18" ht="13">
      <c r="B41" s="228"/>
      <c r="C41" s="14"/>
      <c r="D41" s="236"/>
      <c r="E41" s="442" t="s">
        <v>1776</v>
      </c>
      <c r="F41" s="110" t="s">
        <v>1203</v>
      </c>
      <c r="G41" s="110" t="s">
        <v>1204</v>
      </c>
      <c r="J41" s="228"/>
      <c r="K41" s="231"/>
      <c r="L41" s="228"/>
      <c r="O41" s="236"/>
      <c r="P41" s="236"/>
      <c r="Q41" s="236"/>
      <c r="R41" s="236"/>
    </row>
    <row r="42" spans="1:18" ht="13">
      <c r="B42" s="228"/>
      <c r="C42" s="14"/>
      <c r="D42" s="236"/>
      <c r="E42" s="442" t="s">
        <v>1313</v>
      </c>
      <c r="F42" s="442" t="s">
        <v>1313</v>
      </c>
      <c r="G42" s="442" t="s">
        <v>1313</v>
      </c>
      <c r="J42" s="228"/>
      <c r="K42" s="231"/>
      <c r="L42" s="228"/>
      <c r="Q42" s="236"/>
      <c r="R42" s="236"/>
    </row>
    <row r="43" spans="1:18" ht="13">
      <c r="B43" s="228"/>
      <c r="C43" s="123" t="s">
        <v>1750</v>
      </c>
      <c r="D43" s="236"/>
      <c r="E43" s="443" t="s">
        <v>1314</v>
      </c>
      <c r="F43" s="443" t="s">
        <v>1314</v>
      </c>
      <c r="G43" s="443" t="s">
        <v>1314</v>
      </c>
      <c r="H43" s="389" t="s">
        <v>179</v>
      </c>
      <c r="J43" s="228"/>
      <c r="K43" s="362"/>
      <c r="L43" s="228"/>
      <c r="O43" s="236"/>
      <c r="P43" s="236"/>
      <c r="Q43" s="236"/>
      <c r="R43" s="236"/>
    </row>
    <row r="44" spans="1:18" ht="13">
      <c r="A44" s="553">
        <f>A35+1</f>
        <v>18</v>
      </c>
      <c r="B44" s="228"/>
      <c r="C44" s="939" t="s">
        <v>2479</v>
      </c>
      <c r="D44" s="1068" t="s">
        <v>1310</v>
      </c>
      <c r="E44" s="232">
        <f>SUM(F44:G44)</f>
        <v>1612060674</v>
      </c>
      <c r="F44" s="980">
        <v>1060652423</v>
      </c>
      <c r="G44" s="573">
        <v>551408251</v>
      </c>
      <c r="H44" s="466" t="s">
        <v>1778</v>
      </c>
      <c r="I44" s="14"/>
      <c r="J44" s="236"/>
      <c r="L44" s="228"/>
      <c r="O44" s="236"/>
      <c r="P44" s="236"/>
      <c r="Q44" s="236"/>
      <c r="R44" s="236"/>
    </row>
    <row r="45" spans="1:18" ht="13">
      <c r="A45" s="553">
        <f>A44+1</f>
        <v>19</v>
      </c>
      <c r="B45" s="228"/>
      <c r="C45" s="704" t="s">
        <v>2553</v>
      </c>
      <c r="D45" s="229" t="s">
        <v>1311</v>
      </c>
      <c r="E45" s="449">
        <f>SUM(F45:G45)</f>
        <v>1609893450</v>
      </c>
      <c r="F45" s="980">
        <v>1089877633</v>
      </c>
      <c r="G45" s="573">
        <v>520015817</v>
      </c>
      <c r="H45" s="466" t="s">
        <v>1779</v>
      </c>
      <c r="I45" s="14"/>
      <c r="J45" s="236"/>
      <c r="K45" s="1090"/>
      <c r="L45" s="228"/>
      <c r="O45" s="236"/>
      <c r="P45" s="236"/>
      <c r="Q45" s="236"/>
      <c r="R45" s="236"/>
    </row>
    <row r="46" spans="1:18" ht="13">
      <c r="A46" s="553">
        <f>A45+1</f>
        <v>20</v>
      </c>
      <c r="B46" s="228"/>
      <c r="D46" s="229" t="s">
        <v>1312</v>
      </c>
      <c r="E46" s="230">
        <f>AVERAGE(E44:E45)</f>
        <v>1610977062</v>
      </c>
      <c r="H46" s="242" t="str">
        <f>"Average of Line "&amp;A44&amp;" and Line "&amp;A45&amp;""</f>
        <v>Average of Line 18 and Line 19</v>
      </c>
      <c r="J46" s="228"/>
      <c r="K46" s="1090"/>
      <c r="L46" s="228"/>
      <c r="O46" s="236"/>
      <c r="P46" s="236"/>
      <c r="Q46" s="236"/>
      <c r="R46" s="236"/>
    </row>
    <row r="47" spans="1:18">
      <c r="E47" s="14"/>
      <c r="I47" s="228"/>
      <c r="J47" s="228"/>
      <c r="K47" s="228"/>
      <c r="L47" s="228"/>
      <c r="O47" s="236"/>
      <c r="P47" s="236"/>
      <c r="Q47" s="236"/>
      <c r="R47" s="236"/>
    </row>
    <row r="48" spans="1:18" ht="13">
      <c r="B48" s="1" t="s">
        <v>1315</v>
      </c>
      <c r="C48" s="620"/>
      <c r="D48" s="1074"/>
      <c r="E48" s="228"/>
      <c r="F48" s="228"/>
      <c r="G48" s="228"/>
      <c r="H48" s="228"/>
      <c r="I48" s="228"/>
      <c r="J48" s="228"/>
      <c r="K48" s="228"/>
      <c r="L48" s="228"/>
      <c r="M48" s="228"/>
      <c r="N48" s="228"/>
      <c r="O48" s="236"/>
      <c r="P48" s="236"/>
      <c r="Q48" s="236"/>
      <c r="R48" s="236"/>
    </row>
    <row r="49" spans="1:18" ht="13">
      <c r="B49" s="1"/>
      <c r="C49" s="620"/>
      <c r="D49" s="1074"/>
      <c r="E49" s="228"/>
      <c r="F49" s="228"/>
      <c r="G49" s="228"/>
      <c r="H49" s="228"/>
      <c r="I49" s="228"/>
      <c r="J49" s="228"/>
      <c r="K49" s="228"/>
      <c r="L49" s="228"/>
      <c r="M49" s="228"/>
      <c r="N49" s="228"/>
      <c r="O49" s="236"/>
      <c r="P49" s="236"/>
      <c r="Q49" s="236"/>
      <c r="R49" s="236"/>
    </row>
    <row r="50" spans="1:18" ht="13">
      <c r="B50" s="228"/>
      <c r="C50" s="1"/>
      <c r="D50" s="620"/>
      <c r="E50" s="1074"/>
      <c r="F50" s="362" t="s">
        <v>175</v>
      </c>
      <c r="G50" s="389" t="s">
        <v>179</v>
      </c>
      <c r="H50" s="228"/>
      <c r="I50" s="228"/>
      <c r="J50" s="228"/>
      <c r="K50" s="228"/>
      <c r="L50" s="228"/>
      <c r="M50" s="228"/>
      <c r="N50" s="228"/>
      <c r="O50" s="236"/>
      <c r="P50" s="236"/>
      <c r="Q50" s="236"/>
      <c r="R50" s="236"/>
    </row>
    <row r="51" spans="1:18" ht="13">
      <c r="A51" s="553">
        <f>A46+1</f>
        <v>21</v>
      </c>
      <c r="B51" s="228"/>
      <c r="C51" s="620"/>
      <c r="D51" s="620"/>
      <c r="E51" s="1068" t="s">
        <v>1316</v>
      </c>
      <c r="F51" s="1069">
        <f>E46</f>
        <v>1610977062</v>
      </c>
      <c r="G51" s="242" t="str">
        <f>"Line "&amp;A46&amp;""</f>
        <v>Line 20</v>
      </c>
      <c r="H51" s="236"/>
      <c r="I51" s="236"/>
      <c r="J51" s="228"/>
      <c r="K51" s="228"/>
      <c r="L51" s="228"/>
      <c r="M51" s="228"/>
      <c r="N51" s="228"/>
      <c r="O51" s="236"/>
      <c r="P51" s="236"/>
      <c r="Q51" s="236"/>
      <c r="R51" s="236"/>
    </row>
    <row r="52" spans="1:18" ht="13">
      <c r="A52" s="553">
        <f>A51+1</f>
        <v>22</v>
      </c>
      <c r="B52" s="228"/>
      <c r="C52" s="620"/>
      <c r="D52" s="620"/>
      <c r="E52" s="589" t="s">
        <v>239</v>
      </c>
      <c r="F52" s="1090">
        <f>'27-Allocators'!G15</f>
        <v>6.5680595610890333E-2</v>
      </c>
      <c r="G52" s="454" t="str">
        <f>"27-Allocators, Line "&amp;'27-Allocators'!A15&amp;""</f>
        <v>27-Allocators, Line 9</v>
      </c>
      <c r="H52" s="236"/>
      <c r="I52" s="236"/>
      <c r="J52" s="228"/>
      <c r="K52" s="228"/>
      <c r="L52" s="228"/>
      <c r="M52" s="228"/>
      <c r="N52" s="228"/>
      <c r="O52" s="236"/>
      <c r="P52" s="236"/>
      <c r="Q52" s="236"/>
      <c r="R52" s="236"/>
    </row>
    <row r="53" spans="1:18" ht="13">
      <c r="A53" s="553">
        <f>A52+1</f>
        <v>23</v>
      </c>
      <c r="B53" s="228"/>
      <c r="C53" s="620"/>
      <c r="D53" s="620"/>
      <c r="E53" s="589" t="s">
        <v>1317</v>
      </c>
      <c r="F53" s="1069">
        <f>F51*F52</f>
        <v>105809932.94764221</v>
      </c>
      <c r="G53" s="454" t="str">
        <f>"Line "&amp;A51&amp;" * Line "&amp;A52&amp;""</f>
        <v>Line 21 * Line 22</v>
      </c>
      <c r="H53" s="236"/>
      <c r="I53" s="236"/>
      <c r="J53" s="228"/>
      <c r="K53" s="228"/>
      <c r="L53" s="228"/>
      <c r="M53" s="228"/>
      <c r="O53" s="236"/>
      <c r="P53" s="236"/>
      <c r="Q53" s="236"/>
      <c r="R53" s="236"/>
    </row>
    <row r="54" spans="1:18" ht="13">
      <c r="B54" s="620"/>
      <c r="C54" s="620"/>
      <c r="D54" s="589"/>
      <c r="E54" s="1069"/>
      <c r="F54" s="228"/>
      <c r="G54" s="236"/>
      <c r="H54" s="228"/>
      <c r="I54" s="228"/>
      <c r="J54" s="228"/>
      <c r="K54" s="228"/>
      <c r="L54" s="228"/>
      <c r="M54" s="228"/>
      <c r="O54" s="236"/>
      <c r="P54" s="236"/>
      <c r="Q54" s="236"/>
      <c r="R54" s="236"/>
    </row>
    <row r="55" spans="1:18" ht="13">
      <c r="B55" s="1" t="s">
        <v>2155</v>
      </c>
      <c r="C55" s="620"/>
      <c r="D55" s="1074"/>
      <c r="E55" s="228"/>
      <c r="F55" s="228"/>
      <c r="G55" s="236"/>
      <c r="H55" s="228"/>
      <c r="I55" s="228"/>
      <c r="J55" s="228"/>
      <c r="K55" s="228"/>
      <c r="L55" s="228"/>
      <c r="M55" s="228"/>
      <c r="O55" s="236"/>
      <c r="P55" s="236"/>
      <c r="Q55" s="236"/>
      <c r="R55" s="236"/>
    </row>
    <row r="56" spans="1:18" ht="13">
      <c r="B56" s="228"/>
      <c r="C56" s="228"/>
      <c r="D56" s="228"/>
      <c r="E56" s="228"/>
      <c r="F56" s="228"/>
      <c r="G56" s="236"/>
      <c r="H56" s="228"/>
      <c r="I56" s="228"/>
      <c r="J56" s="228"/>
      <c r="K56" s="228"/>
      <c r="L56" s="228"/>
      <c r="M56" s="228"/>
      <c r="O56" s="876"/>
      <c r="P56" s="1056"/>
      <c r="Q56" s="236"/>
      <c r="R56" s="236"/>
    </row>
    <row r="57" spans="1:18" ht="13">
      <c r="B57" s="228"/>
      <c r="C57" s="228"/>
      <c r="D57" s="228"/>
      <c r="E57" s="228"/>
      <c r="F57" s="362" t="s">
        <v>175</v>
      </c>
      <c r="G57" s="507" t="s">
        <v>179</v>
      </c>
      <c r="H57" s="228"/>
      <c r="I57" s="228"/>
      <c r="J57" s="228"/>
      <c r="K57" s="228"/>
      <c r="L57" s="228"/>
      <c r="M57" s="228"/>
      <c r="O57" s="628"/>
      <c r="P57" s="628"/>
      <c r="Q57" s="236"/>
      <c r="R57" s="236"/>
    </row>
    <row r="58" spans="1:18" ht="13">
      <c r="A58" s="553">
        <f>A53+1</f>
        <v>24</v>
      </c>
      <c r="B58" s="620"/>
      <c r="C58" s="620"/>
      <c r="E58" s="1068" t="s">
        <v>1318</v>
      </c>
      <c r="F58" s="1069">
        <f>E45</f>
        <v>1609893450</v>
      </c>
      <c r="G58" s="454" t="str">
        <f>"Line "&amp;A45&amp;""</f>
        <v>Line 19</v>
      </c>
      <c r="H58" s="236"/>
      <c r="I58" s="236"/>
      <c r="J58" s="228"/>
      <c r="K58" s="228"/>
      <c r="L58" s="228"/>
      <c r="M58" s="228"/>
      <c r="O58" s="1091"/>
      <c r="P58" s="630"/>
      <c r="Q58" s="236"/>
      <c r="R58" s="236"/>
    </row>
    <row r="59" spans="1:18" ht="13">
      <c r="A59" s="553">
        <f>A58+1</f>
        <v>25</v>
      </c>
      <c r="B59" s="620"/>
      <c r="C59" s="620"/>
      <c r="E59" s="589" t="s">
        <v>239</v>
      </c>
      <c r="F59" s="1090">
        <f>'27-Allocators'!G15</f>
        <v>6.5680595610890333E-2</v>
      </c>
      <c r="G59" s="454" t="str">
        <f>"27-Allocators, Line "&amp;'27-Allocators'!A15&amp;""</f>
        <v>27-Allocators, Line 9</v>
      </c>
      <c r="H59" s="236"/>
      <c r="I59" s="236"/>
      <c r="J59" s="228"/>
      <c r="K59" s="228"/>
      <c r="L59" s="228"/>
      <c r="M59" s="228"/>
      <c r="O59" s="1091"/>
      <c r="P59" s="630"/>
      <c r="Q59" s="236"/>
      <c r="R59" s="236"/>
    </row>
    <row r="60" spans="1:18" ht="13">
      <c r="A60" s="553">
        <f>A59+1</f>
        <v>26</v>
      </c>
      <c r="B60" s="620"/>
      <c r="C60" s="620"/>
      <c r="E60" s="589" t="s">
        <v>1319</v>
      </c>
      <c r="F60" s="1069">
        <f>F58*F59</f>
        <v>105738760.6660711</v>
      </c>
      <c r="G60" s="242" t="str">
        <f>"Line "&amp;A58&amp;" * Line "&amp;A59&amp;""</f>
        <v>Line 24 * Line 25</v>
      </c>
      <c r="H60" s="236"/>
      <c r="I60" s="236"/>
      <c r="J60" s="228"/>
      <c r="K60" s="228"/>
      <c r="L60" s="228"/>
      <c r="M60" s="228"/>
      <c r="Q60" s="236"/>
      <c r="R60" s="236"/>
    </row>
    <row r="61" spans="1:18">
      <c r="B61" s="228"/>
      <c r="C61" s="228"/>
      <c r="D61" s="228"/>
      <c r="E61" s="228"/>
      <c r="F61" s="228"/>
      <c r="G61" s="228"/>
      <c r="H61" s="228"/>
      <c r="I61" s="228"/>
      <c r="J61" s="228"/>
      <c r="K61" s="228"/>
      <c r="L61" s="228"/>
      <c r="M61" s="228"/>
      <c r="Q61" s="236"/>
      <c r="R61" s="236"/>
    </row>
    <row r="62" spans="1:18">
      <c r="Q62" s="236"/>
      <c r="R62" s="236"/>
    </row>
    <row r="63" spans="1:18" ht="13">
      <c r="B63" s="1" t="s">
        <v>1530</v>
      </c>
      <c r="Q63" s="236"/>
      <c r="R63" s="236"/>
    </row>
    <row r="64" spans="1:18">
      <c r="Q64" s="236"/>
      <c r="R64" s="236"/>
    </row>
    <row r="65" spans="1:14" ht="13">
      <c r="C65" s="1" t="s">
        <v>2367</v>
      </c>
      <c r="D65" s="467"/>
      <c r="E65" s="467"/>
      <c r="F65" s="467"/>
      <c r="G65" s="467"/>
      <c r="H65" s="467"/>
      <c r="I65" s="467"/>
      <c r="J65" s="467"/>
      <c r="K65" s="467"/>
      <c r="L65" s="467"/>
    </row>
    <row r="66" spans="1:14">
      <c r="A66" s="467"/>
      <c r="C66" s="467"/>
      <c r="D66" s="467"/>
      <c r="E66" s="467"/>
      <c r="F66" s="467"/>
      <c r="G66" s="467"/>
      <c r="H66" s="467"/>
      <c r="I66" s="467"/>
      <c r="J66" s="467"/>
      <c r="K66" s="467"/>
      <c r="L66" s="467"/>
    </row>
    <row r="67" spans="1:14" ht="13">
      <c r="A67" s="386"/>
      <c r="C67" s="84" t="s">
        <v>358</v>
      </c>
      <c r="D67" s="84" t="s">
        <v>342</v>
      </c>
      <c r="E67" s="84" t="s">
        <v>343</v>
      </c>
      <c r="F67" s="84" t="s">
        <v>344</v>
      </c>
      <c r="G67" s="84" t="s">
        <v>345</v>
      </c>
      <c r="H67" s="84" t="s">
        <v>346</v>
      </c>
      <c r="I67" s="84" t="s">
        <v>347</v>
      </c>
      <c r="J67" s="84" t="s">
        <v>534</v>
      </c>
      <c r="K67" s="84" t="s">
        <v>951</v>
      </c>
      <c r="L67" s="84" t="s">
        <v>963</v>
      </c>
      <c r="M67" s="84" t="s">
        <v>966</v>
      </c>
      <c r="N67" s="84" t="s">
        <v>984</v>
      </c>
    </row>
    <row r="68" spans="1:14">
      <c r="A68" s="228"/>
      <c r="C68" s="244"/>
      <c r="D68" s="228"/>
      <c r="E68" s="228"/>
      <c r="F68" s="228"/>
      <c r="G68" s="228"/>
      <c r="H68" s="228"/>
      <c r="I68" s="228"/>
      <c r="J68" s="228"/>
      <c r="K68" s="228"/>
      <c r="L68" s="228"/>
      <c r="N68" s="244" t="s">
        <v>1216</v>
      </c>
    </row>
    <row r="69" spans="1:14" ht="13">
      <c r="A69" s="51"/>
      <c r="C69" s="123" t="s">
        <v>1750</v>
      </c>
      <c r="D69" s="84">
        <v>350.1</v>
      </c>
      <c r="E69" s="84">
        <v>350.2</v>
      </c>
      <c r="F69" s="84">
        <v>352</v>
      </c>
      <c r="G69" s="84">
        <v>353</v>
      </c>
      <c r="H69" s="84">
        <v>354</v>
      </c>
      <c r="I69" s="84">
        <v>355</v>
      </c>
      <c r="J69" s="84">
        <v>356</v>
      </c>
      <c r="K69" s="84">
        <v>357</v>
      </c>
      <c r="L69" s="84">
        <v>358</v>
      </c>
      <c r="M69" s="84">
        <v>359</v>
      </c>
      <c r="N69" s="3" t="s">
        <v>196</v>
      </c>
    </row>
    <row r="70" spans="1:14" ht="13">
      <c r="A70" s="553">
        <f>A60+1</f>
        <v>27</v>
      </c>
      <c r="C70" s="705" t="s">
        <v>2554</v>
      </c>
      <c r="D70" s="481">
        <f>'17-Depreciation'!C48</f>
        <v>0</v>
      </c>
      <c r="E70" s="481">
        <f>'17-Depreciation'!D48</f>
        <v>228612.35939537571</v>
      </c>
      <c r="F70" s="481">
        <f>'17-Depreciation'!E48</f>
        <v>1378537.9555505149</v>
      </c>
      <c r="G70" s="481">
        <f>'17-Depreciation'!F48</f>
        <v>7121346.6466491697</v>
      </c>
      <c r="H70" s="481">
        <f>'17-Depreciation'!G48</f>
        <v>4645576.5832561329</v>
      </c>
      <c r="I70" s="481">
        <f>'17-Depreciation'!H48</f>
        <v>1182175.173197662</v>
      </c>
      <c r="J70" s="481">
        <f>'17-Depreciation'!I48</f>
        <v>3333419.692423882</v>
      </c>
      <c r="K70" s="481">
        <f>'17-Depreciation'!J48</f>
        <v>262475.40275004989</v>
      </c>
      <c r="L70" s="481">
        <f>'17-Depreciation'!K48</f>
        <v>270865.23127521289</v>
      </c>
      <c r="M70" s="481">
        <f>'17-Depreciation'!L48</f>
        <v>225918.68390000003</v>
      </c>
      <c r="N70" s="230">
        <f t="shared" ref="N70:N82" si="5">SUM(D70:M70)</f>
        <v>18648927.728397995</v>
      </c>
    </row>
    <row r="71" spans="1:14" ht="13">
      <c r="A71" s="553">
        <f t="shared" ref="A71:A82" si="6">A70+1</f>
        <v>28</v>
      </c>
      <c r="C71" s="704" t="s">
        <v>2555</v>
      </c>
      <c r="D71" s="481">
        <f>'17-Depreciation'!C49</f>
        <v>0</v>
      </c>
      <c r="E71" s="481">
        <f>'17-Depreciation'!D49</f>
        <v>228551.25158172916</v>
      </c>
      <c r="F71" s="481">
        <f>'17-Depreciation'!E49</f>
        <v>1383520.1998343221</v>
      </c>
      <c r="G71" s="481">
        <f>'17-Depreciation'!F49</f>
        <v>7127811.7498428151</v>
      </c>
      <c r="H71" s="481">
        <f>'17-Depreciation'!G49</f>
        <v>4622814.0171417715</v>
      </c>
      <c r="I71" s="481">
        <f>'17-Depreciation'!H49</f>
        <v>1200730.582529986</v>
      </c>
      <c r="J71" s="481">
        <f>'17-Depreciation'!I49</f>
        <v>3354417.0457676877</v>
      </c>
      <c r="K71" s="481">
        <f>'17-Depreciation'!J49</f>
        <v>262470.27727555815</v>
      </c>
      <c r="L71" s="481">
        <f>'17-Depreciation'!K49</f>
        <v>270859.49461807165</v>
      </c>
      <c r="M71" s="481">
        <f>'17-Depreciation'!L49</f>
        <v>225931.8803756097</v>
      </c>
      <c r="N71" s="230">
        <f t="shared" si="5"/>
        <v>18677106.498967554</v>
      </c>
    </row>
    <row r="72" spans="1:14" ht="13">
      <c r="A72" s="553">
        <f t="shared" si="6"/>
        <v>29</v>
      </c>
      <c r="C72" s="704" t="s">
        <v>2556</v>
      </c>
      <c r="D72" s="481">
        <f>'17-Depreciation'!C50</f>
        <v>0</v>
      </c>
      <c r="E72" s="481">
        <f>'17-Depreciation'!D50</f>
        <v>228580.24865978389</v>
      </c>
      <c r="F72" s="481">
        <f>'17-Depreciation'!E50</f>
        <v>1391902.3430414132</v>
      </c>
      <c r="G72" s="481">
        <f>'17-Depreciation'!F50</f>
        <v>7128008.9375565164</v>
      </c>
      <c r="H72" s="481">
        <f>'17-Depreciation'!G50</f>
        <v>4623596.4899500823</v>
      </c>
      <c r="I72" s="481">
        <f>'17-Depreciation'!H50</f>
        <v>1206648.8636158996</v>
      </c>
      <c r="J72" s="481">
        <f>'17-Depreciation'!I50</f>
        <v>3355460.8525568624</v>
      </c>
      <c r="K72" s="481">
        <f>'17-Depreciation'!J50</f>
        <v>262482.72710641444</v>
      </c>
      <c r="L72" s="481">
        <f>'17-Depreciation'!K50</f>
        <v>270873.59771124303</v>
      </c>
      <c r="M72" s="481">
        <f>'17-Depreciation'!L50</f>
        <v>226155.59237765812</v>
      </c>
      <c r="N72" s="230">
        <f t="shared" si="5"/>
        <v>18693709.652575873</v>
      </c>
    </row>
    <row r="73" spans="1:14" ht="13">
      <c r="A73" s="553">
        <f t="shared" si="6"/>
        <v>30</v>
      </c>
      <c r="C73" s="705" t="s">
        <v>2557</v>
      </c>
      <c r="D73" s="481">
        <f>'17-Depreciation'!C51</f>
        <v>0</v>
      </c>
      <c r="E73" s="481">
        <f>'17-Depreciation'!D51</f>
        <v>228630.08648079736</v>
      </c>
      <c r="F73" s="481">
        <f>'17-Depreciation'!E51</f>
        <v>1405587.9451119264</v>
      </c>
      <c r="G73" s="481">
        <f>'17-Depreciation'!F51</f>
        <v>7149413.268591932</v>
      </c>
      <c r="H73" s="481">
        <f>'17-Depreciation'!G51</f>
        <v>4622965.5940618375</v>
      </c>
      <c r="I73" s="481">
        <f>'17-Depreciation'!H51</f>
        <v>1212791.1076605886</v>
      </c>
      <c r="J73" s="481">
        <f>'17-Depreciation'!I51</f>
        <v>3362066.0341225653</v>
      </c>
      <c r="K73" s="481">
        <f>'17-Depreciation'!J51</f>
        <v>262509.4520696401</v>
      </c>
      <c r="L73" s="481">
        <f>'17-Depreciation'!K51</f>
        <v>270893.80701903166</v>
      </c>
      <c r="M73" s="481">
        <f>'17-Depreciation'!L51</f>
        <v>229572.91373544824</v>
      </c>
      <c r="N73" s="230">
        <f t="shared" si="5"/>
        <v>18744430.208853766</v>
      </c>
    </row>
    <row r="74" spans="1:14" ht="13">
      <c r="A74" s="553">
        <f t="shared" si="6"/>
        <v>31</v>
      </c>
      <c r="C74" s="704" t="s">
        <v>2558</v>
      </c>
      <c r="D74" s="481">
        <f>'17-Depreciation'!C52</f>
        <v>0</v>
      </c>
      <c r="E74" s="481">
        <f>'17-Depreciation'!D52</f>
        <v>228572.62047867334</v>
      </c>
      <c r="F74" s="481">
        <f>'17-Depreciation'!E52</f>
        <v>1406078.4739860191</v>
      </c>
      <c r="G74" s="481">
        <f>'17-Depreciation'!F52</f>
        <v>7172894.0276534716</v>
      </c>
      <c r="H74" s="481">
        <f>'17-Depreciation'!G52</f>
        <v>4630367.1185662486</v>
      </c>
      <c r="I74" s="481">
        <f>'17-Depreciation'!H52</f>
        <v>1215556.4940968805</v>
      </c>
      <c r="J74" s="481">
        <f>'17-Depreciation'!I52</f>
        <v>3403351.0992631856</v>
      </c>
      <c r="K74" s="481">
        <f>'17-Depreciation'!J52</f>
        <v>262524.44808800548</v>
      </c>
      <c r="L74" s="481">
        <f>'17-Depreciation'!K52</f>
        <v>270911.23257800855</v>
      </c>
      <c r="M74" s="481">
        <f>'17-Depreciation'!L52</f>
        <v>229653.29022961471</v>
      </c>
      <c r="N74" s="230">
        <f t="shared" si="5"/>
        <v>18819908.804940108</v>
      </c>
    </row>
    <row r="75" spans="1:14" ht="13">
      <c r="A75" s="553">
        <f t="shared" si="6"/>
        <v>32</v>
      </c>
      <c r="C75" s="704" t="s">
        <v>2559</v>
      </c>
      <c r="D75" s="481">
        <f>'17-Depreciation'!C53</f>
        <v>0</v>
      </c>
      <c r="E75" s="481">
        <f>'17-Depreciation'!D53</f>
        <v>228621.01695637673</v>
      </c>
      <c r="F75" s="481">
        <f>'17-Depreciation'!E53</f>
        <v>1415464.3120513048</v>
      </c>
      <c r="G75" s="481">
        <f>'17-Depreciation'!F53</f>
        <v>7219232.9261552691</v>
      </c>
      <c r="H75" s="481">
        <f>'17-Depreciation'!G53</f>
        <v>4632229.6444100328</v>
      </c>
      <c r="I75" s="481">
        <f>'17-Depreciation'!H53</f>
        <v>1218809.4514561503</v>
      </c>
      <c r="J75" s="481">
        <f>'17-Depreciation'!I53</f>
        <v>3459998.0122468919</v>
      </c>
      <c r="K75" s="481">
        <f>'17-Depreciation'!J53</f>
        <v>262551.16900829953</v>
      </c>
      <c r="L75" s="481">
        <f>'17-Depreciation'!K53</f>
        <v>270939.90434944496</v>
      </c>
      <c r="M75" s="481">
        <f>'17-Depreciation'!L53</f>
        <v>230861.67314648387</v>
      </c>
      <c r="N75" s="230">
        <f t="shared" si="5"/>
        <v>18938708.109780256</v>
      </c>
    </row>
    <row r="76" spans="1:14" ht="13">
      <c r="A76" s="553">
        <f t="shared" si="6"/>
        <v>33</v>
      </c>
      <c r="C76" s="705" t="s">
        <v>2560</v>
      </c>
      <c r="D76" s="481">
        <f>'17-Depreciation'!C54</f>
        <v>0</v>
      </c>
      <c r="E76" s="481">
        <f>'17-Depreciation'!D54</f>
        <v>228814.58860785514</v>
      </c>
      <c r="F76" s="481">
        <f>'17-Depreciation'!E54</f>
        <v>1416681.0179030525</v>
      </c>
      <c r="G76" s="481">
        <f>'17-Depreciation'!F54</f>
        <v>7227168.039173699</v>
      </c>
      <c r="H76" s="481">
        <f>'17-Depreciation'!G54</f>
        <v>4639768.8252293654</v>
      </c>
      <c r="I76" s="481">
        <f>'17-Depreciation'!H54</f>
        <v>1221978.4610997008</v>
      </c>
      <c r="J76" s="481">
        <f>'17-Depreciation'!I54</f>
        <v>3481597.6250372846</v>
      </c>
      <c r="K76" s="481">
        <f>'17-Depreciation'!J54</f>
        <v>262559.83207264525</v>
      </c>
      <c r="L76" s="481">
        <f>'17-Depreciation'!K54</f>
        <v>270963.11807342531</v>
      </c>
      <c r="M76" s="481">
        <f>'17-Depreciation'!L54</f>
        <v>230853.63628217974</v>
      </c>
      <c r="N76" s="230">
        <f t="shared" si="5"/>
        <v>18980385.143479209</v>
      </c>
    </row>
    <row r="77" spans="1:14" ht="13">
      <c r="A77" s="553">
        <f t="shared" si="6"/>
        <v>34</v>
      </c>
      <c r="C77" s="704" t="s">
        <v>2561</v>
      </c>
      <c r="D77" s="481">
        <f>'17-Depreciation'!C55</f>
        <v>0</v>
      </c>
      <c r="E77" s="481">
        <f>'17-Depreciation'!D55</f>
        <v>228919.36645013478</v>
      </c>
      <c r="F77" s="481">
        <f>'17-Depreciation'!E55</f>
        <v>1416461.2086474488</v>
      </c>
      <c r="G77" s="481">
        <f>'17-Depreciation'!F55</f>
        <v>7237096.3833600068</v>
      </c>
      <c r="H77" s="481">
        <f>'17-Depreciation'!G55</f>
        <v>4642461.6208490757</v>
      </c>
      <c r="I77" s="481">
        <f>'17-Depreciation'!H55</f>
        <v>1225662.9368588934</v>
      </c>
      <c r="J77" s="481">
        <f>'17-Depreciation'!I55</f>
        <v>3485150.7713109464</v>
      </c>
      <c r="K77" s="481">
        <f>'17-Depreciation'!J55</f>
        <v>296083.99227671517</v>
      </c>
      <c r="L77" s="481">
        <f>'17-Depreciation'!K55</f>
        <v>191063.28103836524</v>
      </c>
      <c r="M77" s="481">
        <f>'17-Depreciation'!L55</f>
        <v>230895.70302283345</v>
      </c>
      <c r="N77" s="230">
        <f t="shared" si="5"/>
        <v>18953795.263814423</v>
      </c>
    </row>
    <row r="78" spans="1:14" ht="13">
      <c r="A78" s="553">
        <f t="shared" si="6"/>
        <v>35</v>
      </c>
      <c r="C78" s="704" t="s">
        <v>2562</v>
      </c>
      <c r="D78" s="481">
        <f>'17-Depreciation'!C56</f>
        <v>0</v>
      </c>
      <c r="E78" s="481">
        <f>'17-Depreciation'!D56</f>
        <v>228919.66319201153</v>
      </c>
      <c r="F78" s="481">
        <f>'17-Depreciation'!E56</f>
        <v>1445431.9746644211</v>
      </c>
      <c r="G78" s="481">
        <f>'17-Depreciation'!F56</f>
        <v>7283314.9971756665</v>
      </c>
      <c r="H78" s="481">
        <f>'17-Depreciation'!G56</f>
        <v>4646440.7433584258</v>
      </c>
      <c r="I78" s="481">
        <f>'17-Depreciation'!H56</f>
        <v>1227705.3179808378</v>
      </c>
      <c r="J78" s="481">
        <f>'17-Depreciation'!I56</f>
        <v>3482254.1519553871</v>
      </c>
      <c r="K78" s="481">
        <f>'17-Depreciation'!J56</f>
        <v>296093.63022177172</v>
      </c>
      <c r="L78" s="481">
        <f>'17-Depreciation'!K56</f>
        <v>191064.69540330069</v>
      </c>
      <c r="M78" s="481">
        <f>'17-Depreciation'!L56</f>
        <v>230899.84700892246</v>
      </c>
      <c r="N78" s="230">
        <f t="shared" si="5"/>
        <v>19032125.020960744</v>
      </c>
    </row>
    <row r="79" spans="1:14" ht="13">
      <c r="A79" s="553">
        <f t="shared" si="6"/>
        <v>36</v>
      </c>
      <c r="C79" s="705" t="s">
        <v>2563</v>
      </c>
      <c r="D79" s="481">
        <f>'17-Depreciation'!C57</f>
        <v>0</v>
      </c>
      <c r="E79" s="481">
        <f>'17-Depreciation'!D57</f>
        <v>229073.36142823775</v>
      </c>
      <c r="F79" s="481">
        <f>'17-Depreciation'!E57</f>
        <v>1450542.2090249814</v>
      </c>
      <c r="G79" s="481">
        <f>'17-Depreciation'!F57</f>
        <v>7294410.2184481202</v>
      </c>
      <c r="H79" s="481">
        <f>'17-Depreciation'!G57</f>
        <v>4672398.4451776585</v>
      </c>
      <c r="I79" s="481">
        <f>'17-Depreciation'!H57</f>
        <v>1230137.2995539063</v>
      </c>
      <c r="J79" s="481">
        <f>'17-Depreciation'!I57</f>
        <v>3505093.6941982768</v>
      </c>
      <c r="K79" s="481">
        <f>'17-Depreciation'!J57</f>
        <v>296102.26191451994</v>
      </c>
      <c r="L79" s="481">
        <f>'17-Depreciation'!K57</f>
        <v>191066.32872770343</v>
      </c>
      <c r="M79" s="481">
        <f>'17-Depreciation'!L57</f>
        <v>230905.18632848331</v>
      </c>
      <c r="N79" s="230">
        <f t="shared" si="5"/>
        <v>19099729.004801892</v>
      </c>
    </row>
    <row r="80" spans="1:14" ht="13">
      <c r="A80" s="553">
        <f t="shared" si="6"/>
        <v>37</v>
      </c>
      <c r="C80" s="705" t="s">
        <v>2564</v>
      </c>
      <c r="D80" s="481">
        <f>'17-Depreciation'!C58</f>
        <v>0</v>
      </c>
      <c r="E80" s="481">
        <f>'17-Depreciation'!D58</f>
        <v>229078.07512387086</v>
      </c>
      <c r="F80" s="481">
        <f>'17-Depreciation'!E58</f>
        <v>1451798.4218965264</v>
      </c>
      <c r="G80" s="481">
        <f>'17-Depreciation'!F58</f>
        <v>7308788.9654588485</v>
      </c>
      <c r="H80" s="481">
        <f>'17-Depreciation'!G58</f>
        <v>4675342.5012295144</v>
      </c>
      <c r="I80" s="481">
        <f>'17-Depreciation'!H58</f>
        <v>1234442.4465585179</v>
      </c>
      <c r="J80" s="481">
        <f>'17-Depreciation'!I58</f>
        <v>3567988.2940431419</v>
      </c>
      <c r="K80" s="481">
        <f>'17-Depreciation'!J58</f>
        <v>296110.0924460403</v>
      </c>
      <c r="L80" s="481">
        <f>'17-Depreciation'!K58</f>
        <v>191068.03529190188</v>
      </c>
      <c r="M80" s="481">
        <f>'17-Depreciation'!L58</f>
        <v>231736.16443285337</v>
      </c>
      <c r="N80" s="230">
        <f t="shared" si="5"/>
        <v>19186352.996481214</v>
      </c>
    </row>
    <row r="81" spans="1:14" ht="13">
      <c r="A81" s="553">
        <f t="shared" si="6"/>
        <v>38</v>
      </c>
      <c r="C81" s="704" t="s">
        <v>2553</v>
      </c>
      <c r="D81" s="111">
        <f>'17-Depreciation'!C59</f>
        <v>0</v>
      </c>
      <c r="E81" s="111">
        <f>'17-Depreciation'!D59</f>
        <v>229059.78609238341</v>
      </c>
      <c r="F81" s="111">
        <f>'17-Depreciation'!E59</f>
        <v>1451582.3460931433</v>
      </c>
      <c r="G81" s="111">
        <f>'17-Depreciation'!F59</f>
        <v>7324073.9971150579</v>
      </c>
      <c r="H81" s="111">
        <f>'17-Depreciation'!G59</f>
        <v>4678446.5869710734</v>
      </c>
      <c r="I81" s="111">
        <f>'17-Depreciation'!H59</f>
        <v>1237508.1781278511</v>
      </c>
      <c r="J81" s="111">
        <f>'17-Depreciation'!I59</f>
        <v>3574693.2648933171</v>
      </c>
      <c r="K81" s="111">
        <f>'17-Depreciation'!J59</f>
        <v>296125.89753568708</v>
      </c>
      <c r="L81" s="111">
        <f>'17-Depreciation'!K59</f>
        <v>191081.72477446726</v>
      </c>
      <c r="M81" s="111">
        <f>'17-Depreciation'!L59</f>
        <v>232625.7430772339</v>
      </c>
      <c r="N81" s="361">
        <f t="shared" si="5"/>
        <v>19215197.524680212</v>
      </c>
    </row>
    <row r="82" spans="1:14" ht="13">
      <c r="A82" s="553">
        <f t="shared" si="6"/>
        <v>39</v>
      </c>
      <c r="C82" s="1067" t="s">
        <v>4</v>
      </c>
      <c r="D82" s="230">
        <f t="shared" ref="D82:M82" si="7">SUM(D70:D81)</f>
        <v>0</v>
      </c>
      <c r="E82" s="230">
        <f t="shared" si="7"/>
        <v>2745432.4244472296</v>
      </c>
      <c r="F82" s="230">
        <f t="shared" si="7"/>
        <v>17013588.407805074</v>
      </c>
      <c r="G82" s="230">
        <f t="shared" si="7"/>
        <v>86593560.157180578</v>
      </c>
      <c r="H82" s="230">
        <f t="shared" si="7"/>
        <v>55732408.17020122</v>
      </c>
      <c r="I82" s="230">
        <f t="shared" si="7"/>
        <v>14614146.312736873</v>
      </c>
      <c r="J82" s="230">
        <f t="shared" si="7"/>
        <v>41365490.537819423</v>
      </c>
      <c r="K82" s="230">
        <f t="shared" si="7"/>
        <v>3318089.182765347</v>
      </c>
      <c r="L82" s="230">
        <f t="shared" si="7"/>
        <v>2851650.4508601767</v>
      </c>
      <c r="M82" s="230">
        <f t="shared" si="7"/>
        <v>2756010.3139173212</v>
      </c>
      <c r="N82" s="230">
        <f t="shared" si="5"/>
        <v>226990375.95773321</v>
      </c>
    </row>
    <row r="83" spans="1:14">
      <c r="D83" s="14"/>
      <c r="E83" s="14"/>
      <c r="F83" s="14"/>
      <c r="G83" s="14"/>
      <c r="H83" s="14"/>
      <c r="I83" s="14"/>
      <c r="J83" s="14"/>
      <c r="K83" s="14"/>
      <c r="L83" s="14"/>
      <c r="M83" s="14"/>
    </row>
    <row r="84" spans="1:14" ht="13">
      <c r="C84" s="1" t="s">
        <v>2368</v>
      </c>
      <c r="D84" s="467"/>
      <c r="E84" s="467"/>
      <c r="F84" s="467"/>
      <c r="G84" s="467"/>
      <c r="H84" s="467"/>
      <c r="I84" s="467"/>
      <c r="J84" s="467"/>
      <c r="K84" s="467"/>
      <c r="L84" s="467"/>
    </row>
    <row r="85" spans="1:14">
      <c r="C85" s="467"/>
      <c r="D85" s="467"/>
      <c r="E85" s="467"/>
      <c r="F85" s="467"/>
      <c r="G85" s="467"/>
      <c r="H85" s="467"/>
      <c r="I85" s="467"/>
      <c r="J85" s="467"/>
      <c r="K85" s="467"/>
      <c r="L85" s="467"/>
    </row>
    <row r="86" spans="1:14" ht="13">
      <c r="C86" s="84" t="s">
        <v>358</v>
      </c>
      <c r="D86" s="84" t="s">
        <v>342</v>
      </c>
      <c r="E86" s="84" t="s">
        <v>343</v>
      </c>
      <c r="F86" s="84" t="s">
        <v>344</v>
      </c>
      <c r="G86" s="84" t="s">
        <v>345</v>
      </c>
      <c r="H86" s="84" t="s">
        <v>346</v>
      </c>
      <c r="I86" s="84" t="s">
        <v>347</v>
      </c>
      <c r="J86" s="84" t="s">
        <v>534</v>
      </c>
      <c r="K86" s="84" t="s">
        <v>951</v>
      </c>
      <c r="L86" s="84" t="s">
        <v>963</v>
      </c>
      <c r="M86" s="84" t="s">
        <v>966</v>
      </c>
      <c r="N86" s="84"/>
    </row>
    <row r="87" spans="1:14">
      <c r="C87" s="244"/>
      <c r="D87" s="228"/>
      <c r="E87" s="228"/>
      <c r="F87" s="228"/>
      <c r="G87" s="228"/>
      <c r="H87" s="228"/>
      <c r="I87" s="228"/>
      <c r="J87" s="228"/>
      <c r="K87" s="228"/>
      <c r="L87" s="228"/>
      <c r="N87" s="244"/>
    </row>
    <row r="88" spans="1:14" ht="13">
      <c r="C88" s="123" t="s">
        <v>1750</v>
      </c>
      <c r="D88" s="84">
        <v>350.1</v>
      </c>
      <c r="E88" s="84">
        <v>350.2</v>
      </c>
      <c r="F88" s="84">
        <v>352</v>
      </c>
      <c r="G88" s="84">
        <v>353</v>
      </c>
      <c r="H88" s="84">
        <v>354</v>
      </c>
      <c r="I88" s="84">
        <v>355</v>
      </c>
      <c r="J88" s="84">
        <v>356</v>
      </c>
      <c r="K88" s="84">
        <v>357</v>
      </c>
      <c r="L88" s="84">
        <v>358</v>
      </c>
      <c r="M88" s="84">
        <v>359</v>
      </c>
      <c r="N88" s="3"/>
    </row>
    <row r="89" spans="1:14" ht="13">
      <c r="A89" s="553">
        <f>A82+1</f>
        <v>40</v>
      </c>
      <c r="C89" s="705" t="s">
        <v>2554</v>
      </c>
      <c r="D89" s="1093">
        <f>'6-PlantInService'!C167</f>
        <v>-2.6743512025809559E-4</v>
      </c>
      <c r="E89" s="1093">
        <f>'6-PlantInService'!D167</f>
        <v>-9.7361430763670265E-2</v>
      </c>
      <c r="F89" s="1093">
        <f>'6-PlantInService'!E167</f>
        <v>3.9092066052785972E-2</v>
      </c>
      <c r="G89" s="1093">
        <f>'6-PlantInService'!F167</f>
        <v>1.9756560894764214E-2</v>
      </c>
      <c r="H89" s="1093">
        <f>'6-PlantInService'!G167</f>
        <v>-7.0734083882041124E-2</v>
      </c>
      <c r="I89" s="1093">
        <f>'6-PlantInService'!H167</f>
        <v>7.2493893801191298E-2</v>
      </c>
      <c r="J89" s="1093">
        <f>'6-PlantInService'!I167</f>
        <v>4.7392190130543292E-2</v>
      </c>
      <c r="K89" s="1093">
        <f>'6-PlantInService'!J167</f>
        <v>1.2779033406525758E-2</v>
      </c>
      <c r="L89" s="1093">
        <f>'6-PlantInService'!K167</f>
        <v>-3.670036926656247E-2</v>
      </c>
      <c r="M89" s="1093">
        <f>'6-PlantInService'!L167</f>
        <v>4.5954573560148025E-3</v>
      </c>
      <c r="N89" s="230"/>
    </row>
    <row r="90" spans="1:14" ht="13">
      <c r="A90" s="553">
        <f t="shared" ref="A90:A100" si="8">A89+1</f>
        <v>41</v>
      </c>
      <c r="C90" s="704" t="s">
        <v>2555</v>
      </c>
      <c r="D90" s="1093">
        <f>'6-PlantInService'!C168</f>
        <v>5.4118825517199434E-15</v>
      </c>
      <c r="E90" s="1093">
        <f>'6-PlantInService'!D168</f>
        <v>4.5283934156472173E-2</v>
      </c>
      <c r="F90" s="1093">
        <f>'6-PlantInService'!E168</f>
        <v>6.7148553511805237E-2</v>
      </c>
      <c r="G90" s="1093">
        <f>'6-PlantInService'!F168</f>
        <v>6.2775153948594676E-4</v>
      </c>
      <c r="H90" s="1093">
        <f>'6-PlantInService'!G168</f>
        <v>9.004947288819995E-3</v>
      </c>
      <c r="I90" s="1093">
        <f>'6-PlantInService'!H168</f>
        <v>0.12591814997419998</v>
      </c>
      <c r="J90" s="1093">
        <f>'6-PlantInService'!I168</f>
        <v>3.3012077620900187E-3</v>
      </c>
      <c r="K90" s="1093">
        <f>'6-PlantInService'!J168</f>
        <v>-5.5159764268239986E-3</v>
      </c>
      <c r="L90" s="1093">
        <f>'6-PlantInService'!K168</f>
        <v>6.5028370494933957E-2</v>
      </c>
      <c r="M90" s="1093">
        <f>'6-PlantInService'!L168</f>
        <v>3.0177195096911E-2</v>
      </c>
      <c r="N90" s="230"/>
    </row>
    <row r="91" spans="1:14" ht="13">
      <c r="A91" s="553">
        <f t="shared" si="8"/>
        <v>42</v>
      </c>
      <c r="C91" s="704" t="s">
        <v>2556</v>
      </c>
      <c r="D91" s="1093">
        <f>'6-PlantInService'!C169</f>
        <v>0</v>
      </c>
      <c r="E91" s="1093">
        <f>'6-PlantInService'!D169</f>
        <v>7.6066357979159546E-2</v>
      </c>
      <c r="F91" s="1093">
        <f>'6-PlantInService'!E169</f>
        <v>0.10908014912560157</v>
      </c>
      <c r="G91" s="1093">
        <f>'6-PlantInService'!F169</f>
        <v>6.7670150126017112E-2</v>
      </c>
      <c r="H91" s="1093">
        <f>'6-PlantInService'!G169</f>
        <v>0.11621308462579481</v>
      </c>
      <c r="I91" s="1093">
        <f>'6-PlantInService'!H169</f>
        <v>0.13710750555002885</v>
      </c>
      <c r="J91" s="1093">
        <f>'6-PlantInService'!I169</f>
        <v>1.1659351827088002E-2</v>
      </c>
      <c r="K91" s="1093">
        <f>'6-PlantInService'!J169</f>
        <v>1.4945039799378399</v>
      </c>
      <c r="L91" s="1093">
        <f>'6-PlantInService'!K169</f>
        <v>1.2688219258016615</v>
      </c>
      <c r="M91" s="1093">
        <f>'6-PlantInService'!L169</f>
        <v>3.6715920819669809E-3</v>
      </c>
      <c r="N91" s="230"/>
    </row>
    <row r="92" spans="1:14" ht="13">
      <c r="A92" s="553">
        <f t="shared" si="8"/>
        <v>43</v>
      </c>
      <c r="C92" s="705" t="s">
        <v>2557</v>
      </c>
      <c r="D92" s="1093">
        <f>'6-PlantInService'!C170</f>
        <v>5.2259072793473582E-2</v>
      </c>
      <c r="E92" s="1093">
        <f>'6-PlantInService'!D170</f>
        <v>-9.6042822354992383E-2</v>
      </c>
      <c r="F92" s="1093">
        <f>'6-PlantInService'!E170</f>
        <v>3.5533240743481766E-3</v>
      </c>
      <c r="G92" s="1093">
        <f>'6-PlantInService'!F170</f>
        <v>7.3626988228360404E-2</v>
      </c>
      <c r="H92" s="1093">
        <f>'6-PlantInService'!G170</f>
        <v>0.121693607515071</v>
      </c>
      <c r="I92" s="1093">
        <f>'6-PlantInService'!H170</f>
        <v>7.0777338482083424E-2</v>
      </c>
      <c r="J92" s="1093">
        <f>'6-PlantInService'!I170</f>
        <v>0.18469093242746426</v>
      </c>
      <c r="K92" s="1093">
        <f>'6-PlantInService'!J170</f>
        <v>3.2934302945817173E-2</v>
      </c>
      <c r="L92" s="1093">
        <f>'6-PlantInService'!K170</f>
        <v>1.8436561385442245E-2</v>
      </c>
      <c r="M92" s="1093">
        <f>'6-PlantInService'!L170</f>
        <v>5.450430188119397E-2</v>
      </c>
      <c r="N92" s="230"/>
    </row>
    <row r="93" spans="1:14" ht="13">
      <c r="A93" s="553">
        <f t="shared" si="8"/>
        <v>44</v>
      </c>
      <c r="C93" s="704" t="s">
        <v>2558</v>
      </c>
      <c r="D93" s="1093">
        <f>'6-PlantInService'!C171</f>
        <v>3.0405654579980174E-3</v>
      </c>
      <c r="E93" s="1093">
        <f>'6-PlantInService'!D171</f>
        <v>7.6392131821346881E-2</v>
      </c>
      <c r="F93" s="1093">
        <f>'6-PlantInService'!E171</f>
        <v>7.4813303538407427E-2</v>
      </c>
      <c r="G93" s="1093">
        <f>'6-PlantInService'!F171</f>
        <v>0.14687132115663745</v>
      </c>
      <c r="H93" s="1093">
        <f>'6-PlantInService'!G171</f>
        <v>3.0594531336226999E-2</v>
      </c>
      <c r="I93" s="1093">
        <f>'6-PlantInService'!H171</f>
        <v>7.2571035475635523E-2</v>
      </c>
      <c r="J93" s="1093">
        <f>'6-PlantInService'!I171</f>
        <v>0.25564017095437985</v>
      </c>
      <c r="K93" s="1093">
        <f>'6-PlantInService'!J171</f>
        <v>0.62423704855922169</v>
      </c>
      <c r="L93" s="1093">
        <f>'6-PlantInService'!K171</f>
        <v>0.2782749795330739</v>
      </c>
      <c r="M93" s="1093">
        <f>'6-PlantInService'!L171</f>
        <v>0.45596828988740096</v>
      </c>
      <c r="N93" s="230"/>
    </row>
    <row r="94" spans="1:14" ht="13">
      <c r="A94" s="553">
        <f t="shared" si="8"/>
        <v>45</v>
      </c>
      <c r="C94" s="704" t="s">
        <v>2559</v>
      </c>
      <c r="D94" s="1093">
        <f>'6-PlantInService'!C172</f>
        <v>-9.984181537333308E-4</v>
      </c>
      <c r="E94" s="1093">
        <f>'6-PlantInService'!D172</f>
        <v>0.30553219760206346</v>
      </c>
      <c r="F94" s="1093">
        <f>'6-PlantInService'!E172</f>
        <v>9.686090592991586E-3</v>
      </c>
      <c r="G94" s="1093">
        <f>'6-PlantInService'!F172</f>
        <v>2.5119736001023761E-2</v>
      </c>
      <c r="H94" s="1093">
        <f>'6-PlantInService'!G172</f>
        <v>0.12546653445370501</v>
      </c>
      <c r="I94" s="1093">
        <f>'6-PlantInService'!H172</f>
        <v>7.1515053258186537E-2</v>
      </c>
      <c r="J94" s="1093">
        <f>'6-PlantInService'!I172</f>
        <v>9.7264485164148456E-2</v>
      </c>
      <c r="K94" s="1093">
        <f>'6-PlantInService'!J172</f>
        <v>-2.776183076238119</v>
      </c>
      <c r="L94" s="1093">
        <f>'6-PlantInService'!K172</f>
        <v>-1.379971864659872</v>
      </c>
      <c r="M94" s="1093">
        <f>'6-PlantInService'!L172</f>
        <v>-1.9249288257515858E-3</v>
      </c>
      <c r="N94" s="230"/>
    </row>
    <row r="95" spans="1:14" ht="13">
      <c r="A95" s="553">
        <f t="shared" si="8"/>
        <v>46</v>
      </c>
      <c r="C95" s="705" t="s">
        <v>2560</v>
      </c>
      <c r="D95" s="1093">
        <f>'6-PlantInService'!C173</f>
        <v>0</v>
      </c>
      <c r="E95" s="1093">
        <f>'6-PlantInService'!D173</f>
        <v>0.15663600565115707</v>
      </c>
      <c r="F95" s="1093">
        <f>'6-PlantInService'!E173</f>
        <v>7.3961589470693092E-3</v>
      </c>
      <c r="G95" s="1093">
        <f>'6-PlantInService'!F173</f>
        <v>2.5347936475558757E-2</v>
      </c>
      <c r="H95" s="1093">
        <f>'6-PlantInService'!G173</f>
        <v>4.1484885280788406E-2</v>
      </c>
      <c r="I95" s="1093">
        <f>'6-PlantInService'!H173</f>
        <v>8.0119361793761057E-2</v>
      </c>
      <c r="J95" s="1093">
        <f>'6-PlantInService'!I173</f>
        <v>1.4921103568743068E-2</v>
      </c>
      <c r="K95" s="1093">
        <f>'6-PlantInService'!J173</f>
        <v>0.60373430770611247</v>
      </c>
      <c r="L95" s="1093">
        <f>'6-PlantInService'!K173</f>
        <v>-0.71388015015986239</v>
      </c>
      <c r="M95" s="1093">
        <f>'6-PlantInService'!L173</f>
        <v>2.108716602518549E-3</v>
      </c>
      <c r="N95" s="230"/>
    </row>
    <row r="96" spans="1:14" ht="13">
      <c r="A96" s="553">
        <f t="shared" si="8"/>
        <v>47</v>
      </c>
      <c r="C96" s="704" t="s">
        <v>2561</v>
      </c>
      <c r="D96" s="1093">
        <f>'6-PlantInService'!C174</f>
        <v>0</v>
      </c>
      <c r="E96" s="1093">
        <f>'6-PlantInService'!D174</f>
        <v>4.6839657844687134E-4</v>
      </c>
      <c r="F96" s="1093">
        <f>'6-PlantInService'!E174</f>
        <v>0.23079294227325831</v>
      </c>
      <c r="G96" s="1093">
        <f>'6-PlantInService'!F174</f>
        <v>0.14639379102960479</v>
      </c>
      <c r="H96" s="1093">
        <f>'6-PlantInService'!G174</f>
        <v>6.5987198358731139E-2</v>
      </c>
      <c r="I96" s="1093">
        <f>'6-PlantInService'!H174</f>
        <v>4.5774148602250375E-2</v>
      </c>
      <c r="J96" s="1093">
        <f>'6-PlantInService'!I174</f>
        <v>-1.4085417533429123E-2</v>
      </c>
      <c r="K96" s="1093">
        <f>'6-PlantInService'!J174</f>
        <v>2.1073405520642891E-4</v>
      </c>
      <c r="L96" s="1093">
        <f>'6-PlantInService'!K174</f>
        <v>0.79862369828990631</v>
      </c>
      <c r="M96" s="1093">
        <f>'6-PlantInService'!L174</f>
        <v>4.0874869491382945E-4</v>
      </c>
      <c r="N96" s="230"/>
    </row>
    <row r="97" spans="1:14" ht="13">
      <c r="A97" s="553">
        <f t="shared" si="8"/>
        <v>48</v>
      </c>
      <c r="C97" s="704" t="s">
        <v>2562</v>
      </c>
      <c r="D97" s="1093">
        <f>'6-PlantInService'!C175</f>
        <v>5.3530606285733255E-4</v>
      </c>
      <c r="E97" s="1093">
        <f>'6-PlantInService'!D175</f>
        <v>0.24260724085058696</v>
      </c>
      <c r="F97" s="1093">
        <f>'6-PlantInService'!E175</f>
        <v>2.0337457085401588E-2</v>
      </c>
      <c r="G97" s="1093">
        <f>'6-PlantInService'!F175</f>
        <v>3.5051085341818056E-2</v>
      </c>
      <c r="H97" s="1093">
        <f>'6-PlantInService'!G175</f>
        <v>0.43353980563093547</v>
      </c>
      <c r="I97" s="1093">
        <f>'6-PlantInService'!H175</f>
        <v>5.5155073727196087E-2</v>
      </c>
      <c r="J97" s="1093">
        <f>'6-PlantInService'!I175</f>
        <v>0.10278649060546297</v>
      </c>
      <c r="K97" s="1093">
        <f>'6-PlantInService'!J175</f>
        <v>0.1134095070231257</v>
      </c>
      <c r="L97" s="1093">
        <f>'6-PlantInService'!K175</f>
        <v>0.47047863591321148</v>
      </c>
      <c r="M97" s="1093">
        <f>'6-PlantInService'!L175</f>
        <v>2.9377343339030602E-3</v>
      </c>
      <c r="N97" s="230"/>
    </row>
    <row r="98" spans="1:14" ht="13">
      <c r="A98" s="553">
        <f t="shared" si="8"/>
        <v>49</v>
      </c>
      <c r="C98" s="705" t="s">
        <v>2563</v>
      </c>
      <c r="D98" s="1093">
        <f>'6-PlantInService'!C176</f>
        <v>-3.6365743102345584E-4</v>
      </c>
      <c r="E98" s="1093">
        <f>'6-PlantInService'!D176</f>
        <v>5.5958762008581856E-3</v>
      </c>
      <c r="F98" s="1093">
        <f>'6-PlantInService'!E176</f>
        <v>9.8135609677893754E-3</v>
      </c>
      <c r="G98" s="1093">
        <f>'6-PlantInService'!F176</f>
        <v>4.5596201214495639E-2</v>
      </c>
      <c r="H98" s="1093">
        <f>'6-PlantInService'!G176</f>
        <v>3.6917550394938187E-2</v>
      </c>
      <c r="I98" s="1093">
        <f>'6-PlantInService'!H176</f>
        <v>7.2228416898204237E-2</v>
      </c>
      <c r="J98" s="1093">
        <f>'6-PlantInService'!I176</f>
        <v>0.27994803317675698</v>
      </c>
      <c r="K98" s="1093">
        <f>'6-PlantInService'!J176</f>
        <v>0.33355476042933146</v>
      </c>
      <c r="L98" s="1093">
        <f>'6-PlantInService'!K176</f>
        <v>0.23447317331272649</v>
      </c>
      <c r="M98" s="1093">
        <f>'6-PlantInService'!L176</f>
        <v>0.12703848693265535</v>
      </c>
      <c r="N98" s="230"/>
    </row>
    <row r="99" spans="1:14" ht="13">
      <c r="A99" s="553">
        <f t="shared" si="8"/>
        <v>50</v>
      </c>
      <c r="C99" s="705" t="s">
        <v>2564</v>
      </c>
      <c r="D99" s="1093">
        <f>'6-PlantInService'!C177</f>
        <v>0.94672141525112841</v>
      </c>
      <c r="E99" s="1093">
        <f>'6-PlantInService'!D177</f>
        <v>-2.8974557995447934E-2</v>
      </c>
      <c r="F99" s="1093">
        <f>'6-PlantInService'!E177</f>
        <v>-1.7118924302309754E-3</v>
      </c>
      <c r="G99" s="1093">
        <f>'6-PlantInService'!F177</f>
        <v>4.8456388949455781E-2</v>
      </c>
      <c r="H99" s="1093">
        <f>'6-PlantInService'!G177</f>
        <v>4.3124750026225435E-2</v>
      </c>
      <c r="I99" s="1093">
        <f>'6-PlantInService'!H177</f>
        <v>8.0099089659661227E-2</v>
      </c>
      <c r="J99" s="1093">
        <f>'6-PlantInService'!I177</f>
        <v>2.338455996085255E-2</v>
      </c>
      <c r="K99" s="1093">
        <f>'6-PlantInService'!J177</f>
        <v>1.9183401024846124E-2</v>
      </c>
      <c r="L99" s="1093">
        <f>'6-PlantInService'!K177</f>
        <v>3.1424860001533356E-2</v>
      </c>
      <c r="M99" s="1093">
        <f>'6-PlantInService'!L177</f>
        <v>0.30286174040609265</v>
      </c>
      <c r="N99" s="230"/>
    </row>
    <row r="100" spans="1:14" ht="13">
      <c r="A100" s="553">
        <f t="shared" si="8"/>
        <v>51</v>
      </c>
      <c r="C100" s="704" t="s">
        <v>2553</v>
      </c>
      <c r="D100" s="1093">
        <f>'6-PlantInService'!C178</f>
        <v>-9.2684886044791081E-4</v>
      </c>
      <c r="E100" s="1093">
        <f>'6-PlantInService'!D178</f>
        <v>0.31379667027401942</v>
      </c>
      <c r="F100" s="1093">
        <f>'6-PlantInService'!E178</f>
        <v>0.42999828626077241</v>
      </c>
      <c r="G100" s="1093">
        <f>'6-PlantInService'!F178</f>
        <v>0.36548208904277807</v>
      </c>
      <c r="H100" s="1093">
        <f>'6-PlantInService'!G178</f>
        <v>4.6707188970804669E-2</v>
      </c>
      <c r="I100" s="1093">
        <f>'6-PlantInService'!H178</f>
        <v>0.11624093277760139</v>
      </c>
      <c r="J100" s="1093">
        <f>'6-PlantInService'!I178</f>
        <v>-6.9031080441003603E-3</v>
      </c>
      <c r="K100" s="1093">
        <f>'6-PlantInService'!J178</f>
        <v>0.54715197757691625</v>
      </c>
      <c r="L100" s="1093">
        <f>'6-PlantInService'!K178</f>
        <v>-3.5009820646192388E-2</v>
      </c>
      <c r="M100" s="1093">
        <f>'6-PlantInService'!L178</f>
        <v>1.7652665552180424E-2</v>
      </c>
      <c r="N100" s="361"/>
    </row>
    <row r="102" spans="1:14" ht="13">
      <c r="C102" s="1" t="s">
        <v>2369</v>
      </c>
    </row>
    <row r="104" spans="1:14">
      <c r="C104" s="471" t="s">
        <v>2370</v>
      </c>
    </row>
    <row r="105" spans="1:14" ht="13">
      <c r="C105" s="16"/>
      <c r="D105" s="84">
        <v>350.1</v>
      </c>
      <c r="E105" s="84">
        <v>350.2</v>
      </c>
      <c r="F105" s="84">
        <v>352</v>
      </c>
      <c r="G105" s="84">
        <v>353</v>
      </c>
      <c r="H105" s="84">
        <v>354</v>
      </c>
      <c r="I105" s="84">
        <v>355</v>
      </c>
      <c r="J105" s="84">
        <v>356</v>
      </c>
      <c r="K105" s="84">
        <v>357</v>
      </c>
      <c r="L105" s="84">
        <v>358</v>
      </c>
      <c r="M105" s="84">
        <v>359</v>
      </c>
      <c r="N105" s="3" t="s">
        <v>196</v>
      </c>
    </row>
    <row r="106" spans="1:14" ht="13">
      <c r="A106" s="553">
        <f>A100+1</f>
        <v>52</v>
      </c>
      <c r="C106" s="16"/>
      <c r="D106" s="7">
        <f t="shared" ref="D106:M106" si="9">D24-D12</f>
        <v>0</v>
      </c>
      <c r="E106" s="7">
        <f t="shared" si="9"/>
        <v>2808522.1103211865</v>
      </c>
      <c r="F106" s="7">
        <f t="shared" si="9"/>
        <v>12203553.452866524</v>
      </c>
      <c r="G106" s="7">
        <f t="shared" si="9"/>
        <v>42893422.151624203</v>
      </c>
      <c r="H106" s="7">
        <f t="shared" si="9"/>
        <v>48401457.578295708</v>
      </c>
      <c r="I106" s="7">
        <f t="shared" si="9"/>
        <v>2875749.3352780491</v>
      </c>
      <c r="J106" s="7">
        <f t="shared" si="9"/>
        <v>36790962.721366167</v>
      </c>
      <c r="K106" s="7">
        <f t="shared" si="9"/>
        <v>3203720.5840972923</v>
      </c>
      <c r="L106" s="7">
        <f t="shared" si="9"/>
        <v>3614050.3658869024</v>
      </c>
      <c r="M106" s="7">
        <f t="shared" si="9"/>
        <v>2921390.074368827</v>
      </c>
      <c r="N106" s="7">
        <f>SUM(D106:M106)</f>
        <v>155712828.37410486</v>
      </c>
    </row>
    <row r="107" spans="1:14">
      <c r="C107" s="471" t="s">
        <v>2371</v>
      </c>
    </row>
    <row r="108" spans="1:14" ht="13">
      <c r="C108" s="16"/>
      <c r="D108" s="84">
        <v>350.1</v>
      </c>
      <c r="E108" s="84">
        <v>350.2</v>
      </c>
      <c r="F108" s="84">
        <v>352</v>
      </c>
      <c r="G108" s="84">
        <v>353</v>
      </c>
      <c r="H108" s="84">
        <v>354</v>
      </c>
      <c r="I108" s="84">
        <v>355</v>
      </c>
      <c r="J108" s="84">
        <v>356</v>
      </c>
      <c r="K108" s="84">
        <v>357</v>
      </c>
      <c r="L108" s="84">
        <v>358</v>
      </c>
      <c r="M108" s="84">
        <v>359</v>
      </c>
      <c r="N108" s="3" t="s">
        <v>196</v>
      </c>
    </row>
    <row r="109" spans="1:14" ht="13">
      <c r="A109" s="553">
        <f>A106+1</f>
        <v>53</v>
      </c>
      <c r="C109" s="16"/>
      <c r="D109" s="7">
        <f t="shared" ref="D109:M109" si="10">D82</f>
        <v>0</v>
      </c>
      <c r="E109" s="7">
        <f t="shared" si="10"/>
        <v>2745432.4244472296</v>
      </c>
      <c r="F109" s="7">
        <f t="shared" si="10"/>
        <v>17013588.407805074</v>
      </c>
      <c r="G109" s="7">
        <f t="shared" si="10"/>
        <v>86593560.157180578</v>
      </c>
      <c r="H109" s="7">
        <f t="shared" si="10"/>
        <v>55732408.17020122</v>
      </c>
      <c r="I109" s="7">
        <f t="shared" si="10"/>
        <v>14614146.312736873</v>
      </c>
      <c r="J109" s="7">
        <f t="shared" si="10"/>
        <v>41365490.537819423</v>
      </c>
      <c r="K109" s="7">
        <f t="shared" si="10"/>
        <v>3318089.182765347</v>
      </c>
      <c r="L109" s="7">
        <f t="shared" si="10"/>
        <v>2851650.4508601767</v>
      </c>
      <c r="M109" s="7">
        <f t="shared" si="10"/>
        <v>2756010.3139173212</v>
      </c>
      <c r="N109" s="7">
        <f>SUM(D109:M109)</f>
        <v>226990375.95773321</v>
      </c>
    </row>
    <row r="110" spans="1:14">
      <c r="C110" s="471" t="s">
        <v>2372</v>
      </c>
    </row>
    <row r="111" spans="1:14" ht="13">
      <c r="D111" s="84">
        <v>350.1</v>
      </c>
      <c r="E111" s="84">
        <v>350.2</v>
      </c>
      <c r="F111" s="84">
        <v>352</v>
      </c>
      <c r="G111" s="84">
        <v>353</v>
      </c>
      <c r="H111" s="84">
        <v>354</v>
      </c>
      <c r="I111" s="84">
        <v>355</v>
      </c>
      <c r="J111" s="84">
        <v>356</v>
      </c>
      <c r="K111" s="84">
        <v>357</v>
      </c>
      <c r="L111" s="84">
        <v>358</v>
      </c>
      <c r="M111" s="84">
        <v>359</v>
      </c>
      <c r="N111" s="3" t="s">
        <v>196</v>
      </c>
    </row>
    <row r="112" spans="1:14" ht="13">
      <c r="A112" s="553">
        <f>A109+1</f>
        <v>54</v>
      </c>
      <c r="D112" s="7">
        <f t="shared" ref="D112:M112" si="11">D106-D109</f>
        <v>0</v>
      </c>
      <c r="E112" s="7">
        <f t="shared" si="11"/>
        <v>63089.685873956885</v>
      </c>
      <c r="F112" s="7">
        <f t="shared" si="11"/>
        <v>-4810034.9549385495</v>
      </c>
      <c r="G112" s="7">
        <f t="shared" si="11"/>
        <v>-43700138.005556375</v>
      </c>
      <c r="H112" s="7">
        <f t="shared" si="11"/>
        <v>-7330950.5919055119</v>
      </c>
      <c r="I112" s="7">
        <f t="shared" si="11"/>
        <v>-11738396.977458823</v>
      </c>
      <c r="J112" s="7">
        <f t="shared" si="11"/>
        <v>-4574527.8164532557</v>
      </c>
      <c r="K112" s="7">
        <f t="shared" si="11"/>
        <v>-114368.59866805468</v>
      </c>
      <c r="L112" s="7">
        <f t="shared" si="11"/>
        <v>762399.91502672574</v>
      </c>
      <c r="M112" s="7">
        <f t="shared" si="11"/>
        <v>165379.76045150589</v>
      </c>
      <c r="N112" s="7">
        <f>SUM(D112:M112)</f>
        <v>-71277547.583628386</v>
      </c>
    </row>
    <row r="114" spans="1:14" ht="13">
      <c r="C114" s="1" t="s">
        <v>2373</v>
      </c>
      <c r="D114" s="467"/>
      <c r="E114" s="467"/>
      <c r="F114" s="467"/>
      <c r="G114" s="467"/>
      <c r="H114" s="467"/>
      <c r="I114" s="467"/>
      <c r="J114" s="467"/>
      <c r="K114" s="467"/>
      <c r="L114" s="467"/>
    </row>
    <row r="115" spans="1:14">
      <c r="C115" s="467"/>
      <c r="D115" s="467"/>
      <c r="E115" s="467"/>
      <c r="F115" s="467"/>
      <c r="G115" s="467"/>
      <c r="H115" s="467"/>
      <c r="I115" s="467"/>
      <c r="J115" s="467"/>
      <c r="K115" s="467"/>
      <c r="L115" s="467"/>
    </row>
    <row r="116" spans="1:14" ht="13">
      <c r="C116" s="84" t="s">
        <v>358</v>
      </c>
      <c r="D116" s="84" t="s">
        <v>342</v>
      </c>
      <c r="E116" s="84" t="s">
        <v>343</v>
      </c>
      <c r="F116" s="84" t="s">
        <v>344</v>
      </c>
      <c r="G116" s="84" t="s">
        <v>345</v>
      </c>
      <c r="H116" s="84" t="s">
        <v>346</v>
      </c>
      <c r="I116" s="84" t="s">
        <v>347</v>
      </c>
      <c r="J116" s="84" t="s">
        <v>534</v>
      </c>
      <c r="K116" s="84" t="s">
        <v>951</v>
      </c>
      <c r="L116" s="84" t="s">
        <v>963</v>
      </c>
      <c r="M116" s="84" t="s">
        <v>966</v>
      </c>
      <c r="N116" s="84" t="s">
        <v>984</v>
      </c>
    </row>
    <row r="117" spans="1:14">
      <c r="C117" s="244"/>
      <c r="D117" s="228"/>
      <c r="E117" s="228"/>
      <c r="F117" s="228"/>
      <c r="G117" s="228"/>
      <c r="H117" s="228"/>
      <c r="I117" s="228"/>
      <c r="J117" s="228"/>
      <c r="K117" s="228"/>
      <c r="L117" s="228"/>
      <c r="N117" s="244" t="s">
        <v>1216</v>
      </c>
    </row>
    <row r="118" spans="1:14" ht="13">
      <c r="C118" s="123" t="s">
        <v>1750</v>
      </c>
      <c r="D118" s="84">
        <v>350.1</v>
      </c>
      <c r="E118" s="84">
        <v>350.2</v>
      </c>
      <c r="F118" s="84">
        <v>352</v>
      </c>
      <c r="G118" s="84">
        <v>353</v>
      </c>
      <c r="H118" s="84">
        <v>354</v>
      </c>
      <c r="I118" s="84">
        <v>355</v>
      </c>
      <c r="J118" s="84">
        <v>356</v>
      </c>
      <c r="K118" s="84">
        <v>357</v>
      </c>
      <c r="L118" s="84">
        <v>358</v>
      </c>
      <c r="M118" s="84">
        <v>359</v>
      </c>
      <c r="N118" s="3" t="s">
        <v>196</v>
      </c>
    </row>
    <row r="119" spans="1:14" ht="13">
      <c r="A119" s="553">
        <f>A112+1</f>
        <v>55</v>
      </c>
      <c r="C119" s="705" t="s">
        <v>2554</v>
      </c>
      <c r="D119" s="232">
        <f>D$112*D89</f>
        <v>0</v>
      </c>
      <c r="E119" s="232">
        <f t="shared" ref="E119:M119" si="12">E$112*E89</f>
        <v>-6142.5020831189595</v>
      </c>
      <c r="F119" s="232">
        <f t="shared" si="12"/>
        <v>-188034.20417466716</v>
      </c>
      <c r="G119" s="232">
        <f t="shared" si="12"/>
        <v>-863364.43761637446</v>
      </c>
      <c r="H119" s="232">
        <f t="shared" si="12"/>
        <v>518548.07410294353</v>
      </c>
      <c r="I119" s="232">
        <f t="shared" si="12"/>
        <v>-850962.10388012487</v>
      </c>
      <c r="J119" s="232">
        <f t="shared" si="12"/>
        <v>-216796.89203481175</v>
      </c>
      <c r="K119" s="232">
        <f t="shared" si="12"/>
        <v>-1461.520143036608</v>
      </c>
      <c r="L119" s="232">
        <f t="shared" si="12"/>
        <v>-27980.358410276684</v>
      </c>
      <c r="M119" s="232">
        <f t="shared" si="12"/>
        <v>759.99563670283862</v>
      </c>
      <c r="N119" s="230">
        <f>SUM(D119:M119)</f>
        <v>-1635433.9486027639</v>
      </c>
    </row>
    <row r="120" spans="1:14" ht="13">
      <c r="A120" s="553">
        <f t="shared" ref="A120:A131" si="13">A119+1</f>
        <v>56</v>
      </c>
      <c r="C120" s="704" t="s">
        <v>2555</v>
      </c>
      <c r="D120" s="232">
        <f t="shared" ref="D120:M130" si="14">D$112*D90</f>
        <v>0</v>
      </c>
      <c r="E120" s="232">
        <f t="shared" si="14"/>
        <v>2856.9491810687764</v>
      </c>
      <c r="F120" s="232">
        <f t="shared" si="14"/>
        <v>-322986.8895653449</v>
      </c>
      <c r="G120" s="232">
        <f t="shared" si="14"/>
        <v>-27432.828908736345</v>
      </c>
      <c r="H120" s="232">
        <f t="shared" si="14"/>
        <v>-66014.823657052882</v>
      </c>
      <c r="I120" s="232">
        <f t="shared" si="14"/>
        <v>-1478077.2310643559</v>
      </c>
      <c r="J120" s="232">
        <f t="shared" si="14"/>
        <v>-15101.466735572192</v>
      </c>
      <c r="K120" s="232">
        <f t="shared" si="14"/>
        <v>630.85449422188412</v>
      </c>
      <c r="L120" s="232">
        <f t="shared" si="14"/>
        <v>49577.624139664091</v>
      </c>
      <c r="M120" s="232">
        <f t="shared" si="14"/>
        <v>4990.6972962254995</v>
      </c>
      <c r="N120" s="230">
        <f t="shared" ref="N120:N130" si="15">SUM(D120:M120)</f>
        <v>-1851557.114819882</v>
      </c>
    </row>
    <row r="121" spans="1:14" ht="13">
      <c r="A121" s="553">
        <f t="shared" si="13"/>
        <v>57</v>
      </c>
      <c r="C121" s="704" t="s">
        <v>2556</v>
      </c>
      <c r="D121" s="232">
        <f t="shared" si="14"/>
        <v>0</v>
      </c>
      <c r="E121" s="232">
        <f t="shared" si="14"/>
        <v>4799.0026304811299</v>
      </c>
      <c r="F121" s="232">
        <f t="shared" si="14"/>
        <v>-524679.33018405328</v>
      </c>
      <c r="G121" s="232">
        <f t="shared" si="14"/>
        <v>-2957194.8993636658</v>
      </c>
      <c r="H121" s="232">
        <f t="shared" si="14"/>
        <v>-851952.38152463583</v>
      </c>
      <c r="I121" s="232">
        <f t="shared" si="14"/>
        <v>-1609422.3287353774</v>
      </c>
      <c r="J121" s="232">
        <f t="shared" si="14"/>
        <v>-53336.029254829155</v>
      </c>
      <c r="K121" s="232">
        <f t="shared" si="14"/>
        <v>-170924.32588932125</v>
      </c>
      <c r="L121" s="232">
        <f t="shared" si="14"/>
        <v>967349.72841523332</v>
      </c>
      <c r="M121" s="232">
        <f t="shared" si="14"/>
        <v>607.20701899134508</v>
      </c>
      <c r="N121" s="230">
        <f t="shared" si="15"/>
        <v>-5194753.3568871776</v>
      </c>
    </row>
    <row r="122" spans="1:14" ht="13">
      <c r="A122" s="553">
        <f t="shared" si="13"/>
        <v>58</v>
      </c>
      <c r="C122" s="705" t="s">
        <v>2557</v>
      </c>
      <c r="D122" s="232">
        <f t="shared" si="14"/>
        <v>0</v>
      </c>
      <c r="E122" s="232">
        <f t="shared" si="14"/>
        <v>-6059.3114928247132</v>
      </c>
      <c r="F122" s="232">
        <f t="shared" si="14"/>
        <v>-17091.613003839393</v>
      </c>
      <c r="G122" s="232">
        <f t="shared" si="14"/>
        <v>-3217509.5465128245</v>
      </c>
      <c r="H122" s="232">
        <f t="shared" si="14"/>
        <v>-892129.82404372678</v>
      </c>
      <c r="I122" s="232">
        <f t="shared" si="14"/>
        <v>-830812.49611066817</v>
      </c>
      <c r="J122" s="232">
        <f t="shared" si="14"/>
        <v>-844873.80783612386</v>
      </c>
      <c r="K122" s="232">
        <f t="shared" si="14"/>
        <v>-3766.6500760222953</v>
      </c>
      <c r="L122" s="232">
        <f t="shared" si="14"/>
        <v>14056.032833646181</v>
      </c>
      <c r="M122" s="232">
        <f t="shared" si="14"/>
        <v>9013.90838868842</v>
      </c>
      <c r="N122" s="230">
        <f t="shared" si="15"/>
        <v>-5789173.3078536959</v>
      </c>
    </row>
    <row r="123" spans="1:14" ht="13">
      <c r="A123" s="553">
        <f t="shared" si="13"/>
        <v>59</v>
      </c>
      <c r="C123" s="704" t="s">
        <v>2558</v>
      </c>
      <c r="D123" s="232">
        <f t="shared" si="14"/>
        <v>0</v>
      </c>
      <c r="E123" s="232">
        <f t="shared" si="14"/>
        <v>4819.5555998506807</v>
      </c>
      <c r="F123" s="232">
        <f t="shared" si="14"/>
        <v>-359854.60511416761</v>
      </c>
      <c r="G123" s="232">
        <f t="shared" si="14"/>
        <v>-6418297.0036034482</v>
      </c>
      <c r="H123" s="232">
        <f t="shared" si="14"/>
        <v>-224286.99760838505</v>
      </c>
      <c r="I123" s="232">
        <f t="shared" si="14"/>
        <v>-851867.6234782571</v>
      </c>
      <c r="J123" s="232">
        <f t="shared" si="14"/>
        <v>-1169433.0730336762</v>
      </c>
      <c r="K123" s="232">
        <f t="shared" si="14"/>
        <v>-71393.116480400582</v>
      </c>
      <c r="L123" s="232">
        <f t="shared" si="14"/>
        <v>212156.82075007938</v>
      </c>
      <c r="M123" s="232">
        <f t="shared" si="14"/>
        <v>75407.92655506116</v>
      </c>
      <c r="N123" s="230">
        <f t="shared" si="15"/>
        <v>-8802748.1164133418</v>
      </c>
    </row>
    <row r="124" spans="1:14" ht="13">
      <c r="A124" s="553">
        <f t="shared" si="13"/>
        <v>60</v>
      </c>
      <c r="C124" s="704" t="s">
        <v>2559</v>
      </c>
      <c r="D124" s="232">
        <f t="shared" si="14"/>
        <v>0</v>
      </c>
      <c r="E124" s="232">
        <f t="shared" si="14"/>
        <v>19275.930371093906</v>
      </c>
      <c r="F124" s="232">
        <f t="shared" si="14"/>
        <v>-46590.434328990996</v>
      </c>
      <c r="G124" s="232">
        <f t="shared" si="14"/>
        <v>-1097735.9299078812</v>
      </c>
      <c r="H124" s="232">
        <f t="shared" si="14"/>
        <v>-919788.96501772199</v>
      </c>
      <c r="I124" s="232">
        <f t="shared" si="14"/>
        <v>-839472.08500870364</v>
      </c>
      <c r="J124" s="232">
        <f t="shared" si="14"/>
        <v>-444939.09293640213</v>
      </c>
      <c r="K124" s="232">
        <f t="shared" si="14"/>
        <v>317508.16807532287</v>
      </c>
      <c r="L124" s="232">
        <f t="shared" si="14"/>
        <v>-1052090.4323559587</v>
      </c>
      <c r="M124" s="232">
        <f t="shared" si="14"/>
        <v>-318.34426808899582</v>
      </c>
      <c r="N124" s="230">
        <f t="shared" si="15"/>
        <v>-4064151.1853773315</v>
      </c>
    </row>
    <row r="125" spans="1:14" ht="13">
      <c r="A125" s="553">
        <f t="shared" si="13"/>
        <v>61</v>
      </c>
      <c r="C125" s="705" t="s">
        <v>2560</v>
      </c>
      <c r="D125" s="232">
        <f t="shared" si="14"/>
        <v>0</v>
      </c>
      <c r="E125" s="232">
        <f t="shared" si="14"/>
        <v>9882.1163930828352</v>
      </c>
      <c r="F125" s="232">
        <f t="shared" si="14"/>
        <v>-35575.783067684875</v>
      </c>
      <c r="G125" s="232">
        <f t="shared" si="14"/>
        <v>-1107708.322137994</v>
      </c>
      <c r="H125" s="232">
        <f t="shared" si="14"/>
        <v>-304123.64430432802</v>
      </c>
      <c r="I125" s="232">
        <f t="shared" si="14"/>
        <v>-940472.8743158147</v>
      </c>
      <c r="J125" s="232">
        <f t="shared" si="14"/>
        <v>-68257.003327395112</v>
      </c>
      <c r="K125" s="232">
        <f t="shared" si="14"/>
        <v>-69048.246740176211</v>
      </c>
      <c r="L125" s="232">
        <f t="shared" si="14"/>
        <v>-544262.16582114529</v>
      </c>
      <c r="M125" s="232">
        <f t="shared" si="14"/>
        <v>348.73904658463101</v>
      </c>
      <c r="N125" s="230">
        <f t="shared" si="15"/>
        <v>-3059217.1842748709</v>
      </c>
    </row>
    <row r="126" spans="1:14" ht="13">
      <c r="A126" s="553">
        <f t="shared" si="13"/>
        <v>62</v>
      </c>
      <c r="C126" s="704" t="s">
        <v>2561</v>
      </c>
      <c r="D126" s="232">
        <f t="shared" si="14"/>
        <v>0</v>
      </c>
      <c r="E126" s="232">
        <f t="shared" si="14"/>
        <v>29.550992998649317</v>
      </c>
      <c r="F126" s="232">
        <f t="shared" si="14"/>
        <v>-1110122.1196874874</v>
      </c>
      <c r="G126" s="232">
        <f t="shared" si="14"/>
        <v>-6397428.8711503102</v>
      </c>
      <c r="H126" s="232">
        <f t="shared" si="14"/>
        <v>-483748.89086612646</v>
      </c>
      <c r="I126" s="232">
        <f t="shared" si="14"/>
        <v>-537315.12759840686</v>
      </c>
      <c r="J126" s="232">
        <f t="shared" si="14"/>
        <v>64434.134313029928</v>
      </c>
      <c r="K126" s="232">
        <f t="shared" si="14"/>
        <v>-24.101358585595747</v>
      </c>
      <c r="L126" s="232">
        <f t="shared" si="14"/>
        <v>608870.63971455407</v>
      </c>
      <c r="M126" s="232">
        <f t="shared" si="14"/>
        <v>67.598761249714784</v>
      </c>
      <c r="N126" s="230">
        <f t="shared" si="15"/>
        <v>-7855237.1868790835</v>
      </c>
    </row>
    <row r="127" spans="1:14" ht="13">
      <c r="A127" s="553">
        <f t="shared" si="13"/>
        <v>63</v>
      </c>
      <c r="C127" s="704" t="s">
        <v>2562</v>
      </c>
      <c r="D127" s="232">
        <f t="shared" si="14"/>
        <v>0</v>
      </c>
      <c r="E127" s="232">
        <f t="shared" si="14"/>
        <v>15306.014616010933</v>
      </c>
      <c r="F127" s="232">
        <f t="shared" si="14"/>
        <v>-97823.879475344307</v>
      </c>
      <c r="G127" s="232">
        <f t="shared" si="14"/>
        <v>-1531737.2666819831</v>
      </c>
      <c r="H127" s="232">
        <f t="shared" si="14"/>
        <v>-3178258.894704707</v>
      </c>
      <c r="I127" s="232">
        <f t="shared" si="14"/>
        <v>-647432.15073083714</v>
      </c>
      <c r="J127" s="232">
        <f t="shared" si="14"/>
        <v>-470199.66043030156</v>
      </c>
      <c r="K127" s="232">
        <f t="shared" si="14"/>
        <v>-12970.486393869793</v>
      </c>
      <c r="L127" s="232">
        <f t="shared" si="14"/>
        <v>358692.8720421223</v>
      </c>
      <c r="M127" s="232">
        <f t="shared" si="14"/>
        <v>485.8418004110523</v>
      </c>
      <c r="N127" s="230">
        <f t="shared" si="15"/>
        <v>-5563937.6099584987</v>
      </c>
    </row>
    <row r="128" spans="1:14" ht="13">
      <c r="A128" s="553">
        <f t="shared" si="13"/>
        <v>64</v>
      </c>
      <c r="C128" s="705" t="s">
        <v>2563</v>
      </c>
      <c r="D128" s="232">
        <f t="shared" si="14"/>
        <v>0</v>
      </c>
      <c r="E128" s="232">
        <f t="shared" si="14"/>
        <v>353.04207170169417</v>
      </c>
      <c r="F128" s="232">
        <f t="shared" si="14"/>
        <v>-47203.571287487473</v>
      </c>
      <c r="G128" s="232">
        <f t="shared" si="14"/>
        <v>-1992560.2856025766</v>
      </c>
      <c r="H128" s="232">
        <f t="shared" si="14"/>
        <v>-270640.73791947367</v>
      </c>
      <c r="I128" s="232">
        <f t="shared" si="14"/>
        <v>-847845.83060451644</v>
      </c>
      <c r="J128" s="232">
        <f t="shared" si="14"/>
        <v>-1280630.0649284536</v>
      </c>
      <c r="K128" s="232">
        <f t="shared" si="14"/>
        <v>-38148.190529361338</v>
      </c>
      <c r="L128" s="232">
        <f t="shared" si="14"/>
        <v>178762.32740966941</v>
      </c>
      <c r="M128" s="232">
        <f t="shared" si="14"/>
        <v>21009.594537044304</v>
      </c>
      <c r="N128" s="230">
        <f t="shared" si="15"/>
        <v>-4276903.7168534538</v>
      </c>
    </row>
    <row r="129" spans="1:14" ht="13">
      <c r="A129" s="553">
        <f t="shared" si="13"/>
        <v>65</v>
      </c>
      <c r="C129" s="705" t="s">
        <v>2564</v>
      </c>
      <c r="D129" s="232">
        <f t="shared" si="14"/>
        <v>0</v>
      </c>
      <c r="E129" s="232">
        <f t="shared" si="14"/>
        <v>-1827.9957622695561</v>
      </c>
      <c r="F129" s="232">
        <f t="shared" si="14"/>
        <v>8234.2624285056936</v>
      </c>
      <c r="G129" s="232">
        <f t="shared" si="14"/>
        <v>-2117550.8843421345</v>
      </c>
      <c r="H129" s="232">
        <f t="shared" si="14"/>
        <v>-316145.41173053457</v>
      </c>
      <c r="I129" s="232">
        <f t="shared" si="14"/>
        <v>-940234.91195817059</v>
      </c>
      <c r="J129" s="232">
        <f t="shared" si="14"/>
        <v>-106973.32001643904</v>
      </c>
      <c r="K129" s="232">
        <f t="shared" si="14"/>
        <v>-2193.9786928989752</v>
      </c>
      <c r="L129" s="232">
        <f t="shared" si="14"/>
        <v>23958.310594895782</v>
      </c>
      <c r="M129" s="232">
        <f t="shared" si="14"/>
        <v>50087.202078285765</v>
      </c>
      <c r="N129" s="230">
        <f t="shared" si="15"/>
        <v>-3402646.7274007597</v>
      </c>
    </row>
    <row r="130" spans="1:14" ht="13">
      <c r="A130" s="553">
        <f t="shared" si="13"/>
        <v>66</v>
      </c>
      <c r="C130" s="704" t="s">
        <v>2553</v>
      </c>
      <c r="D130" s="449">
        <f t="shared" si="14"/>
        <v>0</v>
      </c>
      <c r="E130" s="449">
        <f t="shared" si="14"/>
        <v>19797.33335588151</v>
      </c>
      <c r="F130" s="449">
        <f t="shared" si="14"/>
        <v>-2068306.7874779881</v>
      </c>
      <c r="G130" s="449">
        <f t="shared" si="14"/>
        <v>-15971617.729728445</v>
      </c>
      <c r="H130" s="449">
        <f t="shared" si="14"/>
        <v>-342408.09463176312</v>
      </c>
      <c r="I130" s="449">
        <f t="shared" si="14"/>
        <v>-1364482.2139735904</v>
      </c>
      <c r="J130" s="449">
        <f t="shared" si="14"/>
        <v>31578.459767719327</v>
      </c>
      <c r="K130" s="449">
        <f t="shared" si="14"/>
        <v>-62577.004933926786</v>
      </c>
      <c r="L130" s="449">
        <f t="shared" si="14"/>
        <v>-26691.484285757986</v>
      </c>
      <c r="M130" s="449">
        <f t="shared" si="14"/>
        <v>2919.3936003501485</v>
      </c>
      <c r="N130" s="361">
        <f t="shared" si="15"/>
        <v>-19781788.128307521</v>
      </c>
    </row>
    <row r="131" spans="1:14" ht="13">
      <c r="A131" s="553">
        <f t="shared" si="13"/>
        <v>67</v>
      </c>
      <c r="C131" s="1067" t="s">
        <v>4</v>
      </c>
      <c r="D131" s="230">
        <f>SUM(D119:D130)</f>
        <v>0</v>
      </c>
      <c r="E131" s="230">
        <f t="shared" ref="E131:M131" si="16">SUM(E119:E130)</f>
        <v>63089.685873956885</v>
      </c>
      <c r="F131" s="230">
        <f t="shared" si="16"/>
        <v>-4810034.9549385495</v>
      </c>
      <c r="G131" s="230">
        <f t="shared" si="16"/>
        <v>-43700138.005556375</v>
      </c>
      <c r="H131" s="230">
        <f t="shared" si="16"/>
        <v>-7330950.5919055119</v>
      </c>
      <c r="I131" s="230">
        <f t="shared" si="16"/>
        <v>-11738396.977458825</v>
      </c>
      <c r="J131" s="230">
        <f t="shared" si="16"/>
        <v>-4574527.8164532557</v>
      </c>
      <c r="K131" s="230">
        <f t="shared" si="16"/>
        <v>-114368.59866805468</v>
      </c>
      <c r="L131" s="230">
        <f t="shared" si="16"/>
        <v>762399.91502672574</v>
      </c>
      <c r="M131" s="230">
        <f t="shared" si="16"/>
        <v>165379.76045150589</v>
      </c>
      <c r="N131" s="230">
        <f>SUM(N119:N130)</f>
        <v>-71277547.583628386</v>
      </c>
    </row>
    <row r="132" spans="1:14">
      <c r="D132" s="14"/>
      <c r="E132" s="14"/>
      <c r="F132" s="14"/>
      <c r="G132" s="14"/>
      <c r="H132" s="14"/>
      <c r="I132" s="14"/>
      <c r="J132" s="14"/>
      <c r="K132" s="14"/>
      <c r="L132" s="14"/>
      <c r="M132" s="14"/>
      <c r="N132" s="14"/>
    </row>
    <row r="133" spans="1:14" ht="13">
      <c r="B133" s="389" t="s">
        <v>230</v>
      </c>
      <c r="D133" s="14"/>
      <c r="E133" s="14"/>
      <c r="F133" s="14"/>
      <c r="G133" s="14"/>
      <c r="H133" s="14"/>
      <c r="I133" s="14"/>
      <c r="J133" s="14"/>
      <c r="K133" s="14"/>
      <c r="L133" s="14"/>
      <c r="M133" s="14"/>
      <c r="N133" s="14"/>
    </row>
    <row r="134" spans="1:14">
      <c r="B134" s="866" t="s">
        <v>2280</v>
      </c>
      <c r="C134" s="14"/>
      <c r="D134" s="14"/>
      <c r="E134" s="14"/>
      <c r="F134" s="14"/>
      <c r="G134" s="14"/>
      <c r="H134" s="14"/>
      <c r="I134" s="14"/>
      <c r="J134" s="14"/>
    </row>
    <row r="135" spans="1:14">
      <c r="B135" s="1092" t="s">
        <v>1870</v>
      </c>
      <c r="C135" s="14"/>
      <c r="D135" s="14"/>
      <c r="E135" s="14"/>
      <c r="F135" s="14"/>
      <c r="G135" s="14"/>
      <c r="H135" s="14"/>
      <c r="I135" s="14"/>
      <c r="J135" s="14"/>
    </row>
    <row r="136" spans="1:14">
      <c r="B136" s="595" t="s">
        <v>1850</v>
      </c>
      <c r="C136" s="579"/>
      <c r="D136" s="579"/>
      <c r="E136" s="579"/>
      <c r="F136" s="579"/>
      <c r="G136" s="579"/>
      <c r="H136" s="579"/>
      <c r="I136" s="579"/>
      <c r="J136" s="14"/>
      <c r="K136" s="14"/>
      <c r="L136" s="579"/>
      <c r="M136" s="579"/>
      <c r="N136" s="14"/>
    </row>
    <row r="137" spans="1:14">
      <c r="B137" s="871" t="s">
        <v>2420</v>
      </c>
      <c r="C137" s="579"/>
      <c r="D137" s="579"/>
      <c r="E137" s="579"/>
      <c r="F137" s="579"/>
      <c r="G137" s="579"/>
      <c r="H137" s="579"/>
      <c r="I137" s="579"/>
      <c r="J137" s="579"/>
      <c r="K137" s="579"/>
      <c r="L137" s="579"/>
      <c r="M137" s="579"/>
      <c r="N137" s="14"/>
    </row>
    <row r="138" spans="1:14">
      <c r="B138" s="871" t="s">
        <v>2374</v>
      </c>
      <c r="C138" s="579"/>
      <c r="D138" s="579"/>
      <c r="E138" s="579"/>
      <c r="F138" s="579"/>
      <c r="G138" s="579"/>
      <c r="H138" s="579"/>
      <c r="I138" s="579"/>
      <c r="J138" s="579"/>
      <c r="K138" s="579"/>
      <c r="L138" s="579"/>
      <c r="M138" s="579"/>
      <c r="N138" s="14"/>
    </row>
    <row r="139" spans="1:14">
      <c r="B139" s="871" t="s">
        <v>1851</v>
      </c>
      <c r="C139" s="579"/>
      <c r="D139" s="579"/>
      <c r="E139" s="579"/>
      <c r="F139" s="579"/>
      <c r="G139" s="579"/>
      <c r="H139" s="579"/>
      <c r="I139" s="579"/>
      <c r="J139" s="579"/>
      <c r="K139" s="579"/>
      <c r="L139" s="579"/>
      <c r="M139" s="579"/>
      <c r="N139" s="14"/>
    </row>
    <row r="140" spans="1:14">
      <c r="B140" s="595" t="s">
        <v>1852</v>
      </c>
      <c r="C140" s="579"/>
      <c r="D140" s="579"/>
      <c r="E140" s="579"/>
      <c r="F140" s="579"/>
      <c r="G140" s="579"/>
      <c r="H140" s="579"/>
      <c r="I140" s="579"/>
      <c r="J140" s="579"/>
      <c r="K140" s="579"/>
      <c r="L140" s="579"/>
      <c r="M140" s="579"/>
      <c r="N140" s="14"/>
    </row>
    <row r="141" spans="1:14">
      <c r="B141" s="871" t="s">
        <v>2266</v>
      </c>
      <c r="C141" s="579"/>
      <c r="D141" s="579"/>
      <c r="E141" s="579"/>
      <c r="F141" s="579"/>
      <c r="G141" s="579"/>
      <c r="H141" s="579"/>
      <c r="I141" s="579"/>
      <c r="J141" s="579"/>
      <c r="K141" s="579"/>
      <c r="L141" s="579"/>
      <c r="M141" s="579"/>
      <c r="N141" s="14"/>
    </row>
    <row r="142" spans="1:14">
      <c r="B142" s="871" t="s">
        <v>2375</v>
      </c>
      <c r="C142" s="579"/>
      <c r="D142" s="579"/>
      <c r="E142" s="579"/>
      <c r="F142" s="579"/>
      <c r="G142" s="579"/>
      <c r="H142" s="579"/>
      <c r="I142" s="579"/>
      <c r="J142" s="579"/>
      <c r="K142" s="579"/>
      <c r="L142" s="579"/>
      <c r="M142" s="579"/>
      <c r="N142" s="14"/>
    </row>
    <row r="143" spans="1:14">
      <c r="B143" s="871" t="s">
        <v>2267</v>
      </c>
      <c r="C143" s="579"/>
      <c r="D143" s="579"/>
      <c r="E143" s="579"/>
      <c r="F143" s="579"/>
      <c r="G143" s="579"/>
      <c r="H143" s="579"/>
      <c r="I143" s="579"/>
      <c r="J143" s="579"/>
      <c r="K143" s="579"/>
      <c r="L143" s="579"/>
      <c r="M143" s="579"/>
      <c r="N143" s="14"/>
    </row>
    <row r="144" spans="1:14">
      <c r="B144" s="469"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466"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469" t="s">
        <v>2376</v>
      </c>
      <c r="C147" s="14"/>
      <c r="D147" s="14"/>
      <c r="E147" s="14"/>
      <c r="F147" s="14"/>
      <c r="G147" s="14"/>
      <c r="H147" s="14"/>
      <c r="I147" s="14"/>
      <c r="J147" s="14"/>
    </row>
    <row r="148" spans="2:10">
      <c r="B148" s="469"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469" t="str">
        <f>"7) Line "&amp;A106&amp;" - Line "&amp;A109&amp;"."</f>
        <v>7) Line 52 - Line 53.</v>
      </c>
      <c r="C150" s="14"/>
      <c r="D150" s="14"/>
      <c r="E150" s="14"/>
      <c r="F150" s="14"/>
      <c r="G150" s="14"/>
      <c r="H150" s="14"/>
      <c r="I150" s="14"/>
      <c r="J150" s="14"/>
    </row>
    <row r="151" spans="2:10">
      <c r="B151" s="469" t="s">
        <v>2377</v>
      </c>
      <c r="C151" s="14"/>
      <c r="D151" s="14"/>
      <c r="E151" s="14"/>
      <c r="F151" s="14"/>
      <c r="G151" s="14"/>
      <c r="H151" s="14"/>
      <c r="I151" s="14"/>
      <c r="J151" s="14"/>
    </row>
    <row r="152" spans="2:10">
      <c r="B152" s="466" t="s">
        <v>2378</v>
      </c>
      <c r="C152" s="14"/>
      <c r="D152" s="14"/>
      <c r="E152" s="14"/>
      <c r="F152" s="14"/>
      <c r="G152" s="14"/>
      <c r="H152" s="14"/>
      <c r="I152" s="14"/>
      <c r="J152" s="14"/>
    </row>
    <row r="153" spans="2:10">
      <c r="B153" s="469"/>
      <c r="C153" s="14"/>
      <c r="D153" s="14"/>
      <c r="E153" s="14"/>
      <c r="F153" s="14"/>
      <c r="G153" s="14"/>
      <c r="H153" s="14"/>
      <c r="I153" s="14"/>
      <c r="J153" s="14"/>
    </row>
    <row r="154" spans="2:10">
      <c r="B154" s="469"/>
      <c r="C154" s="14"/>
      <c r="D154" s="14"/>
      <c r="E154" s="14"/>
      <c r="F154" s="14"/>
      <c r="G154" s="14"/>
      <c r="H154" s="14"/>
      <c r="I154" s="14"/>
      <c r="J154" s="14"/>
    </row>
  </sheetData>
  <phoneticPr fontId="23" type="noConversion"/>
  <pageMargins left="0.75" right="0.75" top="1" bottom="1" header="0.5" footer="0.5"/>
  <pageSetup scale="65" orientation="landscape" cellComments="asDisplayed" r:id="rId1"/>
  <headerFooter alignWithMargins="0">
    <oddHeader>&amp;CSchedule 8
Accumulated Depreciation
&amp;RTO2021 Draft Annual Update 
Attachment 1</oddHeader>
    <oddFooter>&amp;R&amp;A</oddFooter>
  </headerFooter>
  <rowBreaks count="3" manualBreakCount="3">
    <brk id="36" max="16383" man="1"/>
    <brk id="83" max="16383" man="1"/>
    <brk id="113"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67"/>
  <sheetViews>
    <sheetView zoomScaleNormal="100" zoomScaleSheetLayoutView="80" zoomScalePageLayoutView="80" workbookViewId="0"/>
  </sheetViews>
  <sheetFormatPr defaultRowHeight="13"/>
  <cols>
    <col min="1" max="1" width="5.81640625" customWidth="1"/>
    <col min="2" max="2" width="9.54296875" style="521" customWidth="1"/>
    <col min="3" max="3" width="50.54296875" style="521" customWidth="1"/>
    <col min="4" max="4" width="23.453125" style="521" bestFit="1" customWidth="1"/>
    <col min="5" max="5" width="18.453125" style="521" customWidth="1"/>
    <col min="6" max="6" width="15.54296875" style="521" customWidth="1"/>
    <col min="7" max="7" width="16.54296875" style="521" customWidth="1"/>
    <col min="8" max="8" width="15.54296875" style="521" customWidth="1"/>
    <col min="9" max="9" width="17.453125" style="521" customWidth="1"/>
    <col min="10" max="10" width="29.453125" style="521" customWidth="1"/>
    <col min="11" max="11" width="25.54296875" style="14" customWidth="1"/>
  </cols>
  <sheetData>
    <row r="1" spans="1:12">
      <c r="A1" s="1" t="s">
        <v>2758</v>
      </c>
      <c r="B1" s="228"/>
      <c r="C1" s="236"/>
      <c r="D1" s="236"/>
      <c r="E1" s="236"/>
      <c r="F1" s="387" t="s">
        <v>301</v>
      </c>
      <c r="G1" s="387"/>
      <c r="H1" s="236"/>
      <c r="I1" s="228"/>
      <c r="J1" s="228"/>
      <c r="K1" s="520"/>
      <c r="L1" s="520"/>
    </row>
    <row r="2" spans="1:12">
      <c r="A2" s="228"/>
      <c r="B2" s="584"/>
      <c r="C2" s="585"/>
      <c r="D2" s="585"/>
      <c r="E2" s="228"/>
      <c r="F2" s="228"/>
      <c r="G2" s="228"/>
      <c r="H2" s="228"/>
      <c r="I2" s="228"/>
      <c r="J2" s="228"/>
      <c r="K2" s="520"/>
      <c r="L2" s="520"/>
    </row>
    <row r="3" spans="1:12">
      <c r="A3" s="228"/>
      <c r="B3" s="584" t="s">
        <v>2759</v>
      </c>
      <c r="C3" s="585"/>
      <c r="D3" s="585"/>
      <c r="E3" s="228"/>
      <c r="F3" s="228"/>
      <c r="G3" s="228"/>
      <c r="H3" s="228"/>
      <c r="I3" s="228"/>
      <c r="J3" s="228"/>
      <c r="K3" s="520"/>
      <c r="L3" s="520"/>
    </row>
    <row r="4" spans="1:12">
      <c r="A4" s="228"/>
      <c r="B4" s="584"/>
      <c r="C4" s="585"/>
      <c r="D4" s="585"/>
      <c r="E4" s="228"/>
      <c r="F4" s="228"/>
      <c r="G4" s="228"/>
      <c r="H4" s="228"/>
      <c r="I4" s="228"/>
      <c r="J4" s="228"/>
      <c r="K4" s="520"/>
      <c r="L4" s="520"/>
    </row>
    <row r="5" spans="1:12">
      <c r="A5" s="228"/>
      <c r="B5" s="586" t="s">
        <v>2760</v>
      </c>
      <c r="C5" s="585"/>
      <c r="D5" s="585"/>
      <c r="E5" s="228"/>
      <c r="F5" s="228"/>
      <c r="G5" s="228"/>
      <c r="H5" s="228"/>
      <c r="I5" s="228"/>
      <c r="J5" s="228"/>
      <c r="K5" s="520"/>
      <c r="L5" s="520"/>
    </row>
    <row r="6" spans="1:12">
      <c r="A6" s="228"/>
      <c r="B6" s="584"/>
      <c r="C6" s="84" t="s">
        <v>358</v>
      </c>
      <c r="D6" s="84" t="s">
        <v>342</v>
      </c>
      <c r="E6" s="228"/>
      <c r="I6" s="228"/>
      <c r="J6" s="228"/>
      <c r="K6" s="520"/>
      <c r="L6" s="520"/>
    </row>
    <row r="7" spans="1:12">
      <c r="A7" s="228"/>
      <c r="C7" s="585"/>
      <c r="D7" s="228"/>
      <c r="E7" s="228"/>
      <c r="I7" s="228"/>
      <c r="J7" s="228"/>
      <c r="K7" s="520"/>
      <c r="L7" s="520"/>
    </row>
    <row r="8" spans="1:12">
      <c r="A8" s="228"/>
      <c r="B8" s="584"/>
      <c r="C8" s="236"/>
      <c r="D8" s="110" t="s">
        <v>196</v>
      </c>
      <c r="J8" s="228"/>
      <c r="K8" s="520"/>
      <c r="L8" s="520"/>
    </row>
    <row r="9" spans="1:12">
      <c r="A9" s="53" t="s">
        <v>329</v>
      </c>
      <c r="B9" s="584"/>
      <c r="C9" s="507" t="s">
        <v>99</v>
      </c>
      <c r="D9" s="123" t="s">
        <v>959</v>
      </c>
      <c r="E9" s="362" t="s">
        <v>179</v>
      </c>
      <c r="J9" s="228"/>
      <c r="K9" s="520"/>
      <c r="L9" s="520"/>
    </row>
    <row r="10" spans="1:12" ht="14.5">
      <c r="A10" s="373">
        <v>1</v>
      </c>
      <c r="B10" s="584"/>
      <c r="C10" s="469" t="s">
        <v>1214</v>
      </c>
      <c r="D10" s="481">
        <f>+D71</f>
        <v>117743346.29369552</v>
      </c>
      <c r="E10" s="466" t="str">
        <f>"Line "&amp;A71&amp;", Col. 2"</f>
        <v>Line 353, Col. 2</v>
      </c>
      <c r="F10" s="1170"/>
      <c r="J10" s="228"/>
      <c r="K10" s="520"/>
      <c r="L10" s="520"/>
    </row>
    <row r="11" spans="1:12">
      <c r="A11" s="553">
        <f>A10+1</f>
        <v>2</v>
      </c>
      <c r="B11" s="584"/>
      <c r="C11" s="469" t="s">
        <v>1212</v>
      </c>
      <c r="D11" s="481">
        <f>+D91</f>
        <v>-1188810901.2409992</v>
      </c>
      <c r="E11" s="466" t="str">
        <f>"Line "&amp;A91&amp;", Col. 2"</f>
        <v>Line 452, Col. 2</v>
      </c>
      <c r="F11" s="1170"/>
      <c r="H11" s="1283" t="s">
        <v>2529</v>
      </c>
      <c r="I11" s="1283" t="s">
        <v>2531</v>
      </c>
      <c r="J11" s="520"/>
      <c r="K11"/>
    </row>
    <row r="12" spans="1:12">
      <c r="A12" s="553">
        <f t="shared" ref="A12:A24" si="0">A11+1</f>
        <v>3</v>
      </c>
      <c r="B12" s="584"/>
      <c r="C12" s="469" t="s">
        <v>1213</v>
      </c>
      <c r="D12" s="481">
        <f>+D132</f>
        <v>-14941538.477128869</v>
      </c>
      <c r="E12" s="466" t="str">
        <f>"Line "&amp;A132&amp;", Col. 2"</f>
        <v>Line 803, Col. 2</v>
      </c>
      <c r="F12" s="1170"/>
      <c r="H12" s="1284" t="s">
        <v>2530</v>
      </c>
      <c r="I12" s="1284" t="s">
        <v>2532</v>
      </c>
      <c r="J12" s="520"/>
      <c r="K12"/>
    </row>
    <row r="13" spans="1:12" s="972" customFormat="1">
      <c r="A13" s="553">
        <f t="shared" si="0"/>
        <v>4</v>
      </c>
      <c r="B13" s="584"/>
      <c r="C13" s="467" t="s">
        <v>2765</v>
      </c>
      <c r="D13" s="1009">
        <f>-637169884+101819399</f>
        <v>-535350485</v>
      </c>
      <c r="E13" s="466" t="s">
        <v>2855</v>
      </c>
      <c r="F13" s="1170"/>
      <c r="G13" s="521"/>
      <c r="H13" s="975" t="s">
        <v>2567</v>
      </c>
      <c r="I13" s="1295" t="s">
        <v>2568</v>
      </c>
      <c r="J13" s="520"/>
    </row>
    <row r="14" spans="1:12">
      <c r="A14" s="553">
        <f t="shared" si="0"/>
        <v>5</v>
      </c>
      <c r="B14" s="584"/>
      <c r="C14" s="469" t="s">
        <v>1551</v>
      </c>
      <c r="D14" s="470">
        <f>SUM(D10:D13)</f>
        <v>-1621359578.4244325</v>
      </c>
      <c r="E14" s="540" t="str">
        <f>"Sum of Lines "&amp;A10&amp;" to "&amp;A13&amp;""</f>
        <v>Sum of Lines 1 to 4</v>
      </c>
      <c r="F14" s="1170"/>
      <c r="H14" s="1282"/>
      <c r="I14" s="1282"/>
      <c r="J14" s="520"/>
      <c r="K14"/>
    </row>
    <row r="15" spans="1:12">
      <c r="A15" s="553">
        <f t="shared" si="0"/>
        <v>6</v>
      </c>
      <c r="B15" s="584"/>
      <c r="C15" s="471" t="s">
        <v>2763</v>
      </c>
      <c r="D15" s="236"/>
      <c r="E15" s="236"/>
      <c r="G15" s="523"/>
      <c r="H15" s="242"/>
      <c r="I15" s="236"/>
      <c r="J15" s="228"/>
      <c r="K15" s="520"/>
      <c r="L15" s="520"/>
    </row>
    <row r="16" spans="1:12">
      <c r="A16" s="553">
        <f t="shared" si="0"/>
        <v>7</v>
      </c>
      <c r="B16" s="586" t="s">
        <v>2762</v>
      </c>
      <c r="E16" s="236"/>
      <c r="G16" s="522"/>
      <c r="H16" s="524"/>
      <c r="I16" s="522"/>
      <c r="J16" s="228"/>
      <c r="K16" s="520"/>
      <c r="L16" s="520"/>
    </row>
    <row r="17" spans="1:12">
      <c r="A17" s="553">
        <f t="shared" si="0"/>
        <v>8</v>
      </c>
      <c r="B17" s="586"/>
      <c r="D17" s="110" t="s">
        <v>380</v>
      </c>
      <c r="E17" s="236"/>
      <c r="G17" s="522"/>
      <c r="H17" s="524"/>
      <c r="I17" s="522"/>
      <c r="J17" s="228"/>
      <c r="K17" s="520"/>
      <c r="L17" s="520"/>
    </row>
    <row r="18" spans="1:12">
      <c r="A18" s="553">
        <f t="shared" si="0"/>
        <v>9</v>
      </c>
      <c r="B18" s="584"/>
      <c r="D18" s="123" t="s">
        <v>959</v>
      </c>
      <c r="E18" s="362" t="s">
        <v>179</v>
      </c>
      <c r="G18" s="525"/>
      <c r="H18" s="522"/>
      <c r="I18" s="522"/>
      <c r="J18" s="228"/>
      <c r="K18" s="520"/>
      <c r="L18" s="520"/>
    </row>
    <row r="19" spans="1:12">
      <c r="A19" s="553">
        <f t="shared" si="0"/>
        <v>10</v>
      </c>
      <c r="B19" s="584"/>
      <c r="C19" s="469" t="s">
        <v>1551</v>
      </c>
      <c r="D19" s="497">
        <v>-1642932131</v>
      </c>
      <c r="E19" s="466" t="str">
        <f>"Previous Year Informational Filing, Line "&amp;A14&amp;", Col. 2"</f>
        <v>Previous Year Informational Filing, Line 5, Col. 2</v>
      </c>
      <c r="G19" s="1139"/>
      <c r="H19" s="522"/>
      <c r="I19" s="522"/>
      <c r="K19" s="520"/>
      <c r="L19" s="520"/>
    </row>
    <row r="20" spans="1:12">
      <c r="A20" s="553">
        <f t="shared" si="0"/>
        <v>11</v>
      </c>
      <c r="B20" s="584"/>
      <c r="D20" s="236"/>
      <c r="E20" s="236"/>
      <c r="F20" s="522"/>
      <c r="G20" s="522"/>
      <c r="H20" s="522"/>
      <c r="I20" s="522"/>
      <c r="J20" s="228"/>
      <c r="K20" s="520"/>
      <c r="L20" s="520"/>
    </row>
    <row r="21" spans="1:12">
      <c r="A21" s="553">
        <f t="shared" si="0"/>
        <v>12</v>
      </c>
      <c r="B21" s="1279" t="s">
        <v>2761</v>
      </c>
      <c r="D21" s="236"/>
      <c r="E21" s="236"/>
      <c r="F21" s="522"/>
      <c r="G21" s="522"/>
      <c r="H21" s="522"/>
      <c r="I21" s="522"/>
      <c r="J21" s="228"/>
      <c r="K21" s="520"/>
      <c r="L21" s="520"/>
    </row>
    <row r="22" spans="1:12">
      <c r="A22" s="553">
        <f t="shared" si="0"/>
        <v>13</v>
      </c>
      <c r="B22" s="585"/>
      <c r="C22" s="587"/>
      <c r="D22" s="588" t="s">
        <v>229</v>
      </c>
      <c r="E22" s="228"/>
      <c r="F22" s="228"/>
      <c r="G22" s="228"/>
      <c r="H22" s="228"/>
      <c r="I22" s="228"/>
      <c r="J22" s="228"/>
      <c r="K22" s="520"/>
      <c r="L22" s="520"/>
    </row>
    <row r="23" spans="1:12">
      <c r="A23" s="553">
        <f t="shared" si="0"/>
        <v>14</v>
      </c>
      <c r="B23" s="585"/>
      <c r="D23" s="123" t="s">
        <v>201</v>
      </c>
      <c r="E23" s="362" t="s">
        <v>179</v>
      </c>
      <c r="F23" s="228"/>
      <c r="G23" s="525"/>
      <c r="H23" s="228"/>
      <c r="I23" s="228"/>
      <c r="J23" s="228"/>
      <c r="K23" s="520"/>
      <c r="L23" s="520"/>
    </row>
    <row r="24" spans="1:12">
      <c r="A24" s="553">
        <f t="shared" si="0"/>
        <v>15</v>
      </c>
      <c r="B24" s="585"/>
      <c r="C24" s="589" t="s">
        <v>2764</v>
      </c>
      <c r="D24" s="1280">
        <f>(D14+D19)/2</f>
        <v>-1632145854.7122164</v>
      </c>
      <c r="E24" s="454" t="s">
        <v>2528</v>
      </c>
      <c r="F24" s="236"/>
      <c r="G24" s="522"/>
      <c r="H24" s="228"/>
      <c r="I24" s="228"/>
      <c r="J24" s="228"/>
      <c r="K24" s="520"/>
      <c r="L24" s="520"/>
    </row>
    <row r="25" spans="1:12">
      <c r="A25" s="553"/>
      <c r="B25" s="585"/>
      <c r="C25" s="587"/>
      <c r="D25" s="590"/>
      <c r="E25" s="228"/>
      <c r="F25" s="228"/>
      <c r="G25" s="228"/>
      <c r="H25" s="228"/>
      <c r="I25" s="228"/>
      <c r="J25" s="228"/>
      <c r="K25" s="520"/>
      <c r="L25" s="520"/>
    </row>
    <row r="26" spans="1:12">
      <c r="A26" s="553"/>
      <c r="B26" s="584" t="s">
        <v>1552</v>
      </c>
      <c r="C26" s="587"/>
      <c r="D26" s="590"/>
      <c r="E26" s="228"/>
      <c r="F26" s="228"/>
      <c r="G26" s="228"/>
      <c r="H26" s="228"/>
      <c r="I26" s="228"/>
      <c r="J26" s="228"/>
    </row>
    <row r="27" spans="1:12">
      <c r="A27" s="553"/>
      <c r="B27" s="584"/>
      <c r="C27" s="84" t="s">
        <v>358</v>
      </c>
      <c r="D27" s="84" t="s">
        <v>342</v>
      </c>
      <c r="E27" s="84" t="s">
        <v>343</v>
      </c>
      <c r="F27" s="84" t="s">
        <v>344</v>
      </c>
      <c r="G27" s="84" t="s">
        <v>345</v>
      </c>
      <c r="H27" s="84" t="s">
        <v>346</v>
      </c>
      <c r="I27" s="84" t="s">
        <v>347</v>
      </c>
      <c r="J27" s="228"/>
    </row>
    <row r="28" spans="1:12">
      <c r="A28" s="467"/>
      <c r="B28" s="588"/>
      <c r="C28" s="588"/>
      <c r="D28" s="588" t="s">
        <v>1553</v>
      </c>
      <c r="E28" s="588" t="s">
        <v>1554</v>
      </c>
      <c r="F28" s="588"/>
      <c r="G28" s="588"/>
      <c r="H28" s="588" t="s">
        <v>1267</v>
      </c>
      <c r="I28" s="873" t="s">
        <v>1873</v>
      </c>
      <c r="J28" s="228"/>
    </row>
    <row r="29" spans="1:12">
      <c r="A29" s="467"/>
      <c r="B29" s="591" t="s">
        <v>1555</v>
      </c>
      <c r="C29" s="591" t="s">
        <v>1556</v>
      </c>
      <c r="D29" s="591" t="s">
        <v>1557</v>
      </c>
      <c r="E29" s="591" t="s">
        <v>1558</v>
      </c>
      <c r="F29" s="591" t="s">
        <v>1559</v>
      </c>
      <c r="G29" s="591" t="s">
        <v>1560</v>
      </c>
      <c r="H29" s="591" t="s">
        <v>1550</v>
      </c>
      <c r="I29" s="591" t="s">
        <v>100</v>
      </c>
      <c r="J29" s="228"/>
    </row>
    <row r="30" spans="1:12">
      <c r="A30" s="553"/>
      <c r="B30" s="585" t="s">
        <v>1562</v>
      </c>
      <c r="C30" s="585"/>
      <c r="D30" s="585"/>
      <c r="E30" s="228"/>
      <c r="F30" s="228"/>
      <c r="G30" s="228"/>
      <c r="H30" s="228"/>
      <c r="I30" s="228"/>
      <c r="J30" s="228"/>
    </row>
    <row r="31" spans="1:12">
      <c r="A31" s="979">
        <f>100</f>
        <v>100</v>
      </c>
      <c r="B31" s="981">
        <v>190</v>
      </c>
      <c r="C31" s="970" t="s">
        <v>2570</v>
      </c>
      <c r="D31" s="971">
        <v>539259.8899999999</v>
      </c>
      <c r="E31" s="983">
        <f>D31*$G$157</f>
        <v>483.73571206760488</v>
      </c>
      <c r="F31" s="980"/>
      <c r="G31" s="983">
        <f>D31-E31</f>
        <v>538776.15428793232</v>
      </c>
      <c r="H31" s="983"/>
      <c r="I31" s="984" t="s">
        <v>2584</v>
      </c>
      <c r="J31" s="975"/>
    </row>
    <row r="32" spans="1:12">
      <c r="A32" s="979">
        <f t="shared" ref="A32:A46" si="1">A31+1</f>
        <v>101</v>
      </c>
      <c r="B32" s="981">
        <v>190</v>
      </c>
      <c r="C32" s="970" t="s">
        <v>2571</v>
      </c>
      <c r="D32" s="971">
        <v>1227871.1299999999</v>
      </c>
      <c r="E32" s="983">
        <f>D32*$G$149</f>
        <v>4300.652896665576</v>
      </c>
      <c r="F32" s="980"/>
      <c r="G32" s="983"/>
      <c r="H32" s="983">
        <f>D32-E32</f>
        <v>1223570.4771033344</v>
      </c>
      <c r="I32" s="984" t="s">
        <v>2585</v>
      </c>
      <c r="J32" s="975"/>
    </row>
    <row r="33" spans="1:12">
      <c r="A33" s="979">
        <f t="shared" si="1"/>
        <v>102</v>
      </c>
      <c r="B33" s="981">
        <v>190</v>
      </c>
      <c r="C33" s="970" t="s">
        <v>2572</v>
      </c>
      <c r="D33" s="971">
        <v>719009.04</v>
      </c>
      <c r="E33" s="983">
        <f>D33*$G$157</f>
        <v>644.97722971282928</v>
      </c>
      <c r="F33" s="980"/>
      <c r="G33" s="983">
        <f>D33-E33</f>
        <v>718364.06277028716</v>
      </c>
      <c r="H33" s="983"/>
      <c r="I33" s="984" t="s">
        <v>2584</v>
      </c>
      <c r="J33" s="975"/>
    </row>
    <row r="34" spans="1:12">
      <c r="A34" s="979">
        <f t="shared" si="1"/>
        <v>103</v>
      </c>
      <c r="B34" s="981">
        <v>190</v>
      </c>
      <c r="C34" s="970" t="s">
        <v>2573</v>
      </c>
      <c r="D34" s="971">
        <v>1264408.98</v>
      </c>
      <c r="E34" s="983">
        <f>D34*$G$149</f>
        <v>4428.627735882158</v>
      </c>
      <c r="F34" s="983"/>
      <c r="G34" s="983"/>
      <c r="H34" s="983">
        <f>D34-E34</f>
        <v>1259980.3522641179</v>
      </c>
      <c r="I34" s="984" t="s">
        <v>2585</v>
      </c>
      <c r="J34" s="975"/>
    </row>
    <row r="35" spans="1:12">
      <c r="A35" s="979">
        <f t="shared" si="1"/>
        <v>104</v>
      </c>
      <c r="B35" s="981">
        <v>190</v>
      </c>
      <c r="C35" s="970" t="s">
        <v>2574</v>
      </c>
      <c r="D35" s="971">
        <v>28272451.09</v>
      </c>
      <c r="E35" s="983">
        <f>D35*$G$149</f>
        <v>99025.0488876991</v>
      </c>
      <c r="F35" s="980"/>
      <c r="G35" s="983"/>
      <c r="H35" s="983">
        <f>D35-E35</f>
        <v>28173426.0411123</v>
      </c>
      <c r="I35" s="984" t="s">
        <v>2585</v>
      </c>
      <c r="J35" s="975"/>
    </row>
    <row r="36" spans="1:12" ht="12.75" customHeight="1">
      <c r="A36" s="979">
        <f t="shared" si="1"/>
        <v>105</v>
      </c>
      <c r="B36" s="981">
        <v>190</v>
      </c>
      <c r="C36" s="970" t="s">
        <v>2575</v>
      </c>
      <c r="D36" s="971">
        <v>13313776.199999999</v>
      </c>
      <c r="E36" s="983">
        <f>D36*$G$149</f>
        <v>46631.87266247331</v>
      </c>
      <c r="F36" s="980"/>
      <c r="G36" s="983"/>
      <c r="H36" s="983">
        <f>D36-E36</f>
        <v>13267144.327337526</v>
      </c>
      <c r="I36" s="984" t="s">
        <v>2585</v>
      </c>
      <c r="J36" s="975"/>
    </row>
    <row r="37" spans="1:12">
      <c r="A37" s="979">
        <f t="shared" si="1"/>
        <v>106</v>
      </c>
      <c r="B37" s="981">
        <v>190</v>
      </c>
      <c r="C37" s="970" t="s">
        <v>2576</v>
      </c>
      <c r="D37" s="971">
        <v>815253.11999999988</v>
      </c>
      <c r="E37" s="983">
        <f>D37*$G$157</f>
        <v>731.31166591777583</v>
      </c>
      <c r="F37" s="980"/>
      <c r="G37" s="983">
        <f>D37-E37</f>
        <v>814521.80833408213</v>
      </c>
      <c r="H37" s="983"/>
      <c r="I37" s="984" t="s">
        <v>2584</v>
      </c>
      <c r="J37" s="975"/>
    </row>
    <row r="38" spans="1:12">
      <c r="A38" s="979">
        <f t="shared" si="1"/>
        <v>107</v>
      </c>
      <c r="B38" s="1442">
        <v>190</v>
      </c>
      <c r="C38" s="622" t="s">
        <v>2878</v>
      </c>
      <c r="D38" s="971">
        <f>818771165.09-D39</f>
        <v>814158069.09000003</v>
      </c>
      <c r="E38" s="983">
        <f>D38*$G$149</f>
        <v>2851611.3561327574</v>
      </c>
      <c r="F38" s="980"/>
      <c r="G38" s="983"/>
      <c r="H38" s="983">
        <f>D38-E38</f>
        <v>811306457.73386729</v>
      </c>
      <c r="I38" s="984" t="s">
        <v>2585</v>
      </c>
      <c r="J38" s="975"/>
    </row>
    <row r="39" spans="1:12" s="972" customFormat="1">
      <c r="A39" s="979" t="s">
        <v>2912</v>
      </c>
      <c r="B39" s="1442">
        <v>190</v>
      </c>
      <c r="C39" s="622" t="s">
        <v>2879</v>
      </c>
      <c r="D39" s="971">
        <v>4613096</v>
      </c>
      <c r="E39" s="983">
        <f>+D39</f>
        <v>4613096</v>
      </c>
      <c r="F39" s="980"/>
      <c r="G39" s="983"/>
      <c r="H39" s="983"/>
      <c r="I39" s="984" t="s">
        <v>2880</v>
      </c>
      <c r="J39" s="975"/>
      <c r="K39" s="14"/>
    </row>
    <row r="40" spans="1:12">
      <c r="A40" s="979">
        <f>A38+1</f>
        <v>108</v>
      </c>
      <c r="B40" s="981">
        <v>190</v>
      </c>
      <c r="C40" s="970" t="s">
        <v>2577</v>
      </c>
      <c r="D40" s="971">
        <v>466893648.7299999</v>
      </c>
      <c r="E40" s="983">
        <f>+D40</f>
        <v>466893648.7299999</v>
      </c>
      <c r="F40" s="980"/>
      <c r="G40" s="983"/>
      <c r="H40" s="983"/>
      <c r="I40" s="984" t="s">
        <v>2586</v>
      </c>
      <c r="J40" s="975"/>
    </row>
    <row r="41" spans="1:12">
      <c r="A41" s="979">
        <f t="shared" si="1"/>
        <v>109</v>
      </c>
      <c r="B41" s="981">
        <v>190</v>
      </c>
      <c r="C41" s="970" t="s">
        <v>2578</v>
      </c>
      <c r="D41" s="971">
        <v>-0.27999999970896172</v>
      </c>
      <c r="E41" s="983">
        <f>+D41</f>
        <v>-0.27999999970896172</v>
      </c>
      <c r="F41" s="980"/>
      <c r="G41" s="983"/>
      <c r="H41" s="983"/>
      <c r="I41" s="984" t="s">
        <v>2587</v>
      </c>
      <c r="J41" s="975"/>
    </row>
    <row r="42" spans="1:12">
      <c r="A42" s="979">
        <f t="shared" si="1"/>
        <v>110</v>
      </c>
      <c r="B42" s="981">
        <v>190</v>
      </c>
      <c r="C42" s="970" t="s">
        <v>2579</v>
      </c>
      <c r="D42" s="971">
        <v>37050590.980000004</v>
      </c>
      <c r="E42" s="983">
        <f>D42*$G$149</f>
        <v>129770.72880710903</v>
      </c>
      <c r="F42" s="497"/>
      <c r="G42" s="983"/>
      <c r="H42" s="983">
        <f>D42-E42</f>
        <v>36920820.251192898</v>
      </c>
      <c r="I42" s="984" t="s">
        <v>2585</v>
      </c>
      <c r="J42" s="712"/>
    </row>
    <row r="43" spans="1:12">
      <c r="A43" s="979">
        <f t="shared" si="1"/>
        <v>111</v>
      </c>
      <c r="B43" s="981">
        <v>190</v>
      </c>
      <c r="C43" s="970" t="s">
        <v>2580</v>
      </c>
      <c r="D43" s="971">
        <v>751622201.74000013</v>
      </c>
      <c r="E43" s="983">
        <f>+D43</f>
        <v>751622201.74000013</v>
      </c>
      <c r="F43" s="980"/>
      <c r="G43" s="983"/>
      <c r="H43" s="983"/>
      <c r="I43" s="986" t="s">
        <v>2588</v>
      </c>
      <c r="J43" s="975"/>
    </row>
    <row r="44" spans="1:12">
      <c r="A44" s="979">
        <f t="shared" si="1"/>
        <v>112</v>
      </c>
      <c r="B44" s="981">
        <v>190</v>
      </c>
      <c r="C44" s="970" t="s">
        <v>2581</v>
      </c>
      <c r="D44" s="971">
        <v>57713.380000010075</v>
      </c>
      <c r="E44" s="983">
        <f>+D44</f>
        <v>57713.380000010075</v>
      </c>
      <c r="F44" s="980"/>
      <c r="G44" s="983"/>
      <c r="H44" s="980"/>
      <c r="I44" s="984" t="s">
        <v>2589</v>
      </c>
      <c r="J44" s="975"/>
    </row>
    <row r="45" spans="1:12">
      <c r="A45" s="979">
        <f t="shared" si="1"/>
        <v>113</v>
      </c>
      <c r="B45" s="981">
        <v>190</v>
      </c>
      <c r="C45" s="970" t="s">
        <v>2582</v>
      </c>
      <c r="D45" s="971">
        <v>-70476891.759999961</v>
      </c>
      <c r="E45" s="983">
        <f>+D45</f>
        <v>-70476891.759999961</v>
      </c>
      <c r="F45" s="980"/>
      <c r="G45" s="983"/>
      <c r="H45" s="980"/>
      <c r="I45" s="984" t="s">
        <v>2590</v>
      </c>
      <c r="J45" s="975"/>
    </row>
    <row r="46" spans="1:12">
      <c r="A46" s="979">
        <f t="shared" si="1"/>
        <v>114</v>
      </c>
      <c r="B46" s="981">
        <v>190</v>
      </c>
      <c r="C46" s="970" t="s">
        <v>2583</v>
      </c>
      <c r="D46" s="971">
        <v>314760292.12</v>
      </c>
      <c r="E46" s="1241"/>
      <c r="F46" s="980"/>
      <c r="G46" s="983">
        <f>D46-E46</f>
        <v>314760292.12</v>
      </c>
      <c r="H46" s="980"/>
      <c r="I46" s="984" t="s">
        <v>2591</v>
      </c>
      <c r="J46" s="975"/>
    </row>
    <row r="47" spans="1:12">
      <c r="A47" s="110"/>
      <c r="B47" s="594"/>
      <c r="C47" s="595"/>
      <c r="D47" s="596"/>
      <c r="E47" s="232"/>
      <c r="F47" s="232"/>
      <c r="G47" s="232"/>
      <c r="H47" s="232"/>
      <c r="I47" s="236"/>
      <c r="J47" s="236"/>
      <c r="K47" s="520"/>
      <c r="L47" s="520"/>
    </row>
    <row r="48" spans="1:12">
      <c r="A48" s="110"/>
      <c r="B48" s="584" t="s">
        <v>1563</v>
      </c>
      <c r="C48" s="587"/>
      <c r="D48" s="590"/>
      <c r="E48" s="228"/>
      <c r="F48" s="228"/>
      <c r="G48" s="228"/>
      <c r="H48" s="228"/>
      <c r="I48" s="228"/>
      <c r="J48" s="236"/>
      <c r="K48" s="520"/>
      <c r="L48" s="520"/>
    </row>
    <row r="49" spans="1:12">
      <c r="A49" s="110"/>
      <c r="B49" s="584"/>
      <c r="C49" s="84" t="s">
        <v>358</v>
      </c>
      <c r="D49" s="84" t="s">
        <v>342</v>
      </c>
      <c r="E49" s="84" t="s">
        <v>343</v>
      </c>
      <c r="F49" s="84" t="s">
        <v>344</v>
      </c>
      <c r="G49" s="84" t="s">
        <v>345</v>
      </c>
      <c r="H49" s="84" t="s">
        <v>346</v>
      </c>
      <c r="I49" s="84" t="s">
        <v>347</v>
      </c>
      <c r="J49" s="236"/>
      <c r="K49" s="520"/>
      <c r="L49" s="520"/>
    </row>
    <row r="50" spans="1:12">
      <c r="A50" s="110"/>
      <c r="B50" s="588"/>
      <c r="C50" s="588"/>
      <c r="D50" s="588" t="s">
        <v>1553</v>
      </c>
      <c r="E50" s="588" t="s">
        <v>1554</v>
      </c>
      <c r="F50" s="588"/>
      <c r="G50" s="588"/>
      <c r="H50" s="588"/>
      <c r="I50" s="873" t="s">
        <v>1873</v>
      </c>
      <c r="J50" s="236"/>
      <c r="K50" s="520"/>
      <c r="L50" s="520"/>
    </row>
    <row r="51" spans="1:12">
      <c r="A51" s="110"/>
      <c r="B51" s="591" t="s">
        <v>1555</v>
      </c>
      <c r="C51" s="591" t="s">
        <v>1556</v>
      </c>
      <c r="D51" s="591" t="s">
        <v>1557</v>
      </c>
      <c r="E51" s="591" t="s">
        <v>1558</v>
      </c>
      <c r="F51" s="591" t="s">
        <v>1559</v>
      </c>
      <c r="G51" s="591" t="s">
        <v>1560</v>
      </c>
      <c r="H51" s="591" t="s">
        <v>1561</v>
      </c>
      <c r="I51" s="591" t="s">
        <v>100</v>
      </c>
      <c r="J51" s="232"/>
      <c r="K51" s="520"/>
      <c r="L51" s="520"/>
    </row>
    <row r="52" spans="1:12">
      <c r="A52" s="110"/>
      <c r="B52" s="585" t="s">
        <v>1562</v>
      </c>
      <c r="C52" s="585"/>
      <c r="D52" s="585"/>
      <c r="E52" s="228"/>
      <c r="F52" s="228"/>
      <c r="G52" s="228"/>
      <c r="H52" s="228"/>
      <c r="I52" s="228"/>
      <c r="J52" s="236"/>
      <c r="K52" s="520"/>
      <c r="L52" s="520"/>
    </row>
    <row r="53" spans="1:12">
      <c r="A53" s="187">
        <v>115</v>
      </c>
      <c r="B53" s="969" t="s">
        <v>504</v>
      </c>
      <c r="C53" s="592"/>
      <c r="D53" s="593"/>
      <c r="E53" s="233"/>
      <c r="F53" s="233"/>
      <c r="G53" s="233"/>
      <c r="H53" s="233"/>
      <c r="I53" s="387"/>
      <c r="J53" s="387"/>
      <c r="K53" s="520"/>
      <c r="L53" s="520"/>
    </row>
    <row r="54" spans="1:12">
      <c r="A54" s="553"/>
      <c r="B54" s="597"/>
      <c r="C54" s="585"/>
      <c r="D54" s="598"/>
      <c r="E54" s="230"/>
      <c r="F54" s="230"/>
      <c r="G54" s="230"/>
      <c r="H54" s="230"/>
      <c r="I54" s="362" t="s">
        <v>179</v>
      </c>
      <c r="J54" s="228"/>
      <c r="K54" s="520"/>
      <c r="L54" s="520"/>
    </row>
    <row r="55" spans="1:12">
      <c r="A55" s="110">
        <v>250</v>
      </c>
      <c r="B55" s="585"/>
      <c r="C55" s="585" t="s">
        <v>1564</v>
      </c>
      <c r="D55" s="607">
        <f>SUM(D31:D46)+SUM(D53:D53)</f>
        <v>2364830749.4500003</v>
      </c>
      <c r="E55" s="607">
        <f>SUM(E31:E46)+SUM(E53:E53)</f>
        <v>1155847396.1217306</v>
      </c>
      <c r="F55" s="599">
        <f>SUM(F31:F46)+SUM(F53:F53)</f>
        <v>0</v>
      </c>
      <c r="G55" s="599">
        <f>SUM(G31:G46)+SUM(G53:G53)</f>
        <v>316831954.1453923</v>
      </c>
      <c r="H55" s="599">
        <f>SUM(H31:H46)+SUM(H53:H53)</f>
        <v>892151399.18287754</v>
      </c>
      <c r="I55" s="454" t="str">
        <f>"Sum of Above Lines beginning on Line "&amp;A31&amp;""</f>
        <v>Sum of Above Lines beginning on Line 100</v>
      </c>
      <c r="J55" s="236"/>
      <c r="K55" s="520"/>
      <c r="L55" s="520"/>
    </row>
    <row r="56" spans="1:12">
      <c r="A56" s="553"/>
      <c r="B56" s="585"/>
      <c r="C56" s="585"/>
      <c r="D56" s="600"/>
      <c r="E56" s="230"/>
      <c r="F56" s="230"/>
      <c r="G56" s="230"/>
      <c r="H56" s="230"/>
      <c r="I56" s="228"/>
      <c r="J56" s="228"/>
    </row>
    <row r="57" spans="1:12">
      <c r="A57" s="553"/>
      <c r="B57" s="585" t="s">
        <v>1565</v>
      </c>
      <c r="C57" s="585"/>
      <c r="D57" s="600"/>
      <c r="E57" s="230"/>
      <c r="F57" s="230"/>
      <c r="G57" s="230"/>
      <c r="H57" s="230"/>
      <c r="I57" s="873" t="s">
        <v>1873</v>
      </c>
      <c r="J57" s="228"/>
    </row>
    <row r="58" spans="1:12">
      <c r="A58" s="553"/>
      <c r="C58" s="84" t="s">
        <v>358</v>
      </c>
      <c r="D58" s="84" t="s">
        <v>342</v>
      </c>
      <c r="E58" s="84" t="s">
        <v>343</v>
      </c>
      <c r="F58" s="84" t="s">
        <v>344</v>
      </c>
      <c r="G58" s="84" t="s">
        <v>345</v>
      </c>
      <c r="H58" s="84" t="s">
        <v>346</v>
      </c>
      <c r="I58" s="84" t="s">
        <v>347</v>
      </c>
      <c r="J58" s="228"/>
    </row>
    <row r="59" spans="1:12">
      <c r="A59" s="187">
        <v>300</v>
      </c>
      <c r="B59" s="981">
        <v>190</v>
      </c>
      <c r="C59" s="970" t="s">
        <v>2592</v>
      </c>
      <c r="D59" s="971">
        <v>-3401</v>
      </c>
      <c r="E59" s="983">
        <f>D59</f>
        <v>-3401</v>
      </c>
      <c r="F59" s="983"/>
      <c r="G59" s="983"/>
      <c r="H59" s="983"/>
      <c r="I59" s="984" t="s">
        <v>2597</v>
      </c>
      <c r="J59" s="984"/>
    </row>
    <row r="60" spans="1:12" s="972" customFormat="1">
      <c r="A60" s="979">
        <f>A59+1</f>
        <v>301</v>
      </c>
      <c r="B60" s="981">
        <v>190</v>
      </c>
      <c r="C60" s="970" t="s">
        <v>2593</v>
      </c>
      <c r="D60" s="971">
        <v>-1683831</v>
      </c>
      <c r="E60" s="983">
        <f>D60</f>
        <v>-1683831</v>
      </c>
      <c r="F60" s="983"/>
      <c r="G60" s="983"/>
      <c r="H60" s="983"/>
      <c r="I60" s="984" t="s">
        <v>2598</v>
      </c>
      <c r="J60" s="984"/>
      <c r="K60" s="14"/>
    </row>
    <row r="61" spans="1:12" s="972" customFormat="1">
      <c r="A61" s="979">
        <f t="shared" ref="A61" si="2">A60+1</f>
        <v>302</v>
      </c>
      <c r="B61" s="981">
        <v>190</v>
      </c>
      <c r="C61" s="970" t="s">
        <v>2594</v>
      </c>
      <c r="D61" s="971">
        <v>898801</v>
      </c>
      <c r="E61" s="983">
        <f>D61</f>
        <v>898801</v>
      </c>
      <c r="F61" s="983"/>
      <c r="G61" s="983"/>
      <c r="H61" s="983"/>
      <c r="I61" s="984" t="s">
        <v>2598</v>
      </c>
      <c r="J61" s="984"/>
      <c r="K61" s="14"/>
    </row>
    <row r="62" spans="1:12" s="972" customFormat="1">
      <c r="A62" s="979">
        <v>303</v>
      </c>
      <c r="B62" s="981">
        <v>190</v>
      </c>
      <c r="C62" s="970" t="s">
        <v>2595</v>
      </c>
      <c r="D62" s="971">
        <v>145793.81</v>
      </c>
      <c r="E62" s="983">
        <f t="shared" ref="E62:E63" si="3">D62</f>
        <v>145793.81</v>
      </c>
      <c r="F62" s="983"/>
      <c r="G62" s="983"/>
      <c r="H62" s="983"/>
      <c r="I62" s="984" t="s">
        <v>2588</v>
      </c>
      <c r="J62" s="984"/>
      <c r="K62" s="14"/>
    </row>
    <row r="63" spans="1:12">
      <c r="A63" s="979">
        <v>304</v>
      </c>
      <c r="B63" s="1288">
        <v>190</v>
      </c>
      <c r="C63" s="970" t="s">
        <v>2596</v>
      </c>
      <c r="D63" s="971">
        <v>10334182.949999992</v>
      </c>
      <c r="E63" s="980">
        <f t="shared" si="3"/>
        <v>10334182.949999992</v>
      </c>
      <c r="F63" s="980"/>
      <c r="G63" s="980"/>
      <c r="H63" s="980"/>
      <c r="I63" s="975" t="s">
        <v>2588</v>
      </c>
      <c r="J63" s="975"/>
    </row>
    <row r="64" spans="1:12" s="972" customFormat="1">
      <c r="A64" s="979">
        <v>305</v>
      </c>
      <c r="B64" s="1288" t="s">
        <v>504</v>
      </c>
      <c r="C64" s="970"/>
      <c r="D64" s="971"/>
      <c r="E64" s="980"/>
      <c r="F64" s="980"/>
      <c r="G64" s="980"/>
      <c r="H64" s="980"/>
      <c r="I64" s="975"/>
      <c r="J64" s="975"/>
      <c r="K64" s="14"/>
    </row>
    <row r="65" spans="1:11" s="972" customFormat="1">
      <c r="A65" s="110"/>
      <c r="B65" s="597"/>
      <c r="C65" s="595"/>
      <c r="D65" s="596"/>
      <c r="E65" s="232"/>
      <c r="F65" s="232"/>
      <c r="G65" s="232"/>
      <c r="H65" s="232"/>
      <c r="I65" s="236"/>
      <c r="J65" s="236"/>
      <c r="K65" s="14"/>
    </row>
    <row r="66" spans="1:11">
      <c r="A66" s="553"/>
      <c r="B66" s="597"/>
      <c r="C66" s="84" t="s">
        <v>358</v>
      </c>
      <c r="D66" s="84" t="s">
        <v>342</v>
      </c>
      <c r="E66" s="84" t="s">
        <v>343</v>
      </c>
      <c r="F66" s="84" t="s">
        <v>344</v>
      </c>
      <c r="G66" s="84" t="s">
        <v>345</v>
      </c>
      <c r="H66" s="84" t="s">
        <v>346</v>
      </c>
      <c r="I66" s="362" t="s">
        <v>179</v>
      </c>
      <c r="J66" s="228"/>
    </row>
    <row r="67" spans="1:11">
      <c r="A67" s="539">
        <v>350</v>
      </c>
      <c r="B67" s="585"/>
      <c r="C67" s="585" t="s">
        <v>1566</v>
      </c>
      <c r="D67" s="607">
        <f>SUM(D59:D63)</f>
        <v>9691545.7599999923</v>
      </c>
      <c r="E67" s="607">
        <f>SUM(E59:E63)</f>
        <v>9691545.7599999923</v>
      </c>
      <c r="F67" s="607">
        <f t="shared" ref="F67:H67" si="4">SUM(F59:F63)</f>
        <v>0</v>
      </c>
      <c r="G67" s="607">
        <f t="shared" si="4"/>
        <v>0</v>
      </c>
      <c r="H67" s="607">
        <f t="shared" si="4"/>
        <v>0</v>
      </c>
      <c r="I67" s="454" t="str">
        <f>"Sum of Above Lines beginning on Line "&amp;A59&amp;""</f>
        <v>Sum of Above Lines beginning on Line 300</v>
      </c>
      <c r="J67" s="236"/>
    </row>
    <row r="68" spans="1:11">
      <c r="A68" s="539"/>
      <c r="B68" s="585"/>
      <c r="C68" s="585"/>
      <c r="D68" s="599"/>
      <c r="E68" s="599"/>
      <c r="F68" s="599"/>
      <c r="G68" s="599"/>
      <c r="H68" s="599"/>
      <c r="I68" s="454"/>
      <c r="J68" s="236"/>
    </row>
    <row r="69" spans="1:11">
      <c r="A69" s="539">
        <f t="shared" ref="A69" si="5">A67+1</f>
        <v>351</v>
      </c>
      <c r="B69" s="585"/>
      <c r="C69" s="585" t="s">
        <v>1567</v>
      </c>
      <c r="D69" s="599">
        <f>+D67+D55</f>
        <v>2374522295.2100005</v>
      </c>
      <c r="E69" s="599">
        <f>+E67+E55</f>
        <v>1165538941.8817306</v>
      </c>
      <c r="F69" s="599">
        <f>+F67+F55</f>
        <v>0</v>
      </c>
      <c r="G69" s="599">
        <f>+G67+G55</f>
        <v>316831954.1453923</v>
      </c>
      <c r="H69" s="599">
        <f>+H67+H55</f>
        <v>892151399.18287754</v>
      </c>
      <c r="I69" s="1171" t="str">
        <f>"Line "&amp;A55&amp;" + Line "&amp;A67&amp;""</f>
        <v>Line 250 + Line 350</v>
      </c>
      <c r="J69" s="236"/>
    </row>
    <row r="70" spans="1:11">
      <c r="A70" s="539">
        <f>+A69+1</f>
        <v>352</v>
      </c>
      <c r="B70" s="585"/>
      <c r="C70" s="585" t="s">
        <v>1609</v>
      </c>
      <c r="D70" s="599"/>
      <c r="E70" s="599"/>
      <c r="F70" s="599"/>
      <c r="G70" s="601">
        <f>'27-Allocators'!$G$28</f>
        <v>0.18668038449535004</v>
      </c>
      <c r="H70" s="601">
        <f>'27-Allocators'!$G$15</f>
        <v>6.5680595610890333E-2</v>
      </c>
      <c r="I70" s="715" t="str">
        <f>"27-Allocators Lines "&amp;'27-Allocators'!A28&amp;" and "&amp;'27-Allocators'!A15&amp;" respectively."</f>
        <v>27-Allocators Lines 22 and 9 respectively.</v>
      </c>
      <c r="J70" s="236"/>
    </row>
    <row r="71" spans="1:11">
      <c r="A71" s="539">
        <f>+A70+1</f>
        <v>353</v>
      </c>
      <c r="B71" s="585"/>
      <c r="C71" s="585" t="s">
        <v>1610</v>
      </c>
      <c r="D71" s="599">
        <f>SUM(F71:H71)</f>
        <v>117743346.29369552</v>
      </c>
      <c r="E71" s="599"/>
      <c r="F71" s="602">
        <f>+F69</f>
        <v>0</v>
      </c>
      <c r="G71" s="602">
        <f>+G69*G70</f>
        <v>59146311.020274952</v>
      </c>
      <c r="H71" s="602">
        <f>+H69*H70</f>
        <v>58597035.273420572</v>
      </c>
      <c r="I71" s="1171" t="str">
        <f>"Line "&amp;A69&amp;" * Line "&amp;A70&amp;" for Cols 5 and 6.  Col. 4 100% ISO."</f>
        <v>Line 351 * Line 352 for Cols 5 and 6.  Col. 4 100% ISO.</v>
      </c>
      <c r="J71" s="236"/>
    </row>
    <row r="72" spans="1:11">
      <c r="A72" s="539"/>
      <c r="B72" s="585"/>
      <c r="C72" s="1172" t="s">
        <v>1612</v>
      </c>
      <c r="D72" s="599"/>
      <c r="E72" s="599"/>
      <c r="F72" s="599"/>
      <c r="G72" s="599"/>
      <c r="H72" s="599"/>
      <c r="I72" s="526"/>
      <c r="J72" s="228"/>
    </row>
    <row r="73" spans="1:11">
      <c r="A73" s="539"/>
      <c r="B73" s="585"/>
      <c r="C73" s="585"/>
      <c r="D73" s="599"/>
      <c r="E73" s="599"/>
      <c r="F73" s="599"/>
      <c r="G73" s="599"/>
      <c r="H73" s="599"/>
      <c r="I73" s="526"/>
      <c r="J73" s="228"/>
    </row>
    <row r="74" spans="1:11">
      <c r="A74" s="539">
        <f>+A71+1</f>
        <v>354</v>
      </c>
      <c r="B74" s="585"/>
      <c r="C74" s="585" t="s">
        <v>1568</v>
      </c>
      <c r="D74" s="982">
        <v>2374522295</v>
      </c>
      <c r="E74" s="1173" t="str">
        <f>"Must match amount on Line "&amp;A69&amp;", Col. 2"</f>
        <v>Must match amount on Line 351, Col. 2</v>
      </c>
      <c r="G74" s="599"/>
      <c r="H74" s="599"/>
      <c r="I74" s="526" t="s">
        <v>1215</v>
      </c>
      <c r="J74" s="228"/>
    </row>
    <row r="75" spans="1:11">
      <c r="A75" s="553"/>
      <c r="B75" s="585"/>
      <c r="C75" s="585"/>
      <c r="D75" s="605"/>
      <c r="E75" s="605"/>
      <c r="F75" s="605"/>
      <c r="G75" s="605"/>
      <c r="H75" s="605"/>
      <c r="I75" s="527"/>
      <c r="J75" s="228"/>
    </row>
    <row r="76" spans="1:11">
      <c r="A76" s="467"/>
      <c r="B76" s="584" t="s">
        <v>1569</v>
      </c>
      <c r="C76" s="606"/>
      <c r="D76" s="605"/>
      <c r="E76" s="228"/>
      <c r="F76" s="228"/>
      <c r="G76" s="228"/>
      <c r="H76" s="228"/>
      <c r="I76" s="228"/>
      <c r="J76" s="228"/>
    </row>
    <row r="77" spans="1:11">
      <c r="A77" s="467"/>
      <c r="C77" s="84" t="s">
        <v>358</v>
      </c>
      <c r="D77" s="84" t="s">
        <v>342</v>
      </c>
      <c r="E77" s="84" t="s">
        <v>343</v>
      </c>
      <c r="F77" s="84" t="s">
        <v>344</v>
      </c>
      <c r="G77" s="84" t="s">
        <v>345</v>
      </c>
      <c r="H77" s="84" t="s">
        <v>346</v>
      </c>
      <c r="I77" s="84" t="s">
        <v>347</v>
      </c>
      <c r="J77" s="228"/>
    </row>
    <row r="78" spans="1:11">
      <c r="A78" s="467"/>
      <c r="B78" s="588"/>
      <c r="C78" s="588"/>
      <c r="D78" s="588" t="s">
        <v>1553</v>
      </c>
      <c r="E78" s="588" t="s">
        <v>1554</v>
      </c>
      <c r="F78" s="588"/>
      <c r="G78" s="588"/>
      <c r="H78" s="588" t="s">
        <v>1267</v>
      </c>
      <c r="I78" s="873" t="s">
        <v>1873</v>
      </c>
      <c r="J78" s="228"/>
    </row>
    <row r="79" spans="1:11">
      <c r="A79" s="467"/>
      <c r="B79" s="591" t="s">
        <v>1570</v>
      </c>
      <c r="C79" s="591" t="s">
        <v>1556</v>
      </c>
      <c r="D79" s="591" t="s">
        <v>1557</v>
      </c>
      <c r="E79" s="591" t="s">
        <v>1558</v>
      </c>
      <c r="F79" s="591" t="s">
        <v>1559</v>
      </c>
      <c r="G79" s="591" t="s">
        <v>1560</v>
      </c>
      <c r="H79" s="591" t="s">
        <v>1550</v>
      </c>
      <c r="I79" s="591" t="s">
        <v>100</v>
      </c>
      <c r="J79" s="228"/>
    </row>
    <row r="80" spans="1:11">
      <c r="A80" s="187">
        <v>400</v>
      </c>
      <c r="B80" s="985">
        <v>282</v>
      </c>
      <c r="C80" s="986" t="s">
        <v>2599</v>
      </c>
      <c r="D80" s="987">
        <v>-1188810901.2409992</v>
      </c>
      <c r="E80" s="983"/>
      <c r="F80" s="983">
        <f>D80</f>
        <v>-1188810901.2409992</v>
      </c>
      <c r="G80" s="983"/>
      <c r="H80" s="983"/>
      <c r="I80" s="984" t="s">
        <v>2602</v>
      </c>
      <c r="J80" s="984"/>
    </row>
    <row r="81" spans="1:11">
      <c r="A81" s="187">
        <f>A80+1</f>
        <v>401</v>
      </c>
      <c r="B81" s="985">
        <v>282</v>
      </c>
      <c r="C81" s="988" t="s">
        <v>2580</v>
      </c>
      <c r="D81" s="987">
        <v>-6775581015.2690001</v>
      </c>
      <c r="E81" s="983">
        <f>D81</f>
        <v>-6775581015.2690001</v>
      </c>
      <c r="F81" s="983"/>
      <c r="G81" s="983"/>
      <c r="H81" s="983"/>
      <c r="I81" s="984" t="s">
        <v>2603</v>
      </c>
      <c r="J81" s="984"/>
    </row>
    <row r="82" spans="1:11">
      <c r="A82" s="187">
        <f t="shared" ref="A82:A85" si="6">A81+1</f>
        <v>402</v>
      </c>
      <c r="B82" s="985">
        <v>282</v>
      </c>
      <c r="C82" s="986" t="s">
        <v>2600</v>
      </c>
      <c r="D82" s="987">
        <v>-81849149.929999977</v>
      </c>
      <c r="E82" s="983">
        <f>D82</f>
        <v>-81849149.929999977</v>
      </c>
      <c r="F82" s="983"/>
      <c r="G82" s="983"/>
      <c r="H82" s="983"/>
      <c r="I82" s="984" t="s">
        <v>2604</v>
      </c>
      <c r="J82" s="984"/>
    </row>
    <row r="83" spans="1:11">
      <c r="A83" s="187">
        <f t="shared" si="6"/>
        <v>403</v>
      </c>
      <c r="B83" s="985">
        <v>282</v>
      </c>
      <c r="C83" s="986" t="s">
        <v>2601</v>
      </c>
      <c r="D83" s="987">
        <v>0</v>
      </c>
      <c r="E83" s="983">
        <f>D83</f>
        <v>0</v>
      </c>
      <c r="F83" s="983"/>
      <c r="G83" s="983"/>
      <c r="H83" s="983"/>
      <c r="I83" s="984" t="s">
        <v>2605</v>
      </c>
      <c r="J83" s="984"/>
    </row>
    <row r="84" spans="1:11">
      <c r="A84" s="187">
        <f t="shared" si="6"/>
        <v>404</v>
      </c>
      <c r="B84" s="985">
        <v>282</v>
      </c>
      <c r="C84" s="988" t="s">
        <v>2595</v>
      </c>
      <c r="D84" s="987">
        <v>-919589.19</v>
      </c>
      <c r="E84" s="983">
        <f>D84</f>
        <v>-919589.19</v>
      </c>
      <c r="F84" s="983"/>
      <c r="G84" s="983"/>
      <c r="H84" s="983"/>
      <c r="I84" s="984" t="s">
        <v>2597</v>
      </c>
      <c r="J84" s="984"/>
    </row>
    <row r="85" spans="1:11">
      <c r="A85" s="187">
        <f t="shared" si="6"/>
        <v>405</v>
      </c>
      <c r="B85" s="985">
        <v>282</v>
      </c>
      <c r="C85" s="988" t="s">
        <v>2596</v>
      </c>
      <c r="D85" s="987">
        <v>-4811958.4700000016</v>
      </c>
      <c r="E85" s="983">
        <f>D85</f>
        <v>-4811958.4700000016</v>
      </c>
      <c r="F85" s="983"/>
      <c r="G85" s="983"/>
      <c r="H85" s="983"/>
      <c r="I85" s="984" t="s">
        <v>2598</v>
      </c>
      <c r="J85" s="984"/>
    </row>
    <row r="86" spans="1:11" s="972" customFormat="1">
      <c r="A86" s="979">
        <f>A85+1</f>
        <v>406</v>
      </c>
      <c r="B86" s="976" t="s">
        <v>504</v>
      </c>
      <c r="C86" s="973"/>
      <c r="D86" s="977"/>
      <c r="E86" s="974"/>
      <c r="F86" s="974"/>
      <c r="G86" s="974"/>
      <c r="H86" s="974"/>
      <c r="I86" s="975"/>
      <c r="J86" s="975"/>
      <c r="K86" s="14"/>
    </row>
    <row r="87" spans="1:11">
      <c r="A87" s="553"/>
      <c r="B87" s="529"/>
      <c r="C87" s="469"/>
      <c r="D87" s="607"/>
      <c r="E87" s="232"/>
      <c r="F87" s="232"/>
      <c r="G87" s="232"/>
      <c r="H87" s="232"/>
      <c r="I87" s="236"/>
      <c r="J87" s="236"/>
    </row>
    <row r="88" spans="1:11">
      <c r="A88" s="553"/>
      <c r="B88" s="529"/>
      <c r="C88" s="84" t="s">
        <v>358</v>
      </c>
      <c r="D88" s="84" t="s">
        <v>342</v>
      </c>
      <c r="E88" s="84" t="s">
        <v>343</v>
      </c>
      <c r="F88" s="84" t="s">
        <v>344</v>
      </c>
      <c r="G88" s="84" t="s">
        <v>345</v>
      </c>
      <c r="H88" s="84" t="s">
        <v>346</v>
      </c>
      <c r="I88" s="362" t="s">
        <v>179</v>
      </c>
      <c r="J88" s="236"/>
    </row>
    <row r="89" spans="1:11">
      <c r="A89" s="110">
        <v>450</v>
      </c>
      <c r="B89" s="468"/>
      <c r="C89" s="467" t="s">
        <v>1608</v>
      </c>
      <c r="D89" s="599">
        <f>SUM(D80:D86)</f>
        <v>-8051972614.0999994</v>
      </c>
      <c r="E89" s="599">
        <f>SUM(E80:E86)</f>
        <v>-6863161712.8590002</v>
      </c>
      <c r="F89" s="599">
        <f>SUM(F80:F86)</f>
        <v>-1188810901.2409992</v>
      </c>
      <c r="G89" s="599">
        <f>SUM(G80:G86)</f>
        <v>0</v>
      </c>
      <c r="H89" s="599">
        <f>SUM(H80:H86)</f>
        <v>0</v>
      </c>
      <c r="I89" s="454" t="str">
        <f>"Sum of Above Lines beginning on Line "&amp;A80&amp;""</f>
        <v>Sum of Above Lines beginning on Line 400</v>
      </c>
      <c r="J89" s="228"/>
    </row>
    <row r="90" spans="1:11">
      <c r="A90" s="539">
        <f>+A89+1</f>
        <v>451</v>
      </c>
      <c r="B90" s="585"/>
      <c r="C90" s="585" t="s">
        <v>1609</v>
      </c>
      <c r="D90" s="599"/>
      <c r="E90" s="599"/>
      <c r="F90" s="599"/>
      <c r="G90" s="601">
        <f>'27-Allocators'!$G$28</f>
        <v>0.18668038449535004</v>
      </c>
      <c r="H90" s="601">
        <f>'27-Allocators'!$G$15</f>
        <v>6.5680595610890333E-2</v>
      </c>
      <c r="I90" s="715" t="str">
        <f>"27-Allocators Lines "&amp;'27-Allocators'!A28&amp;" and "&amp;'27-Allocators'!A15&amp;" respectively."</f>
        <v>27-Allocators Lines 22 and 9 respectively.</v>
      </c>
      <c r="J90" s="228"/>
    </row>
    <row r="91" spans="1:11">
      <c r="A91" s="539">
        <f>+A90+1</f>
        <v>452</v>
      </c>
      <c r="B91" s="585"/>
      <c r="C91" s="585" t="s">
        <v>1611</v>
      </c>
      <c r="D91" s="599">
        <f>SUM(F91:H91)</f>
        <v>-1188810901.2409992</v>
      </c>
      <c r="E91" s="599"/>
      <c r="F91" s="602">
        <f>+F89</f>
        <v>-1188810901.2409992</v>
      </c>
      <c r="G91" s="602">
        <f>+G89*G90</f>
        <v>0</v>
      </c>
      <c r="H91" s="602">
        <f>+H89*H90</f>
        <v>0</v>
      </c>
      <c r="I91" s="1171" t="str">
        <f>"Line "&amp;A89&amp;" * Line "&amp;A90&amp;" for Cols 5 and 6.  Col. 4 100% ISO."</f>
        <v>Line 450 * Line 451 for Cols 5 and 6.  Col. 4 100% ISO.</v>
      </c>
      <c r="J91" s="228"/>
    </row>
    <row r="92" spans="1:11">
      <c r="A92" s="539"/>
      <c r="B92" s="585"/>
      <c r="C92" s="603" t="s">
        <v>1612</v>
      </c>
      <c r="D92" s="599"/>
      <c r="E92" s="599"/>
      <c r="F92" s="599"/>
      <c r="G92" s="599"/>
      <c r="H92" s="599"/>
      <c r="I92" s="526"/>
      <c r="J92" s="228"/>
    </row>
    <row r="93" spans="1:11">
      <c r="A93" s="110"/>
      <c r="B93" s="468"/>
      <c r="C93" s="467"/>
      <c r="D93" s="599"/>
      <c r="E93" s="599"/>
      <c r="F93" s="599"/>
      <c r="G93" s="599"/>
      <c r="H93" s="599"/>
      <c r="I93" s="242"/>
      <c r="J93" s="228"/>
    </row>
    <row r="94" spans="1:11">
      <c r="A94" s="110">
        <f>+A91+1</f>
        <v>453</v>
      </c>
      <c r="B94" s="468"/>
      <c r="C94" s="585" t="s">
        <v>1571</v>
      </c>
      <c r="D94" s="982">
        <v>-8051972613</v>
      </c>
      <c r="E94" s="1173" t="str">
        <f>"Must match amount on Line "&amp;A89&amp;", Col. 2"</f>
        <v>Must match amount on Line 450, Col. 2</v>
      </c>
      <c r="F94" s="599"/>
      <c r="G94" s="599"/>
      <c r="H94" s="599"/>
      <c r="I94" s="242" t="s">
        <v>1572</v>
      </c>
      <c r="J94" s="228"/>
    </row>
    <row r="95" spans="1:11">
      <c r="A95" s="553"/>
      <c r="B95" s="468"/>
      <c r="C95" s="467"/>
      <c r="D95" s="599"/>
      <c r="E95" s="599"/>
      <c r="F95" s="599"/>
      <c r="G95" s="599"/>
      <c r="H95" s="599"/>
      <c r="I95" s="242"/>
      <c r="J95" s="228"/>
    </row>
    <row r="96" spans="1:11">
      <c r="A96" s="553"/>
      <c r="B96" s="468"/>
      <c r="C96" s="467"/>
      <c r="D96" s="599"/>
      <c r="E96" s="599"/>
      <c r="F96" s="599"/>
      <c r="G96" s="599"/>
      <c r="H96" s="599"/>
      <c r="I96" s="527"/>
      <c r="J96" s="228"/>
    </row>
    <row r="97" spans="1:11">
      <c r="A97" s="467"/>
      <c r="B97" s="584" t="s">
        <v>1573</v>
      </c>
      <c r="C97" s="608"/>
      <c r="D97" s="599"/>
      <c r="E97" s="230"/>
      <c r="F97" s="230"/>
      <c r="G97" s="230"/>
      <c r="H97" s="230"/>
      <c r="I97" s="228"/>
      <c r="J97" s="228"/>
    </row>
    <row r="98" spans="1:11">
      <c r="A98" s="467"/>
      <c r="B98" s="584"/>
      <c r="C98" s="84" t="s">
        <v>358</v>
      </c>
      <c r="D98" s="84" t="s">
        <v>342</v>
      </c>
      <c r="E98" s="84" t="s">
        <v>343</v>
      </c>
      <c r="F98" s="84" t="s">
        <v>344</v>
      </c>
      <c r="G98" s="84" t="s">
        <v>345</v>
      </c>
      <c r="H98" s="84" t="s">
        <v>346</v>
      </c>
      <c r="I98" s="84" t="s">
        <v>347</v>
      </c>
      <c r="J98" s="228"/>
    </row>
    <row r="99" spans="1:11">
      <c r="A99" s="467"/>
      <c r="B99" s="588"/>
      <c r="C99" s="588"/>
      <c r="D99" s="609" t="s">
        <v>1553</v>
      </c>
      <c r="E99" s="609" t="s">
        <v>1554</v>
      </c>
      <c r="F99" s="609"/>
      <c r="G99" s="609"/>
      <c r="H99" s="609" t="s">
        <v>1267</v>
      </c>
      <c r="I99" s="873" t="s">
        <v>1873</v>
      </c>
      <c r="J99" s="228"/>
    </row>
    <row r="100" spans="1:11">
      <c r="A100" s="467"/>
      <c r="B100" s="591" t="s">
        <v>1574</v>
      </c>
      <c r="C100" s="591" t="s">
        <v>1556</v>
      </c>
      <c r="D100" s="610" t="s">
        <v>1557</v>
      </c>
      <c r="E100" s="610" t="s">
        <v>1558</v>
      </c>
      <c r="F100" s="610" t="s">
        <v>1559</v>
      </c>
      <c r="G100" s="610" t="s">
        <v>1560</v>
      </c>
      <c r="H100" s="610" t="s">
        <v>1550</v>
      </c>
      <c r="I100" s="591" t="s">
        <v>100</v>
      </c>
      <c r="J100" s="228"/>
    </row>
    <row r="101" spans="1:11">
      <c r="A101" s="553"/>
      <c r="B101" s="585" t="s">
        <v>1562</v>
      </c>
      <c r="C101" s="228"/>
      <c r="D101" s="230"/>
      <c r="E101" s="230"/>
      <c r="F101" s="230"/>
      <c r="G101" s="230"/>
      <c r="H101" s="230"/>
      <c r="I101" s="228"/>
      <c r="J101" s="228"/>
    </row>
    <row r="102" spans="1:11">
      <c r="A102" s="187">
        <v>500</v>
      </c>
      <c r="B102" s="985">
        <v>283</v>
      </c>
      <c r="C102" s="988" t="s">
        <v>2606</v>
      </c>
      <c r="D102" s="713">
        <v>-50569341.669999994</v>
      </c>
      <c r="E102" s="983">
        <f>+D102</f>
        <v>-50569341.669999994</v>
      </c>
      <c r="F102" s="983"/>
      <c r="G102" s="983"/>
      <c r="H102" s="983"/>
      <c r="I102" s="984" t="s">
        <v>2609</v>
      </c>
      <c r="J102" s="975"/>
    </row>
    <row r="103" spans="1:11">
      <c r="A103" s="187">
        <f t="shared" ref="A103:A108" si="7">A102+1</f>
        <v>501</v>
      </c>
      <c r="B103" s="985">
        <v>283</v>
      </c>
      <c r="C103" s="988" t="s">
        <v>2606</v>
      </c>
      <c r="D103" s="713">
        <v>-8664107.9600000009</v>
      </c>
      <c r="E103" s="983"/>
      <c r="F103" s="983">
        <f>+D103</f>
        <v>-8664107.9600000009</v>
      </c>
      <c r="G103" s="983"/>
      <c r="H103" s="983"/>
      <c r="I103" s="984" t="s">
        <v>2610</v>
      </c>
      <c r="J103" s="975"/>
    </row>
    <row r="104" spans="1:11">
      <c r="A104" s="187">
        <f t="shared" si="7"/>
        <v>502</v>
      </c>
      <c r="B104" s="985">
        <v>283</v>
      </c>
      <c r="C104" s="988" t="s">
        <v>2607</v>
      </c>
      <c r="D104" s="713">
        <v>-33097557.539999999</v>
      </c>
      <c r="E104" s="983">
        <f>D104*$G$157</f>
        <v>-29689.711512403468</v>
      </c>
      <c r="F104" s="983"/>
      <c r="G104" s="983">
        <f>D104-E104</f>
        <v>-33067867.828487597</v>
      </c>
      <c r="H104" s="983"/>
      <c r="I104" s="984" t="s">
        <v>2584</v>
      </c>
      <c r="J104" s="975"/>
    </row>
    <row r="105" spans="1:11">
      <c r="A105" s="187">
        <f t="shared" si="7"/>
        <v>503</v>
      </c>
      <c r="B105" s="985">
        <v>283</v>
      </c>
      <c r="C105" s="988" t="s">
        <v>2608</v>
      </c>
      <c r="D105" s="713">
        <v>-1593695.4000000001</v>
      </c>
      <c r="E105" s="1392">
        <f>D105*$G$149</f>
        <v>-5581.9626106956403</v>
      </c>
      <c r="F105" s="983"/>
      <c r="G105" s="983"/>
      <c r="H105" s="983">
        <f>D105-E105</f>
        <v>-1588113.4373893044</v>
      </c>
      <c r="I105" s="984" t="s">
        <v>2585</v>
      </c>
      <c r="J105" s="975"/>
    </row>
    <row r="106" spans="1:11">
      <c r="A106" s="187">
        <f t="shared" si="7"/>
        <v>504</v>
      </c>
      <c r="B106" s="985">
        <v>283</v>
      </c>
      <c r="C106" s="988" t="s">
        <v>2578</v>
      </c>
      <c r="D106" s="713">
        <v>-567470431.47000003</v>
      </c>
      <c r="E106" s="983">
        <f>D106</f>
        <v>-567470431.47000003</v>
      </c>
      <c r="F106" s="983"/>
      <c r="G106" s="983"/>
      <c r="H106" s="983"/>
      <c r="I106" s="984" t="s">
        <v>2587</v>
      </c>
      <c r="J106" s="975"/>
    </row>
    <row r="107" spans="1:11">
      <c r="A107" s="187">
        <f t="shared" si="7"/>
        <v>505</v>
      </c>
      <c r="B107" s="985">
        <v>283</v>
      </c>
      <c r="C107" s="988" t="s">
        <v>2577</v>
      </c>
      <c r="D107" s="713">
        <v>-449253649.64999998</v>
      </c>
      <c r="E107" s="983">
        <f>D107</f>
        <v>-449253649.64999998</v>
      </c>
      <c r="F107" s="983"/>
      <c r="G107" s="983"/>
      <c r="H107" s="983"/>
      <c r="I107" s="984" t="s">
        <v>2586</v>
      </c>
      <c r="J107" s="975"/>
    </row>
    <row r="108" spans="1:11">
      <c r="A108" s="187">
        <f t="shared" si="7"/>
        <v>506</v>
      </c>
      <c r="B108" s="985">
        <v>283</v>
      </c>
      <c r="C108" s="988" t="s">
        <v>2581</v>
      </c>
      <c r="D108" s="713">
        <v>57886962.789999999</v>
      </c>
      <c r="E108" s="1008">
        <f>D108</f>
        <v>57886962.789999999</v>
      </c>
      <c r="F108" s="983"/>
      <c r="G108" s="983"/>
      <c r="H108" s="983"/>
      <c r="I108" s="984" t="s">
        <v>2589</v>
      </c>
      <c r="J108" s="975"/>
    </row>
    <row r="109" spans="1:11" s="972" customFormat="1">
      <c r="A109" s="979">
        <v>507</v>
      </c>
      <c r="B109" s="985">
        <v>283</v>
      </c>
      <c r="C109" s="988" t="s">
        <v>2582</v>
      </c>
      <c r="D109" s="713">
        <v>252487819.91999999</v>
      </c>
      <c r="E109" s="1008">
        <f>D109</f>
        <v>252487819.91999999</v>
      </c>
      <c r="F109" s="983"/>
      <c r="G109" s="983"/>
      <c r="H109" s="983"/>
      <c r="I109" s="984" t="s">
        <v>2611</v>
      </c>
      <c r="J109" s="975"/>
      <c r="K109" s="14"/>
    </row>
    <row r="110" spans="1:11" s="972" customFormat="1">
      <c r="A110" s="979">
        <v>508</v>
      </c>
      <c r="B110" s="985" t="s">
        <v>504</v>
      </c>
      <c r="C110" s="988"/>
      <c r="D110" s="713"/>
      <c r="E110" s="1008"/>
      <c r="F110" s="983"/>
      <c r="G110" s="983"/>
      <c r="H110" s="983"/>
      <c r="I110" s="984"/>
      <c r="J110" s="975"/>
      <c r="K110" s="14"/>
    </row>
    <row r="111" spans="1:11">
      <c r="A111" s="110"/>
      <c r="B111" s="532"/>
      <c r="C111" s="533"/>
      <c r="D111" s="534"/>
      <c r="E111" s="232"/>
      <c r="F111" s="232"/>
      <c r="G111" s="232"/>
      <c r="H111" s="232"/>
      <c r="I111" s="236"/>
      <c r="J111" s="236"/>
    </row>
    <row r="112" spans="1:11">
      <c r="A112" s="110"/>
      <c r="B112" s="584" t="s">
        <v>1575</v>
      </c>
      <c r="C112" s="608"/>
      <c r="D112" s="599"/>
      <c r="E112" s="230"/>
      <c r="F112" s="230"/>
      <c r="G112" s="230"/>
      <c r="H112" s="230"/>
      <c r="I112" s="228"/>
      <c r="J112" s="236"/>
    </row>
    <row r="113" spans="1:11">
      <c r="A113" s="110"/>
      <c r="B113" s="584"/>
      <c r="C113" s="84" t="s">
        <v>358</v>
      </c>
      <c r="D113" s="84" t="s">
        <v>342</v>
      </c>
      <c r="E113" s="84" t="s">
        <v>343</v>
      </c>
      <c r="F113" s="84" t="s">
        <v>344</v>
      </c>
      <c r="G113" s="84" t="s">
        <v>345</v>
      </c>
      <c r="H113" s="84" t="s">
        <v>346</v>
      </c>
      <c r="I113" s="84" t="s">
        <v>347</v>
      </c>
      <c r="J113" s="236"/>
    </row>
    <row r="114" spans="1:11">
      <c r="A114" s="110"/>
      <c r="B114" s="588"/>
      <c r="C114" s="588"/>
      <c r="D114" s="609" t="s">
        <v>1553</v>
      </c>
      <c r="E114" s="609" t="s">
        <v>1554</v>
      </c>
      <c r="F114" s="609"/>
      <c r="G114" s="609"/>
      <c r="H114" s="609" t="s">
        <v>1267</v>
      </c>
      <c r="I114" s="873" t="s">
        <v>1873</v>
      </c>
      <c r="J114" s="236"/>
    </row>
    <row r="115" spans="1:11">
      <c r="A115" s="110"/>
      <c r="B115" s="591" t="s">
        <v>1574</v>
      </c>
      <c r="C115" s="591" t="s">
        <v>1556</v>
      </c>
      <c r="D115" s="610" t="s">
        <v>1557</v>
      </c>
      <c r="E115" s="610" t="s">
        <v>1558</v>
      </c>
      <c r="F115" s="610" t="s">
        <v>1559</v>
      </c>
      <c r="G115" s="610" t="s">
        <v>1560</v>
      </c>
      <c r="H115" s="610" t="s">
        <v>1550</v>
      </c>
      <c r="I115" s="591" t="s">
        <v>100</v>
      </c>
      <c r="J115" s="236"/>
    </row>
    <row r="116" spans="1:11">
      <c r="A116" s="110"/>
      <c r="B116" s="585" t="s">
        <v>1576</v>
      </c>
      <c r="C116" s="588"/>
      <c r="D116" s="609"/>
      <c r="E116" s="609"/>
      <c r="F116" s="609"/>
      <c r="G116" s="609"/>
      <c r="H116" s="609"/>
      <c r="I116" s="588"/>
      <c r="J116" s="236"/>
    </row>
    <row r="117" spans="1:11">
      <c r="A117" s="979">
        <v>507</v>
      </c>
      <c r="B117" s="981" t="s">
        <v>504</v>
      </c>
      <c r="C117" s="530"/>
      <c r="D117" s="531"/>
      <c r="E117" s="1009"/>
      <c r="F117" s="980"/>
      <c r="G117" s="980"/>
      <c r="H117" s="980"/>
      <c r="I117" s="975"/>
      <c r="J117" s="975"/>
    </row>
    <row r="118" spans="1:11">
      <c r="A118" s="110"/>
      <c r="B118" s="535"/>
      <c r="C118" s="536"/>
      <c r="D118" s="470"/>
      <c r="E118" s="232"/>
      <c r="F118" s="232"/>
      <c r="G118" s="232"/>
      <c r="H118" s="232"/>
      <c r="I118" s="236"/>
      <c r="J118" s="236"/>
    </row>
    <row r="119" spans="1:11">
      <c r="A119" s="110">
        <v>650</v>
      </c>
      <c r="B119" s="536"/>
      <c r="C119" s="536" t="s">
        <v>1577</v>
      </c>
      <c r="D119" s="470">
        <f>SUM(D102:D110)+SUM(D117:D117)</f>
        <v>-800274000.98000014</v>
      </c>
      <c r="E119" s="470">
        <f>SUM(E102:E110)+SUM(E117:E117)</f>
        <v>-756953911.75412321</v>
      </c>
      <c r="F119" s="470">
        <f t="shared" ref="F119:G119" si="8">SUM(F102:F110)+SUM(F117:F117)</f>
        <v>-8664107.9600000009</v>
      </c>
      <c r="G119" s="470">
        <f t="shared" si="8"/>
        <v>-33067867.828487597</v>
      </c>
      <c r="H119" s="470">
        <f>SUM(H102:H110)+SUM(H117:H117)</f>
        <v>-1588113.4373893044</v>
      </c>
      <c r="I119" s="454" t="str">
        <f>"Sum of Above Lines beginning on Line "&amp;A102&amp;""</f>
        <v>Sum of Above Lines beginning on Line 500</v>
      </c>
      <c r="J119" s="228"/>
    </row>
    <row r="120" spans="1:11">
      <c r="A120" s="110"/>
      <c r="B120" s="536"/>
      <c r="C120" s="536"/>
      <c r="D120" s="470"/>
      <c r="E120" s="470"/>
      <c r="F120" s="470"/>
      <c r="G120" s="470"/>
      <c r="H120" s="470"/>
      <c r="I120" s="527"/>
      <c r="J120" s="228"/>
    </row>
    <row r="121" spans="1:11">
      <c r="A121" s="553"/>
      <c r="B121" s="595" t="s">
        <v>1702</v>
      </c>
      <c r="C121" s="536"/>
      <c r="D121" s="470"/>
      <c r="E121" s="230"/>
      <c r="F121" s="230"/>
      <c r="G121" s="230"/>
      <c r="H121" s="230"/>
      <c r="I121" s="873" t="s">
        <v>1873</v>
      </c>
      <c r="J121" s="228"/>
    </row>
    <row r="122" spans="1:11">
      <c r="A122" s="553"/>
      <c r="C122" s="84" t="s">
        <v>358</v>
      </c>
      <c r="D122" s="84" t="s">
        <v>342</v>
      </c>
      <c r="E122" s="84" t="s">
        <v>343</v>
      </c>
      <c r="F122" s="84" t="s">
        <v>344</v>
      </c>
      <c r="G122" s="84" t="s">
        <v>345</v>
      </c>
      <c r="H122" s="84" t="s">
        <v>346</v>
      </c>
      <c r="I122" s="84" t="s">
        <v>347</v>
      </c>
      <c r="J122" s="228"/>
    </row>
    <row r="123" spans="1:11" s="972" customFormat="1">
      <c r="A123" s="979">
        <v>700</v>
      </c>
      <c r="B123" s="985">
        <v>283</v>
      </c>
      <c r="C123" s="988" t="s">
        <v>2592</v>
      </c>
      <c r="D123" s="714">
        <v>-17511.839999999997</v>
      </c>
      <c r="E123" s="983">
        <f>D123</f>
        <v>-17511.839999999997</v>
      </c>
      <c r="F123" s="983"/>
      <c r="G123" s="983"/>
      <c r="H123" s="983"/>
      <c r="I123" s="984" t="s">
        <v>2597</v>
      </c>
      <c r="J123" s="984"/>
      <c r="K123" s="14"/>
    </row>
    <row r="124" spans="1:11" s="972" customFormat="1">
      <c r="A124" s="1010">
        <f>A123+1</f>
        <v>701</v>
      </c>
      <c r="B124" s="985">
        <v>283</v>
      </c>
      <c r="C124" s="988" t="s">
        <v>2593</v>
      </c>
      <c r="D124" s="714">
        <v>-654218.14999999991</v>
      </c>
      <c r="E124" s="983">
        <f>D124</f>
        <v>-654218.14999999991</v>
      </c>
      <c r="F124" s="983"/>
      <c r="G124" s="983"/>
      <c r="H124" s="983"/>
      <c r="I124" s="984" t="s">
        <v>2598</v>
      </c>
      <c r="J124" s="984"/>
      <c r="K124" s="14"/>
    </row>
    <row r="125" spans="1:11">
      <c r="A125" s="1010">
        <f>A124+1</f>
        <v>702</v>
      </c>
      <c r="B125" s="1011" t="s">
        <v>504</v>
      </c>
      <c r="C125" s="988"/>
      <c r="D125" s="714"/>
      <c r="E125" s="1008"/>
      <c r="F125" s="1008"/>
      <c r="G125" s="1008"/>
      <c r="H125" s="1008"/>
      <c r="I125" s="1012"/>
      <c r="J125" s="1012"/>
    </row>
    <row r="126" spans="1:11">
      <c r="A126" s="110"/>
      <c r="B126" s="532"/>
      <c r="C126" s="533"/>
      <c r="D126" s="534"/>
      <c r="E126" s="232"/>
      <c r="F126" s="232"/>
      <c r="G126" s="232"/>
      <c r="H126" s="232"/>
      <c r="I126" s="236"/>
      <c r="J126" s="236"/>
    </row>
    <row r="127" spans="1:11">
      <c r="A127" s="110"/>
      <c r="B127" s="536"/>
      <c r="C127" s="84" t="s">
        <v>358</v>
      </c>
      <c r="D127" s="84" t="s">
        <v>342</v>
      </c>
      <c r="E127" s="84" t="s">
        <v>343</v>
      </c>
      <c r="F127" s="84" t="s">
        <v>344</v>
      </c>
      <c r="G127" s="84" t="s">
        <v>345</v>
      </c>
      <c r="H127" s="84" t="s">
        <v>346</v>
      </c>
      <c r="I127" s="362" t="s">
        <v>179</v>
      </c>
      <c r="J127" s="228"/>
    </row>
    <row r="128" spans="1:11">
      <c r="A128" s="110">
        <v>800</v>
      </c>
      <c r="B128" s="228"/>
      <c r="C128" s="469" t="s">
        <v>1578</v>
      </c>
      <c r="D128" s="470">
        <f>SUM(D123:D125)</f>
        <v>-671729.98999999987</v>
      </c>
      <c r="E128" s="470">
        <f>SUM(E123:E125)</f>
        <v>-671729.98999999987</v>
      </c>
      <c r="F128" s="470">
        <f>SUM(F123:F125)</f>
        <v>0</v>
      </c>
      <c r="G128" s="470">
        <f>SUM(G123:G125)</f>
        <v>0</v>
      </c>
      <c r="H128" s="470">
        <f>SUM(H123:H125)</f>
        <v>0</v>
      </c>
      <c r="I128" s="454" t="str">
        <f>"Sum of Above Lines beginning on Line "&amp;A123&amp;""</f>
        <v>Sum of Above Lines beginning on Line 700</v>
      </c>
      <c r="J128" s="236"/>
    </row>
    <row r="129" spans="1:11">
      <c r="A129" s="110"/>
      <c r="B129" s="228"/>
      <c r="C129" s="469"/>
      <c r="D129" s="470"/>
      <c r="E129" s="470"/>
      <c r="F129" s="470"/>
      <c r="G129" s="470"/>
      <c r="H129" s="470"/>
      <c r="I129" s="454"/>
      <c r="J129" s="236"/>
    </row>
    <row r="130" spans="1:11">
      <c r="A130" s="110">
        <f>A128+1</f>
        <v>801</v>
      </c>
      <c r="B130" s="228"/>
      <c r="C130" s="469" t="s">
        <v>1579</v>
      </c>
      <c r="D130" s="470">
        <f>D119+D128</f>
        <v>-800945730.97000015</v>
      </c>
      <c r="E130" s="470">
        <f>E119+E128</f>
        <v>-757625641.74412322</v>
      </c>
      <c r="F130" s="470">
        <f>F119+F128</f>
        <v>-8664107.9600000009</v>
      </c>
      <c r="G130" s="470">
        <f>G119+G128</f>
        <v>-33067867.828487597</v>
      </c>
      <c r="H130" s="470">
        <f>H119+H128</f>
        <v>-1588113.4373893044</v>
      </c>
      <c r="I130" s="1171" t="str">
        <f>"Line "&amp;A119&amp;" + Line "&amp;A128&amp;""</f>
        <v>Line 650 + Line 800</v>
      </c>
      <c r="J130" s="236"/>
    </row>
    <row r="131" spans="1:11">
      <c r="A131" s="539">
        <f>+A130+1</f>
        <v>802</v>
      </c>
      <c r="B131" s="585"/>
      <c r="C131" s="585" t="s">
        <v>1609</v>
      </c>
      <c r="D131" s="938"/>
      <c r="E131" s="938"/>
      <c r="F131" s="599"/>
      <c r="G131" s="601">
        <f>'27-Allocators'!$G$28</f>
        <v>0.18668038449535004</v>
      </c>
      <c r="H131" s="601">
        <f>'27-Allocators'!$G$15</f>
        <v>6.5680595610890333E-2</v>
      </c>
      <c r="I131" s="715" t="str">
        <f>"27-Allocators Lines "&amp;'27-Allocators'!A28&amp;" and "&amp;'27-Allocators'!A15&amp;" respectively."</f>
        <v>27-Allocators Lines 22 and 9 respectively.</v>
      </c>
      <c r="J131" s="236"/>
    </row>
    <row r="132" spans="1:11">
      <c r="A132" s="539">
        <f>+A131+1</f>
        <v>803</v>
      </c>
      <c r="B132" s="585"/>
      <c r="C132" s="585" t="s">
        <v>1613</v>
      </c>
      <c r="D132" s="607">
        <f>SUM(F132:H132)</f>
        <v>-14941538.477128869</v>
      </c>
      <c r="E132" s="599"/>
      <c r="F132" s="602">
        <f>+F130</f>
        <v>-8664107.9600000009</v>
      </c>
      <c r="G132" s="602">
        <f>+G130*G131</f>
        <v>-6173122.280663481</v>
      </c>
      <c r="H132" s="997">
        <f>+H130*H131</f>
        <v>-104308.2364653879</v>
      </c>
      <c r="I132" s="1171" t="str">
        <f>"Line "&amp;A130&amp;" * Line "&amp;A131&amp;" for Cols 5 and 6.  Col. 4 100% ISO."</f>
        <v>Line 801 * Line 802 for Cols 5 and 6.  Col. 4 100% ISO.</v>
      </c>
      <c r="J132" s="236"/>
    </row>
    <row r="133" spans="1:11">
      <c r="A133" s="110"/>
      <c r="B133" s="228"/>
      <c r="C133" s="1172" t="s">
        <v>1612</v>
      </c>
      <c r="D133" s="470"/>
      <c r="E133" s="470"/>
      <c r="F133" s="470"/>
      <c r="G133" s="470"/>
      <c r="H133" s="470"/>
      <c r="I133" s="526"/>
      <c r="J133" s="230"/>
    </row>
    <row r="134" spans="1:11">
      <c r="A134" s="110"/>
      <c r="B134" s="228"/>
      <c r="C134" s="469"/>
      <c r="D134" s="470"/>
      <c r="E134" s="470"/>
      <c r="F134" s="470"/>
      <c r="G134" s="470"/>
      <c r="H134" s="470"/>
      <c r="I134" s="526"/>
      <c r="J134" s="228"/>
    </row>
    <row r="135" spans="1:11">
      <c r="A135" s="110">
        <f>A132+1</f>
        <v>804</v>
      </c>
      <c r="C135" s="585" t="s">
        <v>1603</v>
      </c>
      <c r="D135" s="982">
        <v>-800945731</v>
      </c>
      <c r="E135" s="1173" t="str">
        <f>"Must match amount on Line "&amp;A130&amp;", Col. 2"</f>
        <v>Must match amount on Line 801, Col. 2</v>
      </c>
      <c r="F135" s="599"/>
      <c r="G135" s="599"/>
      <c r="H135" s="599"/>
      <c r="I135" s="242" t="s">
        <v>1211</v>
      </c>
    </row>
    <row r="136" spans="1:11" s="972" customFormat="1">
      <c r="A136" s="110"/>
      <c r="B136" s="521"/>
      <c r="C136" s="585"/>
      <c r="D136" s="604"/>
      <c r="E136" s="604"/>
      <c r="F136" s="599"/>
      <c r="G136" s="599"/>
      <c r="H136" s="599"/>
      <c r="I136" s="242"/>
      <c r="J136" s="521"/>
      <c r="K136" s="14"/>
    </row>
    <row r="137" spans="1:11">
      <c r="B137"/>
      <c r="C137" s="236" t="s">
        <v>1874</v>
      </c>
      <c r="D137" s="236"/>
      <c r="E137" s="236"/>
      <c r="F137" s="236"/>
      <c r="G137" s="236"/>
      <c r="J137"/>
    </row>
    <row r="138" spans="1:11">
      <c r="B138"/>
      <c r="C138" s="236" t="s">
        <v>1875</v>
      </c>
      <c r="D138" s="236"/>
      <c r="E138" s="236"/>
      <c r="F138" s="236"/>
      <c r="G138" s="236"/>
      <c r="J138"/>
    </row>
    <row r="139" spans="1:11">
      <c r="B139"/>
      <c r="C139" s="236"/>
      <c r="D139" s="236"/>
      <c r="E139" s="236"/>
      <c r="F139" s="236"/>
      <c r="G139" s="236"/>
      <c r="J139"/>
    </row>
    <row r="140" spans="1:11">
      <c r="B140"/>
      <c r="C140" s="236" t="s">
        <v>1876</v>
      </c>
      <c r="D140" s="236"/>
      <c r="E140" s="236"/>
      <c r="F140" s="236"/>
      <c r="G140" s="236"/>
      <c r="J140"/>
    </row>
    <row r="141" spans="1:11">
      <c r="B141"/>
      <c r="C141" s="236" t="s">
        <v>1877</v>
      </c>
      <c r="D141" s="236"/>
      <c r="E141" s="236"/>
      <c r="F141" s="236"/>
      <c r="G141" s="236"/>
      <c r="J141"/>
    </row>
    <row r="142" spans="1:11">
      <c r="B142"/>
      <c r="C142" s="236" t="s">
        <v>1878</v>
      </c>
      <c r="D142" s="236"/>
      <c r="E142" s="236"/>
      <c r="F142" s="236"/>
      <c r="G142" s="236"/>
      <c r="J142"/>
    </row>
    <row r="143" spans="1:11" s="467" customFormat="1">
      <c r="C143" s="469"/>
      <c r="D143" s="469"/>
      <c r="E143" s="110" t="s">
        <v>169</v>
      </c>
      <c r="F143" s="469"/>
      <c r="G143" s="861" t="s">
        <v>63</v>
      </c>
      <c r="H143" s="228"/>
      <c r="I143" s="228"/>
      <c r="K143" s="469"/>
    </row>
    <row r="144" spans="1:11" s="467" customFormat="1">
      <c r="C144" s="469"/>
      <c r="D144" s="469"/>
      <c r="E144" s="123" t="s">
        <v>170</v>
      </c>
      <c r="F144" s="469"/>
      <c r="G144" s="123" t="s">
        <v>171</v>
      </c>
      <c r="H144" s="228"/>
      <c r="I144" s="228"/>
      <c r="K144" s="469"/>
    </row>
    <row r="145" spans="2:11" s="467" customFormat="1" ht="12.5">
      <c r="C145" s="874" t="s">
        <v>1879</v>
      </c>
      <c r="D145" s="469"/>
      <c r="E145" s="469" t="s">
        <v>283</v>
      </c>
      <c r="F145" s="469"/>
      <c r="G145" s="996">
        <v>801074308</v>
      </c>
      <c r="H145" s="228"/>
      <c r="I145" s="1120"/>
      <c r="K145" s="469"/>
    </row>
    <row r="146" spans="2:11" s="467" customFormat="1" ht="12.5">
      <c r="C146" s="466" t="s">
        <v>1880</v>
      </c>
      <c r="D146" s="469"/>
      <c r="E146" s="469" t="s">
        <v>1881</v>
      </c>
      <c r="F146" s="469"/>
      <c r="G146" s="497">
        <v>650570</v>
      </c>
      <c r="H146" s="228"/>
      <c r="I146" s="1120"/>
      <c r="K146" s="469"/>
    </row>
    <row r="147" spans="2:11" s="467" customFormat="1" ht="12.5">
      <c r="C147" s="466" t="s">
        <v>1882</v>
      </c>
      <c r="D147" s="469"/>
      <c r="E147" s="469" t="s">
        <v>1883</v>
      </c>
      <c r="F147" s="469"/>
      <c r="G147" s="116">
        <v>2165077</v>
      </c>
      <c r="H147" s="228"/>
      <c r="I147" s="1120"/>
      <c r="K147" s="469"/>
    </row>
    <row r="148" spans="2:11" s="467" customFormat="1" ht="12.5">
      <c r="C148" s="874" t="s">
        <v>1884</v>
      </c>
      <c r="D148" s="469"/>
      <c r="E148" s="469" t="s">
        <v>1885</v>
      </c>
      <c r="F148" s="469"/>
      <c r="G148" s="481">
        <f>SUM(G145:G147)</f>
        <v>803889955</v>
      </c>
      <c r="H148" s="236"/>
      <c r="I148" s="228"/>
      <c r="K148" s="469"/>
    </row>
    <row r="149" spans="2:11" s="467" customFormat="1" ht="12.5">
      <c r="C149" s="466" t="s">
        <v>1886</v>
      </c>
      <c r="D149" s="469"/>
      <c r="E149" s="574" t="s">
        <v>1887</v>
      </c>
      <c r="F149" s="469"/>
      <c r="G149" s="393">
        <f>(G146+G147)/G148</f>
        <v>3.5025279050787494E-3</v>
      </c>
      <c r="H149" s="236"/>
      <c r="I149" s="228"/>
      <c r="K149" s="469"/>
    </row>
    <row r="150" spans="2:11" s="467" customFormat="1" ht="12.5">
      <c r="C150" s="855" t="s">
        <v>1888</v>
      </c>
      <c r="D150" s="236"/>
      <c r="E150" s="236"/>
      <c r="F150" s="236"/>
      <c r="G150" s="236"/>
      <c r="H150" s="228"/>
      <c r="I150" s="228"/>
      <c r="K150" s="469"/>
    </row>
    <row r="151" spans="2:11" s="467" customFormat="1">
      <c r="C151" s="469"/>
      <c r="D151" s="469"/>
      <c r="E151" s="110" t="s">
        <v>169</v>
      </c>
      <c r="F151" s="469"/>
      <c r="G151" s="861" t="s">
        <v>63</v>
      </c>
      <c r="H151" s="228"/>
      <c r="I151" s="228"/>
      <c r="K151" s="469"/>
    </row>
    <row r="152" spans="2:11" s="467" customFormat="1">
      <c r="C152" s="469"/>
      <c r="D152" s="469"/>
      <c r="E152" s="123" t="s">
        <v>170</v>
      </c>
      <c r="F152" s="469"/>
      <c r="G152" s="123" t="s">
        <v>171</v>
      </c>
      <c r="H152" s="228"/>
      <c r="I152" s="228"/>
      <c r="K152" s="469"/>
    </row>
    <row r="153" spans="2:11" s="467" customFormat="1" ht="12.5">
      <c r="C153" s="466" t="s">
        <v>1889</v>
      </c>
      <c r="D153" s="469"/>
      <c r="E153" s="469" t="s">
        <v>34</v>
      </c>
      <c r="F153" s="469"/>
      <c r="G153" s="996">
        <v>51320942976</v>
      </c>
      <c r="H153" s="228"/>
      <c r="I153" s="1120"/>
      <c r="K153" s="469"/>
    </row>
    <row r="154" spans="2:11" s="467" customFormat="1" ht="12.5">
      <c r="C154" s="466" t="s">
        <v>1890</v>
      </c>
      <c r="D154" s="469"/>
      <c r="E154" s="469" t="s">
        <v>1891</v>
      </c>
      <c r="F154" s="469"/>
      <c r="G154" s="497">
        <v>6385691</v>
      </c>
      <c r="H154" s="228"/>
      <c r="I154" s="228"/>
      <c r="K154" s="469"/>
    </row>
    <row r="155" spans="2:11" s="467" customFormat="1" ht="12.5">
      <c r="C155" s="466" t="s">
        <v>1892</v>
      </c>
      <c r="D155" s="469"/>
      <c r="E155" s="469" t="s">
        <v>1893</v>
      </c>
      <c r="F155" s="469"/>
      <c r="G155" s="497">
        <v>39692393</v>
      </c>
      <c r="H155" s="228"/>
      <c r="I155" s="1120"/>
      <c r="K155" s="469"/>
    </row>
    <row r="156" spans="2:11" s="467" customFormat="1" ht="12.5">
      <c r="C156" s="466" t="s">
        <v>1894</v>
      </c>
      <c r="D156" s="469"/>
      <c r="E156" s="469" t="s">
        <v>1895</v>
      </c>
      <c r="F156" s="469"/>
      <c r="G156" s="481">
        <f>SUM(G153:G155)</f>
        <v>51367021060</v>
      </c>
      <c r="H156" s="236"/>
      <c r="I156" s="236"/>
      <c r="J156" s="469"/>
      <c r="K156" s="469"/>
    </row>
    <row r="157" spans="2:11" s="467" customFormat="1" ht="12.5">
      <c r="C157" s="466" t="s">
        <v>1896</v>
      </c>
      <c r="D157" s="469"/>
      <c r="E157" s="574" t="s">
        <v>1897</v>
      </c>
      <c r="F157" s="469"/>
      <c r="G157" s="393">
        <f>(G154+G155)/G156</f>
        <v>8.9703632893520962E-4</v>
      </c>
      <c r="H157" s="236"/>
      <c r="I157" s="236"/>
      <c r="J157" s="469"/>
      <c r="K157" s="469"/>
    </row>
    <row r="158" spans="2:11" s="467" customFormat="1" ht="12.5">
      <c r="C158" s="236" t="s">
        <v>2419</v>
      </c>
      <c r="D158" s="236"/>
      <c r="E158" s="236"/>
      <c r="F158" s="236"/>
      <c r="G158" s="236"/>
      <c r="H158" s="236"/>
      <c r="I158" s="236"/>
      <c r="J158" s="469"/>
      <c r="K158" s="469"/>
    </row>
    <row r="159" spans="2:11" s="467" customFormat="1" ht="12.5">
      <c r="B159" s="228"/>
      <c r="C159" s="228"/>
      <c r="D159" s="228"/>
      <c r="E159" s="228"/>
      <c r="F159" s="228"/>
      <c r="G159" s="228"/>
      <c r="H159" s="228"/>
      <c r="I159" s="228"/>
      <c r="J159" s="228"/>
      <c r="K159" s="469"/>
    </row>
    <row r="160" spans="2:11" s="467" customFormat="1">
      <c r="B160" s="228"/>
      <c r="C160" s="840" t="s">
        <v>230</v>
      </c>
      <c r="D160" s="228"/>
      <c r="E160" s="228"/>
      <c r="F160" s="228"/>
      <c r="G160" s="228"/>
      <c r="H160" s="228"/>
      <c r="I160" s="228"/>
      <c r="J160" s="228"/>
      <c r="K160" s="469"/>
    </row>
    <row r="161" spans="2:11" s="467" customFormat="1" ht="12.5">
      <c r="B161" s="228"/>
      <c r="C161" s="467" t="s">
        <v>2766</v>
      </c>
      <c r="D161" s="228"/>
      <c r="E161" s="228"/>
      <c r="F161" s="228"/>
      <c r="G161" s="228"/>
      <c r="H161" s="228"/>
      <c r="I161" s="228"/>
      <c r="J161" s="228"/>
      <c r="K161" s="469"/>
    </row>
    <row r="162" spans="2:11" s="467" customFormat="1" ht="12.5">
      <c r="B162" s="228"/>
      <c r="C162" s="467" t="s">
        <v>2767</v>
      </c>
      <c r="D162" s="228"/>
      <c r="E162" s="228"/>
      <c r="F162" s="228"/>
      <c r="G162" s="228"/>
      <c r="H162" s="228"/>
      <c r="I162" s="228"/>
      <c r="J162" s="228"/>
      <c r="K162" s="469"/>
    </row>
    <row r="163" spans="2:11" s="467" customFormat="1" ht="12.5">
      <c r="B163" s="228"/>
      <c r="C163" s="469" t="s">
        <v>2416</v>
      </c>
      <c r="D163" s="228"/>
      <c r="E163" s="228"/>
      <c r="F163" s="228"/>
      <c r="G163" s="228"/>
      <c r="H163" s="228"/>
      <c r="I163" s="228"/>
      <c r="J163" s="228"/>
      <c r="K163" s="469"/>
    </row>
    <row r="164" spans="2:11">
      <c r="C164" s="467" t="s">
        <v>2803</v>
      </c>
      <c r="G164" s="1278"/>
      <c r="H164" s="1361" t="s">
        <v>2537</v>
      </c>
      <c r="I164" s="978" t="s">
        <v>2612</v>
      </c>
      <c r="J164" s="1272"/>
    </row>
    <row r="165" spans="2:11">
      <c r="C165" s="467"/>
    </row>
    <row r="166" spans="2:11">
      <c r="C166" s="466"/>
    </row>
    <row r="167" spans="2:11">
      <c r="C167" s="471"/>
    </row>
  </sheetData>
  <protectedRanges>
    <protectedRange password="F1C4" sqref="D20:E23 E15:E19 D14:D15 D17:D18 I53 B7:C12 F20 I117 D25:F30 D24 B14:C14 B13 B17:C30 C16 B15" name="AAReport1_23_1_1_2"/>
    <protectedRange password="F1C4" sqref="D19" name="AAReport1_23_1_1_1_1_1"/>
    <protectedRange password="F1C4" sqref="F32:F33 J32:J35 F46" name="AAReport1_23_1_1_2_1"/>
    <protectedRange password="F1C4" sqref="E24" name="AAReport1_23_1_1_2_3"/>
  </protectedRanges>
  <phoneticPr fontId="23" type="noConversion"/>
  <conditionalFormatting sqref="B111 B125:B126 D125:D126 D102:D111">
    <cfRule type="expression" dxfId="17" priority="16" stopIfTrue="1">
      <formula>Formulas</formula>
    </cfRule>
  </conditionalFormatting>
  <conditionalFormatting sqref="D117">
    <cfRule type="expression" dxfId="16" priority="17" stopIfTrue="1">
      <formula>Formulas</formula>
    </cfRule>
  </conditionalFormatting>
  <conditionalFormatting sqref="C117 C111 C125:C126">
    <cfRule type="expression" dxfId="15" priority="15" stopIfTrue="1">
      <formula>#REF!&lt;&gt;""</formula>
    </cfRule>
  </conditionalFormatting>
  <conditionalFormatting sqref="C102:C110">
    <cfRule type="expression" dxfId="14" priority="5" stopIfTrue="1">
      <formula>#REF!&lt;&gt;""</formula>
    </cfRule>
  </conditionalFormatting>
  <conditionalFormatting sqref="D123">
    <cfRule type="expression" dxfId="13" priority="4" stopIfTrue="1">
      <formula>Formulas</formula>
    </cfRule>
  </conditionalFormatting>
  <conditionalFormatting sqref="C123">
    <cfRule type="expression" dxfId="12" priority="3" stopIfTrue="1">
      <formula>#REF!&lt;&gt;""</formula>
    </cfRule>
  </conditionalFormatting>
  <conditionalFormatting sqref="D124">
    <cfRule type="expression" dxfId="11" priority="2" stopIfTrue="1">
      <formula>Formulas</formula>
    </cfRule>
  </conditionalFormatting>
  <conditionalFormatting sqref="C124">
    <cfRule type="expression" dxfId="10" priority="1" stopIfTrue="1">
      <formula>#REF!&lt;&gt;""</formula>
    </cfRule>
  </conditionalFormatting>
  <pageMargins left="0.75" right="0.75" top="1" bottom="1" header="0.5" footer="0.5"/>
  <pageSetup scale="60" orientation="landscape" cellComments="asDisplayed" r:id="rId1"/>
  <headerFooter alignWithMargins="0">
    <oddHeader>&amp;CSchedule 9-ADIT-1
ADIT
&amp;RTO2021 Draft Annual Update 
Attachment 1</oddHeader>
    <oddFooter>&amp;R&amp;A</oddFooter>
  </headerFooter>
  <rowBreaks count="4" manualBreakCount="4">
    <brk id="24" max="16383" man="1"/>
    <brk id="56" max="16383" man="1"/>
    <brk id="94" max="9" man="1"/>
    <brk id="136"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dimension ref="A1:N64"/>
  <sheetViews>
    <sheetView zoomScaleNormal="100" workbookViewId="0"/>
  </sheetViews>
  <sheetFormatPr defaultColWidth="14.54296875" defaultRowHeight="12.5"/>
  <cols>
    <col min="1" max="1" width="5.54296875" style="972" customWidth="1"/>
    <col min="2" max="2" width="34.54296875" style="972" customWidth="1"/>
    <col min="3" max="3" width="3.54296875" style="972" customWidth="1"/>
    <col min="4" max="7" width="13.54296875" style="972" customWidth="1"/>
    <col min="8" max="16384" width="14.54296875" style="972"/>
  </cols>
  <sheetData>
    <row r="1" spans="1:14" ht="14.5">
      <c r="A1" s="1360" t="s">
        <v>2757</v>
      </c>
      <c r="B1" s="1297"/>
      <c r="C1" s="1297"/>
      <c r="D1" s="1297"/>
      <c r="E1" s="1297"/>
      <c r="F1" s="1297"/>
      <c r="G1" s="1297"/>
      <c r="H1" s="1297"/>
      <c r="I1" s="1297"/>
      <c r="J1" s="1297"/>
      <c r="K1" s="1297"/>
      <c r="L1" s="1297"/>
      <c r="M1" s="1297"/>
      <c r="N1" s="1298"/>
    </row>
    <row r="2" spans="1:14" ht="13">
      <c r="A2" s="1299"/>
      <c r="B2" s="1296"/>
      <c r="C2" s="1296"/>
      <c r="D2" s="1299"/>
      <c r="E2" s="1299"/>
      <c r="F2" s="1299"/>
      <c r="G2" s="1299"/>
      <c r="H2" s="1299"/>
      <c r="I2" s="1299"/>
      <c r="J2" s="1299"/>
      <c r="L2" s="1300" t="s">
        <v>1715</v>
      </c>
      <c r="M2" s="1301">
        <v>2019</v>
      </c>
      <c r="N2" s="636"/>
    </row>
    <row r="3" spans="1:14">
      <c r="A3" s="1299"/>
      <c r="B3" s="1299"/>
      <c r="C3" s="1299"/>
      <c r="D3" s="1299"/>
      <c r="E3" s="1299"/>
      <c r="F3" s="1299"/>
      <c r="G3" s="1299"/>
      <c r="H3" s="1299"/>
      <c r="I3" s="1299"/>
      <c r="J3" s="1299"/>
      <c r="K3" s="1299"/>
      <c r="L3" s="1299"/>
      <c r="M3" s="1299"/>
      <c r="N3" s="636"/>
    </row>
    <row r="4" spans="1:14" ht="13">
      <c r="A4" s="1302"/>
      <c r="B4" s="1303" t="s">
        <v>2672</v>
      </c>
      <c r="C4" s="1303"/>
      <c r="D4" s="1303" t="s">
        <v>2673</v>
      </c>
      <c r="E4" s="1303" t="s">
        <v>2674</v>
      </c>
      <c r="F4" s="1303" t="s">
        <v>2675</v>
      </c>
      <c r="G4" s="1303" t="s">
        <v>2676</v>
      </c>
      <c r="H4" s="1303" t="s">
        <v>2677</v>
      </c>
      <c r="I4" s="1303" t="s">
        <v>2678</v>
      </c>
      <c r="J4" s="1303" t="s">
        <v>2679</v>
      </c>
      <c r="K4" s="1303" t="s">
        <v>2680</v>
      </c>
      <c r="L4" s="1303" t="s">
        <v>2681</v>
      </c>
      <c r="M4" s="1303" t="s">
        <v>2682</v>
      </c>
      <c r="N4" s="1304"/>
    </row>
    <row r="5" spans="1:14" ht="13.5" thickBot="1">
      <c r="A5" s="636"/>
      <c r="B5" s="1305"/>
      <c r="C5" s="1305"/>
      <c r="D5" s="1305"/>
      <c r="E5" s="1305"/>
      <c r="F5" s="1304"/>
      <c r="G5" s="1304"/>
      <c r="H5" s="1304"/>
      <c r="I5" s="1304"/>
      <c r="J5" s="1305"/>
      <c r="K5" s="1304"/>
      <c r="L5" s="1304"/>
      <c r="M5" s="1305"/>
      <c r="N5" s="1305"/>
    </row>
    <row r="6" spans="1:14" ht="13.5" thickBot="1">
      <c r="A6" s="636"/>
      <c r="B6" s="1305"/>
      <c r="C6" s="1302"/>
      <c r="D6" s="1306" t="s">
        <v>33</v>
      </c>
      <c r="E6" s="1306" t="s">
        <v>33</v>
      </c>
      <c r="F6" s="1306" t="s">
        <v>33</v>
      </c>
      <c r="G6" s="1306" t="s">
        <v>33</v>
      </c>
      <c r="H6" s="1306" t="s">
        <v>33</v>
      </c>
      <c r="I6" s="1306" t="s">
        <v>33</v>
      </c>
      <c r="J6" s="1307" t="s">
        <v>2683</v>
      </c>
      <c r="K6" s="1307" t="s">
        <v>2684</v>
      </c>
      <c r="L6" s="1307" t="s">
        <v>2685</v>
      </c>
      <c r="M6" s="1307" t="s">
        <v>2685</v>
      </c>
      <c r="N6" s="1305"/>
    </row>
    <row r="7" spans="1:14" ht="73" thickBot="1">
      <c r="A7" s="1308" t="s">
        <v>329</v>
      </c>
      <c r="B7" s="636" t="s">
        <v>2686</v>
      </c>
      <c r="C7" s="1309"/>
      <c r="D7" s="1310" t="s">
        <v>2687</v>
      </c>
      <c r="E7" s="1310" t="s">
        <v>2688</v>
      </c>
      <c r="F7" s="1311" t="s">
        <v>2689</v>
      </c>
      <c r="G7" s="1311" t="s">
        <v>2690</v>
      </c>
      <c r="H7" s="1312" t="s">
        <v>2691</v>
      </c>
      <c r="I7" s="1313" t="s">
        <v>2692</v>
      </c>
      <c r="J7" s="1313" t="s">
        <v>2693</v>
      </c>
      <c r="K7" s="1312" t="s">
        <v>2694</v>
      </c>
      <c r="L7" s="1313" t="s">
        <v>2695</v>
      </c>
      <c r="M7" s="1313" t="s">
        <v>2696</v>
      </c>
      <c r="N7" s="1314"/>
    </row>
    <row r="8" spans="1:14" ht="13">
      <c r="A8" s="1315">
        <v>1</v>
      </c>
      <c r="B8" s="1316" t="s">
        <v>2697</v>
      </c>
      <c r="C8" s="1317"/>
      <c r="D8" s="1299"/>
      <c r="E8" s="1299"/>
      <c r="F8" s="1299"/>
      <c r="G8" s="1299"/>
      <c r="H8" s="1299"/>
      <c r="I8" s="1299"/>
      <c r="J8" s="1299"/>
      <c r="K8" s="1299"/>
      <c r="L8" s="1299"/>
      <c r="M8" s="1299"/>
      <c r="N8" s="636"/>
    </row>
    <row r="9" spans="1:14" ht="13">
      <c r="A9" s="1315">
        <f t="shared" ref="A9:A45" si="0">+A8+1</f>
        <v>2</v>
      </c>
      <c r="B9" s="1318" t="s">
        <v>2698</v>
      </c>
      <c r="C9" s="1319"/>
      <c r="D9" s="1320"/>
      <c r="E9" s="1320">
        <v>-601396314</v>
      </c>
      <c r="F9" s="1320"/>
      <c r="G9" s="1320"/>
      <c r="H9" s="1320">
        <v>0</v>
      </c>
      <c r="I9" s="1320">
        <v>7113417</v>
      </c>
      <c r="J9" s="1362">
        <f>SUM(D9:I9)</f>
        <v>-594282897</v>
      </c>
      <c r="K9" s="1362">
        <f>'9-ADIT-3'!I12</f>
        <v>0</v>
      </c>
      <c r="L9" s="1362">
        <f>IF(+J9+K9&gt;0,+J9+K9,0)</f>
        <v>0</v>
      </c>
      <c r="M9" s="1362">
        <f>IF(+J9+K9&gt;0,0,+J9+K9)</f>
        <v>-594282897</v>
      </c>
      <c r="N9" s="636"/>
    </row>
    <row r="10" spans="1:14" ht="13">
      <c r="A10" s="1315">
        <f t="shared" si="0"/>
        <v>3</v>
      </c>
      <c r="B10" s="1318" t="s">
        <v>2699</v>
      </c>
      <c r="C10" s="1319"/>
      <c r="D10" s="1320"/>
      <c r="E10" s="1320">
        <v>8908707</v>
      </c>
      <c r="F10" s="1320">
        <v>8908707</v>
      </c>
      <c r="G10" s="1320">
        <v>-8908707</v>
      </c>
      <c r="H10" s="1320">
        <v>-1790777</v>
      </c>
      <c r="I10" s="1320">
        <v>0</v>
      </c>
      <c r="J10" s="1362">
        <f t="shared" ref="J10:J13" si="1">SUM(D10:I10)</f>
        <v>7117930</v>
      </c>
      <c r="K10" s="1362">
        <f>'9-ADIT-3'!I13</f>
        <v>0</v>
      </c>
      <c r="L10" s="1362">
        <f t="shared" ref="L10:L12" si="2">IF(+J10+K10&gt;0,+J10+K10,0)</f>
        <v>7117930</v>
      </c>
      <c r="M10" s="1362">
        <f t="shared" ref="M10:M12" si="3">IF(+J10+K10&gt;0,0,+J10+K10)</f>
        <v>0</v>
      </c>
      <c r="N10" s="636"/>
    </row>
    <row r="11" spans="1:14" ht="13">
      <c r="A11" s="1315">
        <f t="shared" si="0"/>
        <v>4</v>
      </c>
      <c r="B11" s="1318" t="s">
        <v>2700</v>
      </c>
      <c r="C11" s="1319"/>
      <c r="D11" s="1320"/>
      <c r="E11" s="1320">
        <v>4939465</v>
      </c>
      <c r="F11" s="1320">
        <v>4939465</v>
      </c>
      <c r="G11" s="1320">
        <v>-4939465</v>
      </c>
      <c r="H11" s="1320">
        <v>-898085</v>
      </c>
      <c r="I11" s="1320">
        <v>0</v>
      </c>
      <c r="J11" s="1362">
        <f t="shared" si="1"/>
        <v>4041380</v>
      </c>
      <c r="K11" s="1362">
        <f>'9-ADIT-3'!I14</f>
        <v>0</v>
      </c>
      <c r="L11" s="1362">
        <f t="shared" si="2"/>
        <v>4041380</v>
      </c>
      <c r="M11" s="1362">
        <f t="shared" si="3"/>
        <v>0</v>
      </c>
      <c r="N11" s="636"/>
    </row>
    <row r="12" spans="1:14" ht="13">
      <c r="A12" s="1315">
        <f t="shared" si="0"/>
        <v>5</v>
      </c>
      <c r="B12" s="1318" t="s">
        <v>2701</v>
      </c>
      <c r="C12" s="1319"/>
      <c r="D12" s="1320"/>
      <c r="E12" s="1320">
        <v>20695342</v>
      </c>
      <c r="F12" s="1320">
        <v>20695342</v>
      </c>
      <c r="G12" s="1320">
        <v>-20695342</v>
      </c>
      <c r="H12" s="1320">
        <v>-3791</v>
      </c>
      <c r="I12" s="1320">
        <v>0</v>
      </c>
      <c r="J12" s="1362">
        <f t="shared" si="1"/>
        <v>20691551</v>
      </c>
      <c r="K12" s="1362">
        <f>'9-ADIT-3'!I15</f>
        <v>0</v>
      </c>
      <c r="L12" s="1362">
        <f t="shared" si="2"/>
        <v>20691551</v>
      </c>
      <c r="M12" s="1362">
        <f t="shared" si="3"/>
        <v>0</v>
      </c>
      <c r="N12" s="636"/>
    </row>
    <row r="13" spans="1:14" ht="13">
      <c r="A13" s="1315">
        <f t="shared" si="0"/>
        <v>6</v>
      </c>
      <c r="B13" s="1321" t="s">
        <v>504</v>
      </c>
      <c r="C13" s="1322"/>
      <c r="D13" s="1320"/>
      <c r="E13" s="1320"/>
      <c r="F13" s="1320"/>
      <c r="G13" s="1320"/>
      <c r="H13" s="1320"/>
      <c r="I13" s="1320"/>
      <c r="J13" s="1362">
        <f t="shared" si="1"/>
        <v>0</v>
      </c>
      <c r="K13" s="1362"/>
      <c r="L13" s="1362"/>
      <c r="M13" s="1362"/>
      <c r="N13" s="636"/>
    </row>
    <row r="14" spans="1:14" ht="13">
      <c r="A14" s="1323" t="s">
        <v>2702</v>
      </c>
      <c r="B14" s="1324" t="s">
        <v>2703</v>
      </c>
      <c r="C14" s="1325"/>
      <c r="D14" s="1363">
        <f t="shared" ref="D14:M14" si="4">SUM(D9:D13)</f>
        <v>0</v>
      </c>
      <c r="E14" s="1363">
        <f t="shared" si="4"/>
        <v>-566852800</v>
      </c>
      <c r="F14" s="1363">
        <f t="shared" si="4"/>
        <v>34543514</v>
      </c>
      <c r="G14" s="1363">
        <f t="shared" si="4"/>
        <v>-34543514</v>
      </c>
      <c r="H14" s="1363">
        <f t="shared" si="4"/>
        <v>-2692653</v>
      </c>
      <c r="I14" s="1363">
        <f t="shared" si="4"/>
        <v>7113417</v>
      </c>
      <c r="J14" s="1363">
        <f t="shared" si="4"/>
        <v>-562432036</v>
      </c>
      <c r="K14" s="1363">
        <f t="shared" si="4"/>
        <v>0</v>
      </c>
      <c r="L14" s="1363">
        <f t="shared" si="4"/>
        <v>31850861</v>
      </c>
      <c r="M14" s="1363">
        <f t="shared" si="4"/>
        <v>-594282897</v>
      </c>
      <c r="N14" s="636"/>
    </row>
    <row r="15" spans="1:14" ht="13">
      <c r="A15" s="1315"/>
      <c r="B15" s="1318"/>
      <c r="C15" s="1325"/>
      <c r="D15" s="1318"/>
      <c r="E15" s="1318"/>
      <c r="F15" s="1318"/>
      <c r="G15" s="1318"/>
      <c r="H15" s="1318"/>
      <c r="I15" s="1318"/>
      <c r="J15" s="1318"/>
      <c r="K15" s="1318"/>
      <c r="L15" s="1318"/>
      <c r="M15" s="1318"/>
      <c r="N15" s="636"/>
    </row>
    <row r="16" spans="1:14" ht="13">
      <c r="A16" s="1315">
        <v>100</v>
      </c>
      <c r="B16" s="1326" t="s">
        <v>2704</v>
      </c>
      <c r="C16" s="1327"/>
      <c r="D16" s="1318"/>
      <c r="E16" s="1318"/>
      <c r="F16" s="1318"/>
      <c r="G16" s="1318"/>
      <c r="H16" s="1318"/>
      <c r="I16" s="1318"/>
      <c r="J16" s="1318"/>
      <c r="K16" s="1318"/>
      <c r="L16" s="1318"/>
      <c r="M16" s="1318"/>
      <c r="N16" s="636"/>
    </row>
    <row r="17" spans="1:14" ht="13">
      <c r="A17" s="1315">
        <f t="shared" si="0"/>
        <v>101</v>
      </c>
      <c r="B17" s="1318" t="s">
        <v>2705</v>
      </c>
      <c r="C17" s="1319"/>
      <c r="D17" s="1320"/>
      <c r="E17" s="1320">
        <v>-25769863.8354</v>
      </c>
      <c r="F17" s="1320"/>
      <c r="G17" s="1320"/>
      <c r="H17" s="1320">
        <v>0</v>
      </c>
      <c r="I17" s="1320">
        <v>11347612</v>
      </c>
      <c r="J17" s="1362">
        <f t="shared" ref="J17:J23" si="5">SUM(D17:I17)</f>
        <v>-14422251.8354</v>
      </c>
      <c r="K17" s="1362">
        <f>'9-ADIT-3'!I20</f>
        <v>0</v>
      </c>
      <c r="L17" s="1362">
        <f t="shared" ref="L17:L22" si="6">IF(+J17+K17&gt;0,+J17+K17,0)</f>
        <v>0</v>
      </c>
      <c r="M17" s="1362">
        <f t="shared" ref="M17:M22" si="7">IF(+J17+K17&gt;0,0,+J17+K17)</f>
        <v>-14422251.8354</v>
      </c>
      <c r="N17" s="636"/>
    </row>
    <row r="18" spans="1:14" ht="13">
      <c r="A18" s="1315">
        <f t="shared" si="0"/>
        <v>102</v>
      </c>
      <c r="B18" s="1318" t="s">
        <v>2706</v>
      </c>
      <c r="C18" s="1319"/>
      <c r="D18" s="1320"/>
      <c r="E18" s="1320">
        <v>-4718446</v>
      </c>
      <c r="F18" s="1320"/>
      <c r="G18" s="1320"/>
      <c r="H18" s="1320">
        <v>0</v>
      </c>
      <c r="I18" s="1320">
        <v>2274833</v>
      </c>
      <c r="J18" s="1362">
        <f t="shared" si="5"/>
        <v>-2443613</v>
      </c>
      <c r="K18" s="1362">
        <f>'9-ADIT-3'!I21</f>
        <v>0</v>
      </c>
      <c r="L18" s="1362">
        <f t="shared" si="6"/>
        <v>0</v>
      </c>
      <c r="M18" s="1362">
        <f t="shared" si="7"/>
        <v>-2443613</v>
      </c>
      <c r="N18" s="636"/>
    </row>
    <row r="19" spans="1:14" ht="13">
      <c r="A19" s="1315">
        <f t="shared" si="0"/>
        <v>103</v>
      </c>
      <c r="B19" s="1318" t="s">
        <v>2707</v>
      </c>
      <c r="C19" s="1319"/>
      <c r="D19" s="1320"/>
      <c r="E19" s="1320">
        <v>-40122201</v>
      </c>
      <c r="F19" s="1320"/>
      <c r="G19" s="1320"/>
      <c r="H19" s="1320">
        <v>0</v>
      </c>
      <c r="I19" s="1320">
        <v>19750893</v>
      </c>
      <c r="J19" s="1362">
        <f t="shared" si="5"/>
        <v>-20371308</v>
      </c>
      <c r="K19" s="1362">
        <f>'9-ADIT-3'!I22</f>
        <v>0</v>
      </c>
      <c r="L19" s="1362">
        <f t="shared" si="6"/>
        <v>0</v>
      </c>
      <c r="M19" s="1362">
        <f t="shared" si="7"/>
        <v>-20371308</v>
      </c>
      <c r="N19" s="636"/>
    </row>
    <row r="20" spans="1:14" ht="13">
      <c r="A20" s="1315">
        <f t="shared" si="0"/>
        <v>104</v>
      </c>
      <c r="B20" s="1318" t="s">
        <v>2708</v>
      </c>
      <c r="C20" s="1319"/>
      <c r="D20" s="1320"/>
      <c r="E20" s="1320">
        <v>-1962738</v>
      </c>
      <c r="F20" s="1320"/>
      <c r="G20" s="1320">
        <v>-387005</v>
      </c>
      <c r="H20" s="1320">
        <v>0</v>
      </c>
      <c r="I20" s="1320">
        <v>1142714</v>
      </c>
      <c r="J20" s="1362">
        <f t="shared" si="5"/>
        <v>-1207029</v>
      </c>
      <c r="K20" s="1362">
        <f>'9-ADIT-3'!I23</f>
        <v>0</v>
      </c>
      <c r="L20" s="1362">
        <f t="shared" si="6"/>
        <v>0</v>
      </c>
      <c r="M20" s="1362">
        <f t="shared" si="7"/>
        <v>-1207029</v>
      </c>
      <c r="N20" s="636"/>
    </row>
    <row r="21" spans="1:14" ht="13">
      <c r="A21" s="1315">
        <f t="shared" si="0"/>
        <v>105</v>
      </c>
      <c r="B21" s="1318" t="s">
        <v>2709</v>
      </c>
      <c r="C21" s="1319"/>
      <c r="D21" s="1320"/>
      <c r="E21" s="1320">
        <v>-7462110</v>
      </c>
      <c r="F21" s="1320"/>
      <c r="G21" s="1320">
        <v>163733</v>
      </c>
      <c r="H21" s="1320">
        <v>-258020</v>
      </c>
      <c r="I21" s="1320">
        <v>3113612</v>
      </c>
      <c r="J21" s="1362">
        <f t="shared" si="5"/>
        <v>-4442785</v>
      </c>
      <c r="K21" s="1362">
        <f>'9-ADIT-3'!I24</f>
        <v>0</v>
      </c>
      <c r="L21" s="1362">
        <f t="shared" si="6"/>
        <v>0</v>
      </c>
      <c r="M21" s="1362">
        <f t="shared" si="7"/>
        <v>-4442785</v>
      </c>
      <c r="N21" s="636"/>
    </row>
    <row r="22" spans="1:14" ht="13">
      <c r="A22" s="1315">
        <f t="shared" si="0"/>
        <v>106</v>
      </c>
      <c r="B22" s="1318" t="s">
        <v>2710</v>
      </c>
      <c r="C22" s="1319"/>
      <c r="D22" s="1320"/>
      <c r="E22" s="1320">
        <v>26418187</v>
      </c>
      <c r="F22" s="1320">
        <v>26641462</v>
      </c>
      <c r="G22" s="1320">
        <v>-26418190</v>
      </c>
      <c r="H22" s="1320">
        <v>-12957809</v>
      </c>
      <c r="I22" s="1320">
        <v>0</v>
      </c>
      <c r="J22" s="1362">
        <f t="shared" si="5"/>
        <v>13683650</v>
      </c>
      <c r="K22" s="1362">
        <f>'9-ADIT-3'!I25</f>
        <v>0</v>
      </c>
      <c r="L22" s="1362">
        <f t="shared" si="6"/>
        <v>13683650</v>
      </c>
      <c r="M22" s="1362">
        <f t="shared" si="7"/>
        <v>0</v>
      </c>
      <c r="N22" s="636"/>
    </row>
    <row r="23" spans="1:14" ht="13">
      <c r="A23" s="1315">
        <f t="shared" si="0"/>
        <v>107</v>
      </c>
      <c r="B23" s="1321" t="s">
        <v>504</v>
      </c>
      <c r="C23" s="1322"/>
      <c r="D23" s="1320"/>
      <c r="E23" s="1320"/>
      <c r="F23" s="1320"/>
      <c r="G23" s="1320"/>
      <c r="H23" s="1320"/>
      <c r="I23" s="1320"/>
      <c r="J23" s="1362">
        <f t="shared" si="5"/>
        <v>0</v>
      </c>
      <c r="K23" s="1362"/>
      <c r="L23" s="1362"/>
      <c r="M23" s="1362"/>
      <c r="N23" s="636"/>
    </row>
    <row r="24" spans="1:14" ht="13">
      <c r="A24" s="1323" t="s">
        <v>2711</v>
      </c>
      <c r="B24" s="1324" t="s">
        <v>2712</v>
      </c>
      <c r="C24" s="1325"/>
      <c r="D24" s="1364">
        <f t="shared" ref="D24:M24" si="8">SUM(D17:D23)</f>
        <v>0</v>
      </c>
      <c r="E24" s="1364">
        <f t="shared" si="8"/>
        <v>-53617171.8354</v>
      </c>
      <c r="F24" s="1364">
        <f t="shared" si="8"/>
        <v>26641462</v>
      </c>
      <c r="G24" s="1364">
        <f t="shared" si="8"/>
        <v>-26641462</v>
      </c>
      <c r="H24" s="1364">
        <f t="shared" si="8"/>
        <v>-13215829</v>
      </c>
      <c r="I24" s="1364">
        <f t="shared" si="8"/>
        <v>37629664</v>
      </c>
      <c r="J24" s="1364">
        <f t="shared" si="8"/>
        <v>-29203336.8354</v>
      </c>
      <c r="K24" s="1364">
        <f t="shared" si="8"/>
        <v>0</v>
      </c>
      <c r="L24" s="1364">
        <f t="shared" si="8"/>
        <v>13683650</v>
      </c>
      <c r="M24" s="1364">
        <f t="shared" si="8"/>
        <v>-42886986.8354</v>
      </c>
      <c r="N24" s="636"/>
    </row>
    <row r="25" spans="1:14" ht="13">
      <c r="A25" s="1315"/>
      <c r="B25" s="1318"/>
      <c r="C25" s="1325"/>
      <c r="D25" s="228"/>
      <c r="E25" s="228"/>
      <c r="F25" s="228"/>
      <c r="G25" s="228"/>
      <c r="H25" s="228"/>
      <c r="I25" s="228"/>
      <c r="J25" s="228"/>
      <c r="K25" s="228"/>
      <c r="L25" s="228"/>
      <c r="M25" s="1328"/>
      <c r="N25" s="636"/>
    </row>
    <row r="26" spans="1:14" ht="13">
      <c r="A26" s="1323" t="s">
        <v>2713</v>
      </c>
      <c r="B26" s="1329" t="s">
        <v>2714</v>
      </c>
      <c r="C26" s="1319"/>
      <c r="D26" s="1330"/>
      <c r="E26" s="1330">
        <v>55651645</v>
      </c>
      <c r="F26" s="1330">
        <v>55651645</v>
      </c>
      <c r="G26" s="1330">
        <v>-55651645</v>
      </c>
      <c r="H26" s="1330">
        <v>0</v>
      </c>
      <c r="I26" s="1330">
        <v>633243</v>
      </c>
      <c r="J26" s="1365">
        <f>SUM(D26:I26)</f>
        <v>56284888</v>
      </c>
      <c r="K26" s="1365">
        <f>'9-ADIT-3'!I29</f>
        <v>0</v>
      </c>
      <c r="L26" s="1365">
        <f>IF(+J26+K26&gt;0,+J26+K26,0)</f>
        <v>56284888</v>
      </c>
      <c r="M26" s="1365">
        <f>IF(+J26+K26&gt;0,0,+J26+K26)</f>
        <v>0</v>
      </c>
      <c r="N26" s="636"/>
    </row>
    <row r="27" spans="1:14" ht="13">
      <c r="A27" s="1315"/>
      <c r="B27" s="1318"/>
      <c r="C27" s="1325"/>
      <c r="D27" s="228"/>
      <c r="E27" s="228"/>
      <c r="F27" s="228"/>
      <c r="G27" s="228"/>
      <c r="H27" s="228"/>
      <c r="I27" s="228"/>
      <c r="J27" s="228"/>
      <c r="K27" s="228"/>
      <c r="L27" s="228"/>
      <c r="M27" s="228"/>
      <c r="N27" s="636"/>
    </row>
    <row r="28" spans="1:14" ht="13.5" thickBot="1">
      <c r="A28" s="1323" t="s">
        <v>2715</v>
      </c>
      <c r="B28" s="1331" t="s">
        <v>2716</v>
      </c>
      <c r="C28" s="1332"/>
      <c r="D28" s="1366">
        <f t="shared" ref="D28:M28" si="9">+D26+D24+D14</f>
        <v>0</v>
      </c>
      <c r="E28" s="1366">
        <f t="shared" si="9"/>
        <v>-564818326.83539999</v>
      </c>
      <c r="F28" s="1366">
        <f t="shared" si="9"/>
        <v>116836621</v>
      </c>
      <c r="G28" s="1366">
        <f t="shared" si="9"/>
        <v>-116836621</v>
      </c>
      <c r="H28" s="1366">
        <f t="shared" si="9"/>
        <v>-15908482</v>
      </c>
      <c r="I28" s="1366">
        <f t="shared" si="9"/>
        <v>45376324</v>
      </c>
      <c r="J28" s="1366">
        <f t="shared" si="9"/>
        <v>-535350484.83539999</v>
      </c>
      <c r="K28" s="1366">
        <f t="shared" si="9"/>
        <v>0</v>
      </c>
      <c r="L28" s="1366">
        <f t="shared" si="9"/>
        <v>101819399</v>
      </c>
      <c r="M28" s="1366">
        <f t="shared" si="9"/>
        <v>-637169883.83539999</v>
      </c>
      <c r="N28" s="636"/>
    </row>
    <row r="29" spans="1:14" ht="13.5" thickTop="1">
      <c r="A29" s="1315"/>
      <c r="B29" s="1333"/>
      <c r="C29" s="1334"/>
      <c r="D29" s="1318"/>
      <c r="E29" s="1318"/>
      <c r="F29" s="1318"/>
      <c r="G29" s="1318"/>
      <c r="H29" s="1318"/>
      <c r="I29" s="1318"/>
      <c r="J29" s="1318"/>
      <c r="K29" s="1318"/>
      <c r="L29" s="1318"/>
      <c r="M29" s="1318"/>
      <c r="N29" s="636"/>
    </row>
    <row r="30" spans="1:14" ht="13">
      <c r="A30" s="1323" t="s">
        <v>2717</v>
      </c>
      <c r="B30" s="1326" t="s">
        <v>2718</v>
      </c>
      <c r="C30" s="1327"/>
      <c r="D30" s="1318"/>
      <c r="E30" s="1318"/>
      <c r="F30" s="1318"/>
      <c r="G30" s="1318"/>
      <c r="H30" s="1318"/>
      <c r="I30" s="1318"/>
      <c r="J30" s="1318"/>
      <c r="K30" s="1318"/>
      <c r="L30" s="1318"/>
      <c r="M30" s="1318"/>
      <c r="N30" s="636"/>
    </row>
    <row r="31" spans="1:14" ht="13">
      <c r="A31" s="1315">
        <f t="shared" si="0"/>
        <v>301</v>
      </c>
      <c r="B31" s="1318" t="s">
        <v>2570</v>
      </c>
      <c r="C31" s="1319"/>
      <c r="D31" s="1320"/>
      <c r="E31" s="1320"/>
      <c r="F31" s="1320"/>
      <c r="G31" s="1320"/>
      <c r="H31" s="1320"/>
      <c r="I31" s="1320"/>
      <c r="J31" s="1362">
        <f t="shared" ref="J31:J45" si="10">SUM(D31:I31)</f>
        <v>0</v>
      </c>
      <c r="K31" s="1362">
        <f>'9-ADIT-3'!I34</f>
        <v>0</v>
      </c>
      <c r="L31" s="1362">
        <f t="shared" ref="L31:L44" si="11">IF(+J31+K31&gt;0,+J31+K31,0)</f>
        <v>0</v>
      </c>
      <c r="M31" s="1362">
        <f t="shared" ref="M31:M44" si="12">IF(+J31+K31&gt;0,0,+J31+K31)</f>
        <v>0</v>
      </c>
      <c r="N31" s="636"/>
    </row>
    <row r="32" spans="1:14" ht="13">
      <c r="A32" s="1315">
        <f t="shared" si="0"/>
        <v>302</v>
      </c>
      <c r="B32" s="1318" t="s">
        <v>2571</v>
      </c>
      <c r="C32" s="1319"/>
      <c r="D32" s="1320"/>
      <c r="E32" s="1320"/>
      <c r="F32" s="1320"/>
      <c r="G32" s="1320"/>
      <c r="H32" s="1320"/>
      <c r="I32" s="1320"/>
      <c r="J32" s="1362">
        <f t="shared" si="10"/>
        <v>0</v>
      </c>
      <c r="K32" s="1362">
        <f>'9-ADIT-3'!I35</f>
        <v>0</v>
      </c>
      <c r="L32" s="1362">
        <f t="shared" si="11"/>
        <v>0</v>
      </c>
      <c r="M32" s="1362">
        <f t="shared" si="12"/>
        <v>0</v>
      </c>
      <c r="N32" s="636"/>
    </row>
    <row r="33" spans="1:14" ht="13">
      <c r="A33" s="1315">
        <f t="shared" si="0"/>
        <v>303</v>
      </c>
      <c r="B33" s="1318" t="s">
        <v>2572</v>
      </c>
      <c r="C33" s="1319"/>
      <c r="D33" s="1320"/>
      <c r="E33" s="1320"/>
      <c r="F33" s="1320"/>
      <c r="G33" s="1320"/>
      <c r="H33" s="1320"/>
      <c r="I33" s="1320"/>
      <c r="J33" s="1362">
        <f t="shared" si="10"/>
        <v>0</v>
      </c>
      <c r="K33" s="1362">
        <f>'9-ADIT-3'!I36</f>
        <v>0</v>
      </c>
      <c r="L33" s="1362">
        <f t="shared" si="11"/>
        <v>0</v>
      </c>
      <c r="M33" s="1362">
        <f t="shared" si="12"/>
        <v>0</v>
      </c>
      <c r="N33" s="636"/>
    </row>
    <row r="34" spans="1:14" ht="13">
      <c r="A34" s="1315">
        <f t="shared" si="0"/>
        <v>304</v>
      </c>
      <c r="B34" s="1318" t="s">
        <v>2719</v>
      </c>
      <c r="C34" s="1319"/>
      <c r="D34" s="1320"/>
      <c r="E34" s="1320"/>
      <c r="F34" s="1320"/>
      <c r="G34" s="1320"/>
      <c r="H34" s="1320"/>
      <c r="I34" s="1320"/>
      <c r="J34" s="1362">
        <f t="shared" si="10"/>
        <v>0</v>
      </c>
      <c r="K34" s="1362">
        <f>'9-ADIT-3'!I37</f>
        <v>0</v>
      </c>
      <c r="L34" s="1362">
        <f t="shared" si="11"/>
        <v>0</v>
      </c>
      <c r="M34" s="1362">
        <f t="shared" si="12"/>
        <v>0</v>
      </c>
      <c r="N34" s="636"/>
    </row>
    <row r="35" spans="1:14" ht="13">
      <c r="A35" s="1315">
        <f t="shared" si="0"/>
        <v>305</v>
      </c>
      <c r="B35" s="1318" t="s">
        <v>2720</v>
      </c>
      <c r="C35" s="1319"/>
      <c r="D35" s="1320"/>
      <c r="E35" s="1320"/>
      <c r="F35" s="1320"/>
      <c r="G35" s="1320"/>
      <c r="H35" s="1320"/>
      <c r="I35" s="1320"/>
      <c r="J35" s="1362">
        <f t="shared" si="10"/>
        <v>0</v>
      </c>
      <c r="K35" s="1362">
        <f>'9-ADIT-3'!I38</f>
        <v>0</v>
      </c>
      <c r="L35" s="1362">
        <f t="shared" si="11"/>
        <v>0</v>
      </c>
      <c r="M35" s="1362">
        <f t="shared" si="12"/>
        <v>0</v>
      </c>
      <c r="N35" s="636"/>
    </row>
    <row r="36" spans="1:14" ht="13">
      <c r="A36" s="1315">
        <f t="shared" si="0"/>
        <v>306</v>
      </c>
      <c r="B36" s="1318" t="s">
        <v>2574</v>
      </c>
      <c r="C36" s="1319"/>
      <c r="D36" s="1320"/>
      <c r="E36" s="1320"/>
      <c r="F36" s="1320"/>
      <c r="G36" s="1320"/>
      <c r="H36" s="1320"/>
      <c r="I36" s="1320"/>
      <c r="J36" s="1362">
        <f t="shared" si="10"/>
        <v>0</v>
      </c>
      <c r="K36" s="1362">
        <f>'9-ADIT-3'!I39</f>
        <v>0</v>
      </c>
      <c r="L36" s="1362">
        <f t="shared" si="11"/>
        <v>0</v>
      </c>
      <c r="M36" s="1362">
        <f t="shared" si="12"/>
        <v>0</v>
      </c>
      <c r="N36" s="636"/>
    </row>
    <row r="37" spans="1:14" ht="13">
      <c r="A37" s="1315">
        <f t="shared" si="0"/>
        <v>307</v>
      </c>
      <c r="B37" s="1318" t="s">
        <v>2575</v>
      </c>
      <c r="C37" s="1319"/>
      <c r="D37" s="1320"/>
      <c r="E37" s="1320"/>
      <c r="F37" s="1320"/>
      <c r="G37" s="1320"/>
      <c r="H37" s="1320"/>
      <c r="I37" s="1320"/>
      <c r="J37" s="1362">
        <f t="shared" si="10"/>
        <v>0</v>
      </c>
      <c r="K37" s="1362">
        <f>'9-ADIT-3'!I40</f>
        <v>0</v>
      </c>
      <c r="L37" s="1362">
        <f t="shared" si="11"/>
        <v>0</v>
      </c>
      <c r="M37" s="1362">
        <f t="shared" si="12"/>
        <v>0</v>
      </c>
      <c r="N37" s="636"/>
    </row>
    <row r="38" spans="1:14" ht="13">
      <c r="A38" s="1315">
        <f t="shared" si="0"/>
        <v>308</v>
      </c>
      <c r="B38" s="1318" t="s">
        <v>2721</v>
      </c>
      <c r="C38" s="1319"/>
      <c r="D38" s="1320"/>
      <c r="E38" s="1320"/>
      <c r="F38" s="1320"/>
      <c r="G38" s="1320"/>
      <c r="H38" s="1320"/>
      <c r="I38" s="1320"/>
      <c r="J38" s="1362">
        <f t="shared" si="10"/>
        <v>0</v>
      </c>
      <c r="K38" s="1362">
        <f>'9-ADIT-3'!I41</f>
        <v>0</v>
      </c>
      <c r="L38" s="1362">
        <f t="shared" si="11"/>
        <v>0</v>
      </c>
      <c r="M38" s="1362">
        <f t="shared" si="12"/>
        <v>0</v>
      </c>
      <c r="N38" s="636"/>
    </row>
    <row r="39" spans="1:14" ht="13">
      <c r="A39" s="1315">
        <f t="shared" si="0"/>
        <v>309</v>
      </c>
      <c r="B39" s="1318" t="s">
        <v>2594</v>
      </c>
      <c r="C39" s="1319"/>
      <c r="D39" s="1320"/>
      <c r="E39" s="1320"/>
      <c r="F39" s="1320"/>
      <c r="G39" s="1320"/>
      <c r="H39" s="1320"/>
      <c r="I39" s="1320"/>
      <c r="J39" s="1362">
        <f t="shared" si="10"/>
        <v>0</v>
      </c>
      <c r="K39" s="1362">
        <f>'9-ADIT-3'!I42</f>
        <v>0</v>
      </c>
      <c r="L39" s="1362">
        <f t="shared" si="11"/>
        <v>0</v>
      </c>
      <c r="M39" s="1362">
        <f t="shared" si="12"/>
        <v>0</v>
      </c>
      <c r="N39" s="636"/>
    </row>
    <row r="40" spans="1:14" ht="13">
      <c r="A40" s="1315">
        <f t="shared" si="0"/>
        <v>310</v>
      </c>
      <c r="B40" s="1318" t="s">
        <v>2576</v>
      </c>
      <c r="C40" s="1319"/>
      <c r="D40" s="1320"/>
      <c r="E40" s="1320"/>
      <c r="F40" s="1320"/>
      <c r="G40" s="1320"/>
      <c r="H40" s="1320"/>
      <c r="I40" s="1320"/>
      <c r="J40" s="1362">
        <f t="shared" si="10"/>
        <v>0</v>
      </c>
      <c r="K40" s="1362">
        <f>'9-ADIT-3'!I43</f>
        <v>0</v>
      </c>
      <c r="L40" s="1362">
        <f t="shared" si="11"/>
        <v>0</v>
      </c>
      <c r="M40" s="1362">
        <f t="shared" si="12"/>
        <v>0</v>
      </c>
      <c r="N40" s="636"/>
    </row>
    <row r="41" spans="1:14" ht="13">
      <c r="A41" s="1315">
        <f t="shared" si="0"/>
        <v>311</v>
      </c>
      <c r="B41" s="1318" t="s">
        <v>2579</v>
      </c>
      <c r="C41" s="1319"/>
      <c r="D41" s="1320"/>
      <c r="E41" s="1320"/>
      <c r="F41" s="1320"/>
      <c r="G41" s="1320"/>
      <c r="H41" s="1320"/>
      <c r="I41" s="1320"/>
      <c r="J41" s="1362">
        <f t="shared" si="10"/>
        <v>0</v>
      </c>
      <c r="K41" s="1362">
        <f>'9-ADIT-3'!I44</f>
        <v>0</v>
      </c>
      <c r="L41" s="1362">
        <f t="shared" si="11"/>
        <v>0</v>
      </c>
      <c r="M41" s="1362">
        <f t="shared" si="12"/>
        <v>0</v>
      </c>
      <c r="N41" s="636"/>
    </row>
    <row r="42" spans="1:14" ht="13">
      <c r="A42" s="1315">
        <f t="shared" si="0"/>
        <v>312</v>
      </c>
      <c r="B42" s="1318" t="s">
        <v>2722</v>
      </c>
      <c r="C42" s="1319"/>
      <c r="D42" s="1320"/>
      <c r="E42" s="1320"/>
      <c r="F42" s="1320"/>
      <c r="G42" s="1320"/>
      <c r="H42" s="1320"/>
      <c r="I42" s="1320"/>
      <c r="J42" s="1362">
        <f t="shared" si="10"/>
        <v>0</v>
      </c>
      <c r="K42" s="1362">
        <f>'9-ADIT-3'!I45</f>
        <v>0</v>
      </c>
      <c r="L42" s="1362">
        <f t="shared" si="11"/>
        <v>0</v>
      </c>
      <c r="M42" s="1362">
        <f t="shared" si="12"/>
        <v>0</v>
      </c>
      <c r="N42" s="636"/>
    </row>
    <row r="43" spans="1:14" ht="13">
      <c r="A43" s="1315">
        <f t="shared" si="0"/>
        <v>313</v>
      </c>
      <c r="B43" s="1318" t="s">
        <v>2607</v>
      </c>
      <c r="C43" s="1319"/>
      <c r="D43" s="1320"/>
      <c r="E43" s="1320"/>
      <c r="F43" s="1320"/>
      <c r="G43" s="1320"/>
      <c r="H43" s="1320"/>
      <c r="I43" s="1320"/>
      <c r="J43" s="1362">
        <f t="shared" si="10"/>
        <v>0</v>
      </c>
      <c r="K43" s="1362">
        <f>'9-ADIT-3'!I46</f>
        <v>0</v>
      </c>
      <c r="L43" s="1362">
        <f t="shared" si="11"/>
        <v>0</v>
      </c>
      <c r="M43" s="1362">
        <f t="shared" si="12"/>
        <v>0</v>
      </c>
      <c r="N43" s="636"/>
    </row>
    <row r="44" spans="1:14" ht="13">
      <c r="A44" s="1315">
        <f t="shared" si="0"/>
        <v>314</v>
      </c>
      <c r="B44" s="1318" t="s">
        <v>2608</v>
      </c>
      <c r="C44" s="1319"/>
      <c r="D44" s="1320"/>
      <c r="E44" s="1320"/>
      <c r="F44" s="1320"/>
      <c r="G44" s="1320"/>
      <c r="H44" s="1320"/>
      <c r="I44" s="1320"/>
      <c r="J44" s="1362">
        <f t="shared" si="10"/>
        <v>0</v>
      </c>
      <c r="K44" s="1362">
        <f>'9-ADIT-3'!I47</f>
        <v>0</v>
      </c>
      <c r="L44" s="1362">
        <f t="shared" si="11"/>
        <v>0</v>
      </c>
      <c r="M44" s="1362">
        <f t="shared" si="12"/>
        <v>0</v>
      </c>
      <c r="N44" s="636"/>
    </row>
    <row r="45" spans="1:14" ht="13">
      <c r="A45" s="1315">
        <f t="shared" si="0"/>
        <v>315</v>
      </c>
      <c r="B45" s="1321" t="s">
        <v>504</v>
      </c>
      <c r="C45" s="1320"/>
      <c r="D45" s="1320"/>
      <c r="E45" s="1320"/>
      <c r="F45" s="1320"/>
      <c r="G45" s="1320"/>
      <c r="H45" s="1320"/>
      <c r="I45" s="1320"/>
      <c r="J45" s="1362">
        <f t="shared" si="10"/>
        <v>0</v>
      </c>
      <c r="K45" s="1367"/>
      <c r="L45" s="1367"/>
      <c r="M45" s="1367"/>
      <c r="N45" s="636"/>
    </row>
    <row r="46" spans="1:14" ht="13.5" thickBot="1">
      <c r="A46" s="1323" t="s">
        <v>2723</v>
      </c>
      <c r="B46" s="1335" t="s">
        <v>2724</v>
      </c>
      <c r="C46" s="1335"/>
      <c r="D46" s="1368">
        <f t="shared" ref="D46" si="13">SUM(D31:D45)</f>
        <v>0</v>
      </c>
      <c r="E46" s="1368">
        <f t="shared" ref="E46:M46" si="14">SUM(E31:E45)</f>
        <v>0</v>
      </c>
      <c r="F46" s="1368">
        <f t="shared" si="14"/>
        <v>0</v>
      </c>
      <c r="G46" s="1368">
        <f t="shared" si="14"/>
        <v>0</v>
      </c>
      <c r="H46" s="1368">
        <f t="shared" si="14"/>
        <v>0</v>
      </c>
      <c r="I46" s="1368">
        <f t="shared" si="14"/>
        <v>0</v>
      </c>
      <c r="J46" s="1368">
        <f t="shared" si="14"/>
        <v>0</v>
      </c>
      <c r="K46" s="1368">
        <f t="shared" si="14"/>
        <v>0</v>
      </c>
      <c r="L46" s="1368">
        <f t="shared" si="14"/>
        <v>0</v>
      </c>
      <c r="M46" s="1368">
        <f t="shared" si="14"/>
        <v>0</v>
      </c>
      <c r="N46" s="636"/>
    </row>
    <row r="47" spans="1:14" ht="13.5" thickTop="1">
      <c r="A47" s="1315"/>
      <c r="B47" s="1299"/>
      <c r="C47" s="1299"/>
      <c r="D47" s="1336"/>
      <c r="E47" s="1336"/>
      <c r="F47" s="1336"/>
      <c r="G47" s="1336"/>
      <c r="H47" s="1336"/>
      <c r="I47" s="1336"/>
      <c r="J47" s="1336"/>
      <c r="K47" s="1336"/>
      <c r="L47" s="1336"/>
      <c r="M47" s="1336"/>
      <c r="N47" s="636"/>
    </row>
    <row r="48" spans="1:14" ht="13.5" thickBot="1">
      <c r="A48" s="1315">
        <v>400</v>
      </c>
      <c r="B48" s="1335" t="s">
        <v>2725</v>
      </c>
      <c r="C48" s="1335"/>
      <c r="D48" s="1369">
        <f t="shared" ref="D48:M48" si="15">D28+D46</f>
        <v>0</v>
      </c>
      <c r="E48" s="1369">
        <f t="shared" si="15"/>
        <v>-564818326.83539999</v>
      </c>
      <c r="F48" s="1369">
        <f t="shared" si="15"/>
        <v>116836621</v>
      </c>
      <c r="G48" s="1369">
        <f t="shared" si="15"/>
        <v>-116836621</v>
      </c>
      <c r="H48" s="1369">
        <f t="shared" si="15"/>
        <v>-15908482</v>
      </c>
      <c r="I48" s="1369">
        <f>I28+I46</f>
        <v>45376324</v>
      </c>
      <c r="J48" s="1369">
        <f t="shared" si="15"/>
        <v>-535350484.83539999</v>
      </c>
      <c r="K48" s="1369">
        <f t="shared" si="15"/>
        <v>0</v>
      </c>
      <c r="L48" s="1369">
        <f t="shared" si="15"/>
        <v>101819399</v>
      </c>
      <c r="M48" s="1369">
        <f t="shared" si="15"/>
        <v>-637169883.83539999</v>
      </c>
      <c r="N48" s="636"/>
    </row>
    <row r="49" spans="1:14" ht="14" thickTop="1" thickBot="1">
      <c r="A49" s="1315">
        <v>500</v>
      </c>
      <c r="B49" s="1335" t="s">
        <v>2726</v>
      </c>
      <c r="C49" s="1337"/>
      <c r="D49" s="1299"/>
      <c r="E49" s="1370">
        <f>+E48+D48</f>
        <v>-564818326.83539999</v>
      </c>
      <c r="F49" s="1299"/>
      <c r="G49" s="1299"/>
      <c r="H49" s="1338"/>
      <c r="I49" s="1370">
        <f>+I48+H48</f>
        <v>29467842</v>
      </c>
      <c r="J49" s="1299"/>
      <c r="K49" s="1299"/>
      <c r="L49" s="1299"/>
      <c r="M49" s="1370">
        <f>+M48+L48</f>
        <v>-535350484.83539999</v>
      </c>
      <c r="N49" s="636"/>
    </row>
    <row r="50" spans="1:14" ht="13.5" thickTop="1">
      <c r="A50" s="1315"/>
      <c r="B50" s="1339" t="s">
        <v>230</v>
      </c>
      <c r="C50" s="1340"/>
      <c r="D50" s="1299"/>
      <c r="E50" s="1299"/>
      <c r="F50" s="1299"/>
      <c r="G50" s="1299"/>
      <c r="H50" s="1299"/>
      <c r="I50" s="1299"/>
      <c r="J50" s="1299"/>
      <c r="K50" s="1299"/>
      <c r="L50" s="1299"/>
      <c r="M50" s="1299"/>
      <c r="N50" s="636"/>
    </row>
    <row r="51" spans="1:14" ht="13">
      <c r="A51" s="1315"/>
      <c r="B51" s="1341" t="s">
        <v>2727</v>
      </c>
      <c r="C51" s="1299"/>
      <c r="D51" s="1299"/>
      <c r="E51" s="1299"/>
      <c r="F51" s="1299"/>
      <c r="G51" s="1299"/>
      <c r="H51" s="1299"/>
      <c r="I51" s="1299"/>
      <c r="J51" s="1299"/>
      <c r="K51" s="1299"/>
      <c r="L51" s="1299"/>
      <c r="M51" s="1299"/>
      <c r="N51" s="636"/>
    </row>
    <row r="52" spans="1:14" ht="13">
      <c r="A52" s="1315"/>
      <c r="B52" s="1342" t="s">
        <v>2728</v>
      </c>
      <c r="C52" s="1299"/>
      <c r="D52" s="1299"/>
      <c r="E52" s="1299"/>
      <c r="F52" s="1299"/>
      <c r="G52" s="1299"/>
      <c r="H52" s="1299"/>
      <c r="I52" s="1299"/>
      <c r="J52" s="1299"/>
      <c r="K52" s="1299"/>
      <c r="L52" s="1299"/>
      <c r="M52" s="1299"/>
      <c r="N52" s="636"/>
    </row>
    <row r="53" spans="1:14" ht="13">
      <c r="A53" s="1315"/>
      <c r="B53" s="636"/>
      <c r="C53" s="1343" t="s">
        <v>2729</v>
      </c>
      <c r="D53" s="1344">
        <v>4</v>
      </c>
      <c r="E53" s="1344"/>
      <c r="F53" s="1299"/>
      <c r="G53" s="1299"/>
      <c r="H53" s="1299"/>
      <c r="I53" s="1299"/>
      <c r="J53" s="1299"/>
      <c r="K53" s="1299"/>
      <c r="L53" s="1299"/>
      <c r="M53" s="1299"/>
      <c r="N53" s="636"/>
    </row>
    <row r="54" spans="1:14" ht="13">
      <c r="A54" s="1315"/>
      <c r="B54" s="636"/>
      <c r="C54" s="1343" t="s">
        <v>2730</v>
      </c>
      <c r="D54" s="1345">
        <v>2018</v>
      </c>
      <c r="E54" s="1345"/>
      <c r="F54" s="1299"/>
      <c r="G54" s="1299"/>
      <c r="H54" s="1299"/>
      <c r="I54" s="1299"/>
      <c r="J54" s="1299"/>
      <c r="K54" s="1299"/>
      <c r="L54" s="1299"/>
      <c r="M54" s="1299"/>
      <c r="N54" s="636"/>
    </row>
    <row r="55" spans="1:14" ht="13">
      <c r="A55" s="1315"/>
      <c r="B55" s="1342" t="s">
        <v>2731</v>
      </c>
      <c r="C55" s="1299"/>
      <c r="D55" s="1299"/>
      <c r="E55" s="1299"/>
      <c r="F55" s="1299"/>
      <c r="G55" s="1299"/>
      <c r="H55" s="1299"/>
      <c r="I55" s="1299"/>
      <c r="J55" s="1299"/>
      <c r="K55" s="1299"/>
      <c r="L55" s="1299"/>
      <c r="M55" s="1299"/>
      <c r="N55" s="636"/>
    </row>
    <row r="56" spans="1:14" ht="13">
      <c r="A56" s="1315"/>
      <c r="B56" s="636"/>
      <c r="C56" s="1343" t="s">
        <v>2729</v>
      </c>
      <c r="D56" s="1344"/>
      <c r="E56" s="1344"/>
      <c r="F56" s="1299"/>
      <c r="G56" s="1299"/>
      <c r="H56" s="1299"/>
      <c r="I56" s="1299"/>
      <c r="J56" s="1299"/>
      <c r="K56" s="1299"/>
      <c r="L56" s="1299"/>
      <c r="M56" s="1299"/>
      <c r="N56" s="636"/>
    </row>
    <row r="57" spans="1:14" ht="13">
      <c r="A57" s="1315"/>
      <c r="B57" s="636"/>
      <c r="C57" s="1343" t="s">
        <v>2730</v>
      </c>
      <c r="D57" s="1345"/>
      <c r="E57" s="1345"/>
      <c r="F57" s="1299"/>
      <c r="G57" s="1299"/>
      <c r="H57" s="1299"/>
      <c r="I57" s="1299"/>
      <c r="J57" s="1299"/>
      <c r="K57" s="1299"/>
      <c r="L57" s="1299"/>
      <c r="M57" s="1299"/>
      <c r="N57" s="636"/>
    </row>
    <row r="58" spans="1:14">
      <c r="A58" s="1299"/>
      <c r="B58" s="1342" t="s">
        <v>2732</v>
      </c>
      <c r="C58" s="636"/>
      <c r="D58" s="636"/>
      <c r="E58" s="636"/>
      <c r="F58" s="636"/>
      <c r="G58" s="636"/>
      <c r="H58" s="636"/>
      <c r="I58" s="636"/>
      <c r="J58" s="636"/>
      <c r="K58" s="636"/>
      <c r="L58" s="636"/>
      <c r="M58" s="636"/>
      <c r="N58" s="636"/>
    </row>
    <row r="59" spans="1:14">
      <c r="A59" s="1299"/>
      <c r="B59" s="636"/>
      <c r="C59" s="1343" t="s">
        <v>2729</v>
      </c>
      <c r="D59" s="1344">
        <v>1</v>
      </c>
      <c r="E59" s="1344"/>
      <c r="F59" s="636"/>
      <c r="G59" s="636"/>
      <c r="H59" s="636"/>
      <c r="I59" s="636"/>
      <c r="J59" s="636"/>
      <c r="K59" s="636"/>
      <c r="L59" s="636"/>
      <c r="M59" s="636"/>
      <c r="N59" s="636"/>
    </row>
    <row r="60" spans="1:14">
      <c r="A60" s="1299"/>
      <c r="B60" s="636"/>
      <c r="C60" s="1343" t="s">
        <v>2730</v>
      </c>
      <c r="D60" s="1345">
        <v>2018</v>
      </c>
      <c r="E60" s="1345"/>
      <c r="F60" s="636"/>
      <c r="G60" s="636"/>
      <c r="H60" s="636"/>
      <c r="I60" s="636"/>
      <c r="J60" s="636"/>
      <c r="K60" s="636"/>
      <c r="L60" s="636"/>
      <c r="M60" s="636"/>
      <c r="N60" s="636"/>
    </row>
    <row r="61" spans="1:14">
      <c r="A61" s="636"/>
      <c r="B61" s="1342" t="s">
        <v>2733</v>
      </c>
      <c r="C61" s="636"/>
      <c r="D61" s="636"/>
      <c r="E61" s="636"/>
      <c r="F61" s="636"/>
      <c r="G61" s="636"/>
      <c r="H61" s="636"/>
      <c r="I61" s="636"/>
      <c r="J61" s="636"/>
      <c r="K61" s="636"/>
      <c r="L61" s="636"/>
      <c r="M61" s="636"/>
      <c r="N61" s="636"/>
    </row>
    <row r="62" spans="1:14">
      <c r="A62" s="636"/>
      <c r="B62" s="636"/>
      <c r="C62" s="636"/>
      <c r="D62" s="636"/>
      <c r="E62" s="636"/>
      <c r="F62" s="636"/>
      <c r="G62" s="636"/>
      <c r="H62" s="636"/>
      <c r="I62" s="636"/>
      <c r="J62" s="636"/>
      <c r="K62" s="636"/>
      <c r="L62" s="636"/>
      <c r="M62" s="636"/>
      <c r="N62" s="636"/>
    </row>
    <row r="63" spans="1:14">
      <c r="A63" s="636"/>
      <c r="B63" s="636"/>
      <c r="C63" s="636"/>
      <c r="D63" s="636"/>
      <c r="E63" s="636"/>
      <c r="F63" s="636"/>
      <c r="G63" s="636"/>
      <c r="H63" s="636"/>
      <c r="I63" s="636"/>
      <c r="J63" s="636"/>
      <c r="K63" s="636"/>
      <c r="L63" s="636"/>
      <c r="M63" s="636"/>
      <c r="N63" s="636"/>
    </row>
    <row r="64" spans="1:14">
      <c r="A64" s="636"/>
      <c r="B64" s="636"/>
      <c r="C64" s="636"/>
      <c r="D64" s="636"/>
      <c r="E64" s="636"/>
      <c r="F64" s="636"/>
      <c r="G64" s="636"/>
      <c r="H64" s="636"/>
      <c r="I64" s="636"/>
      <c r="J64" s="636"/>
      <c r="K64" s="636"/>
      <c r="L64" s="636"/>
      <c r="M64" s="636"/>
      <c r="N64" s="636"/>
    </row>
  </sheetData>
  <pageMargins left="0.7" right="0.7" top="0.75" bottom="0.75" header="0.3" footer="0.3"/>
  <pageSetup scale="63" orientation="landscape" r:id="rId1"/>
  <headerFooter>
    <oddHeader>&amp;CSchedule 9-ADIT-2
EDIT&amp;RTO2021 Draft Annual Update 
Attachment 1</oddHeader>
    <oddFooter>&amp;R9-ADIT-2</oddFooter>
  </headerFooter>
  <rowBreaks count="1" manualBreakCount="1">
    <brk id="4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dimension ref="A1:J71"/>
  <sheetViews>
    <sheetView zoomScaleNormal="100" workbookViewId="0"/>
  </sheetViews>
  <sheetFormatPr defaultColWidth="14.54296875" defaultRowHeight="12.5"/>
  <cols>
    <col min="1" max="1" width="5.54296875" style="972" customWidth="1"/>
    <col min="2" max="2" width="37.54296875" style="972" customWidth="1"/>
    <col min="3" max="3" width="6.54296875" style="972" customWidth="1"/>
    <col min="4" max="9" width="15.54296875" style="972" customWidth="1"/>
    <col min="10" max="16384" width="14.54296875" style="972"/>
  </cols>
  <sheetData>
    <row r="1" spans="1:10" ht="14.5">
      <c r="A1" s="1335" t="s">
        <v>2734</v>
      </c>
      <c r="B1" s="1346"/>
      <c r="C1" s="1297"/>
      <c r="D1" s="1297"/>
      <c r="E1" s="1297"/>
      <c r="F1" s="1297"/>
      <c r="G1" s="1297"/>
      <c r="H1" s="1297"/>
      <c r="I1" s="1297"/>
      <c r="J1" s="1298"/>
    </row>
    <row r="2" spans="1:10" ht="14.5">
      <c r="A2" s="1335"/>
      <c r="B2" s="1346"/>
      <c r="C2" s="1297"/>
      <c r="D2" s="1297"/>
      <c r="E2" s="1297"/>
      <c r="F2" s="1297"/>
      <c r="G2" s="1297"/>
      <c r="H2" s="1300" t="s">
        <v>1715</v>
      </c>
      <c r="I2" s="1301">
        <v>2019</v>
      </c>
      <c r="J2" s="1298"/>
    </row>
    <row r="3" spans="1:10" ht="14.5">
      <c r="A3" s="1335"/>
      <c r="B3" s="1346"/>
      <c r="C3" s="1297"/>
      <c r="D3" s="1297"/>
      <c r="E3" s="1297"/>
      <c r="F3" s="1297"/>
      <c r="G3" s="1297"/>
      <c r="H3" s="1300" t="s">
        <v>2735</v>
      </c>
      <c r="I3" s="1347" t="s">
        <v>222</v>
      </c>
      <c r="J3" s="1298"/>
    </row>
    <row r="4" spans="1:10" ht="13">
      <c r="A4" s="1299"/>
      <c r="B4" s="1299"/>
      <c r="C4" s="1299"/>
      <c r="D4" s="1299"/>
      <c r="E4" s="1299"/>
      <c r="F4" s="1299"/>
      <c r="G4" s="1299"/>
      <c r="H4" s="1348" t="s">
        <v>2736</v>
      </c>
      <c r="I4" s="1349"/>
      <c r="J4" s="636"/>
    </row>
    <row r="5" spans="1:10" ht="13">
      <c r="A5" s="1299"/>
      <c r="B5" s="1299"/>
      <c r="C5" s="1299"/>
      <c r="D5" s="1299"/>
      <c r="E5" s="1299"/>
      <c r="F5" s="1299"/>
      <c r="G5" s="1299"/>
      <c r="H5" s="1348"/>
      <c r="I5" s="1348"/>
      <c r="J5" s="636"/>
    </row>
    <row r="6" spans="1:10" ht="13">
      <c r="A6" s="1302"/>
      <c r="B6" s="1303" t="s">
        <v>2672</v>
      </c>
      <c r="C6" s="1303" t="s">
        <v>2673</v>
      </c>
      <c r="D6" s="1303" t="s">
        <v>2674</v>
      </c>
      <c r="E6" s="1303" t="s">
        <v>2675</v>
      </c>
      <c r="F6" s="1303" t="s">
        <v>2676</v>
      </c>
      <c r="G6" s="1303" t="s">
        <v>2677</v>
      </c>
      <c r="H6" s="1303" t="s">
        <v>2678</v>
      </c>
      <c r="I6" s="1303" t="s">
        <v>2679</v>
      </c>
      <c r="J6" s="636"/>
    </row>
    <row r="7" spans="1:10" ht="13" thickBot="1">
      <c r="A7" s="1299"/>
      <c r="B7" s="1302"/>
      <c r="C7" s="1302"/>
      <c r="D7" s="1299"/>
      <c r="E7" s="1299"/>
      <c r="F7" s="1299"/>
      <c r="G7" s="1299"/>
      <c r="H7" s="1299"/>
      <c r="I7" s="1299"/>
      <c r="J7" s="636"/>
    </row>
    <row r="8" spans="1:10" ht="13.5" thickBot="1">
      <c r="A8" s="1299"/>
      <c r="B8" s="1302"/>
      <c r="C8" s="1302"/>
      <c r="D8" s="1464" t="s">
        <v>2737</v>
      </c>
      <c r="E8" s="1465"/>
      <c r="F8" s="1465"/>
      <c r="G8" s="1465"/>
      <c r="H8" s="1465"/>
      <c r="I8" s="1466"/>
      <c r="J8" s="636"/>
    </row>
    <row r="9" spans="1:10" ht="13.5" thickBot="1">
      <c r="A9" s="1299"/>
      <c r="B9" s="1302"/>
      <c r="C9" s="1302"/>
      <c r="D9" s="1350" t="s">
        <v>33</v>
      </c>
      <c r="E9" s="1351" t="s">
        <v>33</v>
      </c>
      <c r="F9" s="1352" t="s">
        <v>2738</v>
      </c>
      <c r="G9" s="1353" t="s">
        <v>2739</v>
      </c>
      <c r="H9" s="1352" t="s">
        <v>2740</v>
      </c>
      <c r="I9" s="1352" t="s">
        <v>2741</v>
      </c>
      <c r="J9" s="636"/>
    </row>
    <row r="10" spans="1:10" ht="52.5" thickBot="1">
      <c r="A10" s="1308" t="s">
        <v>329</v>
      </c>
      <c r="B10" s="1299"/>
      <c r="C10" s="1354" t="s">
        <v>2742</v>
      </c>
      <c r="D10" s="1355" t="s">
        <v>2743</v>
      </c>
      <c r="E10" s="1356" t="s">
        <v>2744</v>
      </c>
      <c r="F10" s="1356" t="s">
        <v>2745</v>
      </c>
      <c r="G10" s="1356" t="s">
        <v>2746</v>
      </c>
      <c r="H10" s="1356" t="s">
        <v>2747</v>
      </c>
      <c r="I10" s="1356" t="s">
        <v>2748</v>
      </c>
      <c r="J10" s="636"/>
    </row>
    <row r="11" spans="1:10" ht="13">
      <c r="A11" s="1315">
        <v>1</v>
      </c>
      <c r="B11" s="1316" t="s">
        <v>2756</v>
      </c>
      <c r="C11" s="1317"/>
      <c r="D11" s="1299"/>
      <c r="E11" s="1299"/>
      <c r="F11" s="1299"/>
      <c r="G11" s="1299"/>
      <c r="H11" s="1299"/>
      <c r="I11" s="1299"/>
      <c r="J11" s="636"/>
    </row>
    <row r="12" spans="1:10" ht="13">
      <c r="A12" s="1315">
        <f t="shared" ref="A12:A16" si="0">+A11+1</f>
        <v>2</v>
      </c>
      <c r="B12" s="1318" t="s">
        <v>2698</v>
      </c>
      <c r="C12" s="1319">
        <v>282</v>
      </c>
      <c r="D12" s="1357"/>
      <c r="E12" s="1320"/>
      <c r="F12" s="1362">
        <f>+D12*$I$4</f>
        <v>0</v>
      </c>
      <c r="G12" s="1362">
        <f>+E12-F12</f>
        <v>0</v>
      </c>
      <c r="H12" s="1362">
        <f>IF($I$3="No", 0,'9-ADIT-2'!J9)</f>
        <v>0</v>
      </c>
      <c r="I12" s="1362">
        <f>+G12-H12</f>
        <v>0</v>
      </c>
      <c r="J12" s="636"/>
    </row>
    <row r="13" spans="1:10" ht="13">
      <c r="A13" s="1315">
        <f t="shared" si="0"/>
        <v>3</v>
      </c>
      <c r="B13" s="1318" t="s">
        <v>2699</v>
      </c>
      <c r="C13" s="1319">
        <v>282</v>
      </c>
      <c r="D13" s="1357"/>
      <c r="E13" s="1320"/>
      <c r="F13" s="1362">
        <f t="shared" ref="F13:F15" si="1">+D13*$I$4</f>
        <v>0</v>
      </c>
      <c r="G13" s="1362">
        <f>+E13-F13</f>
        <v>0</v>
      </c>
      <c r="H13" s="1362">
        <f>IF($I$3="No", 0,'9-ADIT-2'!J10)</f>
        <v>0</v>
      </c>
      <c r="I13" s="1362">
        <f t="shared" ref="I13:I15" si="2">+G13-H13</f>
        <v>0</v>
      </c>
      <c r="J13" s="636"/>
    </row>
    <row r="14" spans="1:10" ht="13">
      <c r="A14" s="1315">
        <f t="shared" si="0"/>
        <v>4</v>
      </c>
      <c r="B14" s="1318" t="s">
        <v>2700</v>
      </c>
      <c r="C14" s="1319">
        <v>282</v>
      </c>
      <c r="D14" s="1357"/>
      <c r="E14" s="1320"/>
      <c r="F14" s="1362">
        <f t="shared" si="1"/>
        <v>0</v>
      </c>
      <c r="G14" s="1362">
        <f>+E14-F14</f>
        <v>0</v>
      </c>
      <c r="H14" s="1362">
        <f>IF($I$3="No", 0,'9-ADIT-2'!J11)</f>
        <v>0</v>
      </c>
      <c r="I14" s="1362">
        <f t="shared" si="2"/>
        <v>0</v>
      </c>
      <c r="J14" s="636"/>
    </row>
    <row r="15" spans="1:10" ht="13">
      <c r="A15" s="1315">
        <f t="shared" si="0"/>
        <v>5</v>
      </c>
      <c r="B15" s="1318" t="s">
        <v>2701</v>
      </c>
      <c r="C15" s="1319">
        <v>190</v>
      </c>
      <c r="D15" s="1357"/>
      <c r="E15" s="1320"/>
      <c r="F15" s="1362">
        <f t="shared" si="1"/>
        <v>0</v>
      </c>
      <c r="G15" s="1362">
        <f>+E15-F15</f>
        <v>0</v>
      </c>
      <c r="H15" s="1362">
        <f>IF($I$3="No", 0,'9-ADIT-2'!J12)</f>
        <v>0</v>
      </c>
      <c r="I15" s="1362">
        <f t="shared" si="2"/>
        <v>0</v>
      </c>
      <c r="J15" s="636"/>
    </row>
    <row r="16" spans="1:10" ht="13">
      <c r="A16" s="1315">
        <f t="shared" si="0"/>
        <v>6</v>
      </c>
      <c r="B16" s="1321" t="s">
        <v>504</v>
      </c>
      <c r="C16" s="1322"/>
      <c r="D16" s="1320"/>
      <c r="E16" s="1320"/>
      <c r="F16" s="1318"/>
      <c r="G16" s="1299"/>
      <c r="H16" s="1318"/>
      <c r="I16" s="1318"/>
      <c r="J16" s="636"/>
    </row>
    <row r="17" spans="1:10" ht="13">
      <c r="A17" s="1323" t="s">
        <v>2702</v>
      </c>
      <c r="B17" s="1318"/>
      <c r="C17" s="1325"/>
      <c r="D17" s="1363">
        <f t="shared" ref="D17:H17" si="3">SUM(D12:D16)</f>
        <v>0</v>
      </c>
      <c r="E17" s="1363">
        <f t="shared" si="3"/>
        <v>0</v>
      </c>
      <c r="F17" s="1363">
        <f t="shared" si="3"/>
        <v>0</v>
      </c>
      <c r="G17" s="1371">
        <f t="shared" si="3"/>
        <v>0</v>
      </c>
      <c r="H17" s="1363">
        <f t="shared" si="3"/>
        <v>0</v>
      </c>
      <c r="I17" s="1363">
        <f>SUM(I12:I16)</f>
        <v>0</v>
      </c>
      <c r="J17" s="636"/>
    </row>
    <row r="18" spans="1:10" ht="13">
      <c r="A18" s="1315"/>
      <c r="B18" s="1318"/>
      <c r="C18" s="1325"/>
      <c r="D18" s="1318"/>
      <c r="E18" s="1318"/>
      <c r="F18" s="1318"/>
      <c r="G18" s="1299"/>
      <c r="H18" s="1318"/>
      <c r="I18" s="1318"/>
      <c r="J18" s="636"/>
    </row>
    <row r="19" spans="1:10" ht="13">
      <c r="A19" s="1315">
        <v>100</v>
      </c>
      <c r="B19" s="1358" t="s">
        <v>2749</v>
      </c>
      <c r="C19" s="1327"/>
      <c r="D19" s="1318"/>
      <c r="E19" s="1318"/>
      <c r="F19" s="1318"/>
      <c r="G19" s="1299"/>
      <c r="H19" s="1318"/>
      <c r="I19" s="1318"/>
      <c r="J19" s="636"/>
    </row>
    <row r="20" spans="1:10" ht="13">
      <c r="A20" s="1315">
        <f t="shared" ref="A20:A48" si="4">+A19+1</f>
        <v>101</v>
      </c>
      <c r="B20" s="1318" t="s">
        <v>2705</v>
      </c>
      <c r="C20" s="1319">
        <v>282</v>
      </c>
      <c r="D20" s="1320"/>
      <c r="E20" s="1320"/>
      <c r="F20" s="1362">
        <f t="shared" ref="F20:F25" si="5">+D20*$I$4</f>
        <v>0</v>
      </c>
      <c r="G20" s="1362">
        <f t="shared" ref="G20:G25" si="6">+E20-F20</f>
        <v>0</v>
      </c>
      <c r="H20" s="1362">
        <f>IF($I$3="No", 0,'9-ADIT-2'!J17)</f>
        <v>0</v>
      </c>
      <c r="I20" s="1362">
        <f t="shared" ref="I20:I25" si="7">+G20-H20</f>
        <v>0</v>
      </c>
      <c r="J20" s="636"/>
    </row>
    <row r="21" spans="1:10" ht="13">
      <c r="A21" s="1315">
        <f t="shared" si="4"/>
        <v>102</v>
      </c>
      <c r="B21" s="1318" t="s">
        <v>2706</v>
      </c>
      <c r="C21" s="1319">
        <v>282</v>
      </c>
      <c r="D21" s="1320"/>
      <c r="E21" s="1320"/>
      <c r="F21" s="1362">
        <f t="shared" si="5"/>
        <v>0</v>
      </c>
      <c r="G21" s="1362">
        <f t="shared" si="6"/>
        <v>0</v>
      </c>
      <c r="H21" s="1362">
        <f>IF($I$3="No", 0,'9-ADIT-2'!J18)</f>
        <v>0</v>
      </c>
      <c r="I21" s="1362">
        <f t="shared" si="7"/>
        <v>0</v>
      </c>
      <c r="J21" s="636"/>
    </row>
    <row r="22" spans="1:10" ht="13">
      <c r="A22" s="1315">
        <f t="shared" si="4"/>
        <v>103</v>
      </c>
      <c r="B22" s="1318" t="s">
        <v>2707</v>
      </c>
      <c r="C22" s="1319">
        <v>282</v>
      </c>
      <c r="D22" s="1320"/>
      <c r="E22" s="1320"/>
      <c r="F22" s="1362">
        <f t="shared" si="5"/>
        <v>0</v>
      </c>
      <c r="G22" s="1362">
        <f t="shared" si="6"/>
        <v>0</v>
      </c>
      <c r="H22" s="1362">
        <f>IF($I$3="No", 0,'9-ADIT-2'!J19)</f>
        <v>0</v>
      </c>
      <c r="I22" s="1362">
        <f t="shared" si="7"/>
        <v>0</v>
      </c>
      <c r="J22" s="636"/>
    </row>
    <row r="23" spans="1:10" ht="13">
      <c r="A23" s="1315">
        <f t="shared" si="4"/>
        <v>104</v>
      </c>
      <c r="B23" s="1318" t="s">
        <v>2708</v>
      </c>
      <c r="C23" s="1319">
        <v>282</v>
      </c>
      <c r="D23" s="1320"/>
      <c r="E23" s="1320"/>
      <c r="F23" s="1362">
        <f t="shared" si="5"/>
        <v>0</v>
      </c>
      <c r="G23" s="1362">
        <f t="shared" si="6"/>
        <v>0</v>
      </c>
      <c r="H23" s="1362">
        <f>IF($I$3="No", 0,'9-ADIT-2'!J20)</f>
        <v>0</v>
      </c>
      <c r="I23" s="1362">
        <f t="shared" si="7"/>
        <v>0</v>
      </c>
      <c r="J23" s="636"/>
    </row>
    <row r="24" spans="1:10" ht="13">
      <c r="A24" s="1315">
        <f t="shared" si="4"/>
        <v>105</v>
      </c>
      <c r="B24" s="1318" t="s">
        <v>2709</v>
      </c>
      <c r="C24" s="1319">
        <v>282</v>
      </c>
      <c r="D24" s="1320"/>
      <c r="E24" s="1320"/>
      <c r="F24" s="1362">
        <f t="shared" si="5"/>
        <v>0</v>
      </c>
      <c r="G24" s="1362">
        <f t="shared" si="6"/>
        <v>0</v>
      </c>
      <c r="H24" s="1362">
        <f>IF($I$3="No", 0,'9-ADIT-2'!J21)</f>
        <v>0</v>
      </c>
      <c r="I24" s="1362">
        <f t="shared" si="7"/>
        <v>0</v>
      </c>
      <c r="J24" s="636"/>
    </row>
    <row r="25" spans="1:10" ht="13">
      <c r="A25" s="1315">
        <f t="shared" si="4"/>
        <v>106</v>
      </c>
      <c r="B25" s="1318" t="s">
        <v>2710</v>
      </c>
      <c r="C25" s="1319">
        <v>190</v>
      </c>
      <c r="D25" s="1320"/>
      <c r="E25" s="1320"/>
      <c r="F25" s="1362">
        <f t="shared" si="5"/>
        <v>0</v>
      </c>
      <c r="G25" s="1362">
        <f t="shared" si="6"/>
        <v>0</v>
      </c>
      <c r="H25" s="1362">
        <f>IF($I$3="No", 0,'9-ADIT-2'!J22)</f>
        <v>0</v>
      </c>
      <c r="I25" s="1362">
        <f t="shared" si="7"/>
        <v>0</v>
      </c>
      <c r="J25" s="636"/>
    </row>
    <row r="26" spans="1:10" ht="13">
      <c r="A26" s="1315">
        <f t="shared" si="4"/>
        <v>107</v>
      </c>
      <c r="B26" s="1321" t="s">
        <v>504</v>
      </c>
      <c r="C26" s="1322"/>
      <c r="D26" s="1320"/>
      <c r="E26" s="1320"/>
      <c r="F26" s="1318"/>
      <c r="G26" s="1318"/>
      <c r="H26" s="1318"/>
      <c r="I26" s="1318"/>
      <c r="J26" s="636"/>
    </row>
    <row r="27" spans="1:10" ht="13">
      <c r="A27" s="1315">
        <v>150</v>
      </c>
      <c r="B27" s="1318"/>
      <c r="C27" s="1325"/>
      <c r="D27" s="1364">
        <f t="shared" ref="D27:I27" si="8">SUM(D20:D26)</f>
        <v>0</v>
      </c>
      <c r="E27" s="1364">
        <f t="shared" si="8"/>
        <v>0</v>
      </c>
      <c r="F27" s="1364">
        <f t="shared" si="8"/>
        <v>0</v>
      </c>
      <c r="G27" s="1364">
        <f t="shared" si="8"/>
        <v>0</v>
      </c>
      <c r="H27" s="1364">
        <f t="shared" si="8"/>
        <v>0</v>
      </c>
      <c r="I27" s="1364">
        <f t="shared" si="8"/>
        <v>0</v>
      </c>
      <c r="J27" s="636"/>
    </row>
    <row r="28" spans="1:10" ht="13">
      <c r="A28" s="1315"/>
      <c r="B28" s="1318"/>
      <c r="C28" s="1325"/>
      <c r="D28" s="228"/>
      <c r="E28" s="1328"/>
      <c r="F28" s="228"/>
      <c r="G28" s="228"/>
      <c r="H28" s="228"/>
      <c r="I28" s="228"/>
      <c r="J28" s="636"/>
    </row>
    <row r="29" spans="1:10" ht="13">
      <c r="A29" s="1315">
        <v>200</v>
      </c>
      <c r="B29" s="1331" t="s">
        <v>2750</v>
      </c>
      <c r="C29" s="1319">
        <v>282</v>
      </c>
      <c r="D29" s="1330"/>
      <c r="E29" s="1330"/>
      <c r="F29" s="1372">
        <f t="shared" ref="F29" si="9">+D29*$I$4</f>
        <v>0</v>
      </c>
      <c r="G29" s="1373">
        <f>+E29-F29</f>
        <v>0</v>
      </c>
      <c r="H29" s="1372">
        <f>IF($I$3="No", 0,'9-ADIT-2'!J26)</f>
        <v>0</v>
      </c>
      <c r="I29" s="1372">
        <f>+G29-H29</f>
        <v>0</v>
      </c>
      <c r="J29" s="636"/>
    </row>
    <row r="30" spans="1:10" ht="13">
      <c r="A30" s="1315"/>
      <c r="B30" s="1318"/>
      <c r="C30" s="1325"/>
      <c r="D30" s="228"/>
      <c r="E30" s="228"/>
      <c r="F30" s="228"/>
      <c r="G30" s="228"/>
      <c r="H30" s="228"/>
      <c r="I30" s="228"/>
      <c r="J30" s="636"/>
    </row>
    <row r="31" spans="1:10" ht="13.5" thickBot="1">
      <c r="A31" s="1315">
        <v>250</v>
      </c>
      <c r="B31" s="1331" t="s">
        <v>2751</v>
      </c>
      <c r="C31" s="1332"/>
      <c r="D31" s="1366">
        <f t="shared" ref="D31:I31" si="10">+D29+D27+D17</f>
        <v>0</v>
      </c>
      <c r="E31" s="1366">
        <f t="shared" si="10"/>
        <v>0</v>
      </c>
      <c r="F31" s="1366">
        <f t="shared" si="10"/>
        <v>0</v>
      </c>
      <c r="G31" s="1366">
        <f t="shared" si="10"/>
        <v>0</v>
      </c>
      <c r="H31" s="1366">
        <f t="shared" si="10"/>
        <v>0</v>
      </c>
      <c r="I31" s="1366">
        <f t="shared" si="10"/>
        <v>0</v>
      </c>
      <c r="J31" s="636"/>
    </row>
    <row r="32" spans="1:10" ht="13.5" thickTop="1">
      <c r="A32" s="1315"/>
      <c r="B32" s="1333"/>
      <c r="C32" s="1334"/>
      <c r="D32" s="1318"/>
      <c r="E32" s="1318"/>
      <c r="F32" s="1318"/>
      <c r="G32" s="1318"/>
      <c r="H32" s="1318"/>
      <c r="I32" s="1318"/>
      <c r="J32" s="636"/>
    </row>
    <row r="33" spans="1:10" ht="13">
      <c r="A33" s="1315">
        <v>300</v>
      </c>
      <c r="B33" s="1358" t="s">
        <v>2752</v>
      </c>
      <c r="C33" s="1327"/>
      <c r="D33" s="1318"/>
      <c r="E33" s="1318"/>
      <c r="F33" s="1318"/>
      <c r="G33" s="1318"/>
      <c r="H33" s="1318"/>
      <c r="I33" s="1318"/>
      <c r="J33" s="636"/>
    </row>
    <row r="34" spans="1:10" ht="13">
      <c r="A34" s="1315">
        <f t="shared" si="4"/>
        <v>301</v>
      </c>
      <c r="B34" s="1318" t="s">
        <v>2570</v>
      </c>
      <c r="C34" s="1319">
        <v>190</v>
      </c>
      <c r="D34" s="1357"/>
      <c r="E34" s="1320"/>
      <c r="F34" s="1362">
        <f t="shared" ref="F34:F47" si="11">+D34*$I$4</f>
        <v>0</v>
      </c>
      <c r="G34" s="1362">
        <f t="shared" ref="G34:G47" si="12">+E34-F34</f>
        <v>0</v>
      </c>
      <c r="H34" s="1362">
        <f>IF($I$3="No", 0,'9-ADIT-2'!J31)</f>
        <v>0</v>
      </c>
      <c r="I34" s="1362">
        <f t="shared" ref="I34:I47" si="13">+G34-H34</f>
        <v>0</v>
      </c>
      <c r="J34" s="636"/>
    </row>
    <row r="35" spans="1:10" ht="13">
      <c r="A35" s="1315">
        <f t="shared" si="4"/>
        <v>302</v>
      </c>
      <c r="B35" s="1318" t="s">
        <v>2571</v>
      </c>
      <c r="C35" s="1319">
        <v>190</v>
      </c>
      <c r="D35" s="1357"/>
      <c r="E35" s="1320"/>
      <c r="F35" s="1362">
        <f t="shared" si="11"/>
        <v>0</v>
      </c>
      <c r="G35" s="1362">
        <f t="shared" si="12"/>
        <v>0</v>
      </c>
      <c r="H35" s="1362">
        <f>IF($I$3="No", 0,'9-ADIT-2'!J32)</f>
        <v>0</v>
      </c>
      <c r="I35" s="1362">
        <f t="shared" si="13"/>
        <v>0</v>
      </c>
      <c r="J35" s="636"/>
    </row>
    <row r="36" spans="1:10" ht="13">
      <c r="A36" s="1315">
        <f t="shared" si="4"/>
        <v>303</v>
      </c>
      <c r="B36" s="1318" t="s">
        <v>2572</v>
      </c>
      <c r="C36" s="1319">
        <v>190</v>
      </c>
      <c r="D36" s="1357"/>
      <c r="E36" s="1320"/>
      <c r="F36" s="1362">
        <f t="shared" si="11"/>
        <v>0</v>
      </c>
      <c r="G36" s="1362">
        <f t="shared" si="12"/>
        <v>0</v>
      </c>
      <c r="H36" s="1362">
        <f>IF($I$3="No", 0,'9-ADIT-2'!J33)</f>
        <v>0</v>
      </c>
      <c r="I36" s="1362">
        <f t="shared" si="13"/>
        <v>0</v>
      </c>
      <c r="J36" s="636"/>
    </row>
    <row r="37" spans="1:10" ht="13">
      <c r="A37" s="1315">
        <f t="shared" si="4"/>
        <v>304</v>
      </c>
      <c r="B37" s="1318" t="s">
        <v>2719</v>
      </c>
      <c r="C37" s="1319">
        <v>190</v>
      </c>
      <c r="D37" s="1357"/>
      <c r="E37" s="1320"/>
      <c r="F37" s="1362">
        <f t="shared" si="11"/>
        <v>0</v>
      </c>
      <c r="G37" s="1362">
        <f t="shared" si="12"/>
        <v>0</v>
      </c>
      <c r="H37" s="1362">
        <f>IF($I$3="No", 0,'9-ADIT-2'!J34)</f>
        <v>0</v>
      </c>
      <c r="I37" s="1362">
        <f t="shared" si="13"/>
        <v>0</v>
      </c>
      <c r="J37" s="636"/>
    </row>
    <row r="38" spans="1:10" ht="13">
      <c r="A38" s="1315">
        <f t="shared" si="4"/>
        <v>305</v>
      </c>
      <c r="B38" s="1318" t="s">
        <v>2720</v>
      </c>
      <c r="C38" s="1319">
        <v>190</v>
      </c>
      <c r="D38" s="1357"/>
      <c r="E38" s="1320"/>
      <c r="F38" s="1362">
        <f t="shared" si="11"/>
        <v>0</v>
      </c>
      <c r="G38" s="1362">
        <f t="shared" si="12"/>
        <v>0</v>
      </c>
      <c r="H38" s="1362">
        <f>IF($I$3="No", 0,'9-ADIT-2'!J35)</f>
        <v>0</v>
      </c>
      <c r="I38" s="1362">
        <f t="shared" si="13"/>
        <v>0</v>
      </c>
      <c r="J38" s="636"/>
    </row>
    <row r="39" spans="1:10" ht="13">
      <c r="A39" s="1315">
        <f t="shared" si="4"/>
        <v>306</v>
      </c>
      <c r="B39" s="1318" t="s">
        <v>2574</v>
      </c>
      <c r="C39" s="1319">
        <v>190</v>
      </c>
      <c r="D39" s="1357"/>
      <c r="E39" s="1320"/>
      <c r="F39" s="1362">
        <f t="shared" si="11"/>
        <v>0</v>
      </c>
      <c r="G39" s="1362">
        <f t="shared" si="12"/>
        <v>0</v>
      </c>
      <c r="H39" s="1362">
        <f>IF($I$3="No", 0,'9-ADIT-2'!J36)</f>
        <v>0</v>
      </c>
      <c r="I39" s="1362">
        <f t="shared" si="13"/>
        <v>0</v>
      </c>
      <c r="J39" s="636"/>
    </row>
    <row r="40" spans="1:10" ht="13">
      <c r="A40" s="1315">
        <f t="shared" si="4"/>
        <v>307</v>
      </c>
      <c r="B40" s="1318" t="s">
        <v>2575</v>
      </c>
      <c r="C40" s="1319">
        <v>190</v>
      </c>
      <c r="D40" s="1357"/>
      <c r="E40" s="1320"/>
      <c r="F40" s="1362">
        <f t="shared" si="11"/>
        <v>0</v>
      </c>
      <c r="G40" s="1362">
        <f t="shared" si="12"/>
        <v>0</v>
      </c>
      <c r="H40" s="1362">
        <f>IF($I$3="No", 0,'9-ADIT-2'!J37)</f>
        <v>0</v>
      </c>
      <c r="I40" s="1362">
        <f t="shared" si="13"/>
        <v>0</v>
      </c>
      <c r="J40" s="636"/>
    </row>
    <row r="41" spans="1:10" ht="13">
      <c r="A41" s="1315">
        <f t="shared" si="4"/>
        <v>308</v>
      </c>
      <c r="B41" s="1318" t="s">
        <v>2721</v>
      </c>
      <c r="C41" s="1319">
        <v>190</v>
      </c>
      <c r="D41" s="1357"/>
      <c r="E41" s="1320"/>
      <c r="F41" s="1362">
        <f t="shared" si="11"/>
        <v>0</v>
      </c>
      <c r="G41" s="1362">
        <f t="shared" si="12"/>
        <v>0</v>
      </c>
      <c r="H41" s="1362">
        <f>IF($I$3="No", 0,'9-ADIT-2'!J38)</f>
        <v>0</v>
      </c>
      <c r="I41" s="1362">
        <f t="shared" si="13"/>
        <v>0</v>
      </c>
      <c r="J41" s="636"/>
    </row>
    <row r="42" spans="1:10" ht="13">
      <c r="A42" s="1315">
        <f t="shared" si="4"/>
        <v>309</v>
      </c>
      <c r="B42" s="1318" t="s">
        <v>2594</v>
      </c>
      <c r="C42" s="1319">
        <v>190</v>
      </c>
      <c r="D42" s="1357"/>
      <c r="E42" s="1320"/>
      <c r="F42" s="1362">
        <f t="shared" si="11"/>
        <v>0</v>
      </c>
      <c r="G42" s="1362">
        <f t="shared" si="12"/>
        <v>0</v>
      </c>
      <c r="H42" s="1362">
        <f>IF($I$3="No", 0,'9-ADIT-2'!J39)</f>
        <v>0</v>
      </c>
      <c r="I42" s="1362">
        <f t="shared" si="13"/>
        <v>0</v>
      </c>
      <c r="J42" s="636"/>
    </row>
    <row r="43" spans="1:10" ht="13">
      <c r="A43" s="1315">
        <f t="shared" si="4"/>
        <v>310</v>
      </c>
      <c r="B43" s="1318" t="s">
        <v>2576</v>
      </c>
      <c r="C43" s="1319">
        <v>190</v>
      </c>
      <c r="D43" s="1357"/>
      <c r="E43" s="1320"/>
      <c r="F43" s="1362">
        <f t="shared" si="11"/>
        <v>0</v>
      </c>
      <c r="G43" s="1362">
        <f t="shared" si="12"/>
        <v>0</v>
      </c>
      <c r="H43" s="1362">
        <f>IF($I$3="No", 0,'9-ADIT-2'!J40)</f>
        <v>0</v>
      </c>
      <c r="I43" s="1362">
        <f t="shared" si="13"/>
        <v>0</v>
      </c>
      <c r="J43" s="636"/>
    </row>
    <row r="44" spans="1:10" ht="13">
      <c r="A44" s="1315">
        <f t="shared" si="4"/>
        <v>311</v>
      </c>
      <c r="B44" s="1318" t="s">
        <v>2579</v>
      </c>
      <c r="C44" s="1319">
        <v>190</v>
      </c>
      <c r="D44" s="1357"/>
      <c r="E44" s="1320"/>
      <c r="F44" s="1362">
        <f t="shared" si="11"/>
        <v>0</v>
      </c>
      <c r="G44" s="1362">
        <f t="shared" si="12"/>
        <v>0</v>
      </c>
      <c r="H44" s="1362">
        <f>IF($I$3="No", 0,'9-ADIT-2'!J41)</f>
        <v>0</v>
      </c>
      <c r="I44" s="1362">
        <f t="shared" si="13"/>
        <v>0</v>
      </c>
      <c r="J44" s="636"/>
    </row>
    <row r="45" spans="1:10" ht="13">
      <c r="A45" s="1315">
        <f t="shared" si="4"/>
        <v>312</v>
      </c>
      <c r="B45" s="1318" t="s">
        <v>2722</v>
      </c>
      <c r="C45" s="1319">
        <v>283</v>
      </c>
      <c r="D45" s="1357"/>
      <c r="E45" s="1320"/>
      <c r="F45" s="1362">
        <f t="shared" si="11"/>
        <v>0</v>
      </c>
      <c r="G45" s="1362">
        <f t="shared" si="12"/>
        <v>0</v>
      </c>
      <c r="H45" s="1362">
        <f>IF($I$3="No", 0,'9-ADIT-2'!J42)</f>
        <v>0</v>
      </c>
      <c r="I45" s="1362">
        <f t="shared" si="13"/>
        <v>0</v>
      </c>
      <c r="J45" s="636"/>
    </row>
    <row r="46" spans="1:10" ht="13">
      <c r="A46" s="1315">
        <f t="shared" si="4"/>
        <v>313</v>
      </c>
      <c r="B46" s="1318" t="s">
        <v>2607</v>
      </c>
      <c r="C46" s="1319">
        <v>283</v>
      </c>
      <c r="D46" s="1357"/>
      <c r="E46" s="1320"/>
      <c r="F46" s="1362">
        <f t="shared" si="11"/>
        <v>0</v>
      </c>
      <c r="G46" s="1362">
        <f t="shared" si="12"/>
        <v>0</v>
      </c>
      <c r="H46" s="1362">
        <f>IF($I$3="No", 0,'9-ADIT-2'!J43)</f>
        <v>0</v>
      </c>
      <c r="I46" s="1362">
        <f t="shared" si="13"/>
        <v>0</v>
      </c>
      <c r="J46" s="636"/>
    </row>
    <row r="47" spans="1:10" ht="13">
      <c r="A47" s="1315">
        <f t="shared" si="4"/>
        <v>314</v>
      </c>
      <c r="B47" s="1318" t="s">
        <v>2608</v>
      </c>
      <c r="C47" s="1319">
        <v>283</v>
      </c>
      <c r="D47" s="1357"/>
      <c r="E47" s="1320"/>
      <c r="F47" s="1362">
        <f t="shared" si="11"/>
        <v>0</v>
      </c>
      <c r="G47" s="1362">
        <f t="shared" si="12"/>
        <v>0</v>
      </c>
      <c r="H47" s="1362">
        <f>IF($I$3="No", 0,'9-ADIT-2'!J44)</f>
        <v>0</v>
      </c>
      <c r="I47" s="1362">
        <f t="shared" si="13"/>
        <v>0</v>
      </c>
      <c r="J47" s="636"/>
    </row>
    <row r="48" spans="1:10" ht="13">
      <c r="A48" s="1315">
        <f t="shared" si="4"/>
        <v>315</v>
      </c>
      <c r="B48" s="1321" t="s">
        <v>504</v>
      </c>
      <c r="C48" s="1320"/>
      <c r="D48" s="1320"/>
      <c r="E48" s="1320"/>
      <c r="F48" s="1318"/>
      <c r="G48" s="1318"/>
      <c r="H48" s="1299"/>
      <c r="I48" s="1299"/>
      <c r="J48" s="636"/>
    </row>
    <row r="49" spans="1:10" ht="13.5" thickBot="1">
      <c r="A49" s="1315">
        <v>350</v>
      </c>
      <c r="B49" s="1335" t="s">
        <v>2753</v>
      </c>
      <c r="C49" s="1335"/>
      <c r="D49" s="1368">
        <f t="shared" ref="D49:I49" si="14">SUM(D34:D48)</f>
        <v>0</v>
      </c>
      <c r="E49" s="1368">
        <f t="shared" si="14"/>
        <v>0</v>
      </c>
      <c r="F49" s="1368">
        <f t="shared" si="14"/>
        <v>0</v>
      </c>
      <c r="G49" s="1368">
        <f t="shared" si="14"/>
        <v>0</v>
      </c>
      <c r="H49" s="1368">
        <f t="shared" si="14"/>
        <v>0</v>
      </c>
      <c r="I49" s="1368">
        <f t="shared" si="14"/>
        <v>0</v>
      </c>
      <c r="J49" s="636"/>
    </row>
    <row r="50" spans="1:10" ht="13.5" thickTop="1">
      <c r="A50" s="1315"/>
      <c r="B50" s="1299"/>
      <c r="C50" s="1299"/>
      <c r="D50" s="1336"/>
      <c r="E50" s="1336"/>
      <c r="F50" s="1336"/>
      <c r="G50" s="1336"/>
      <c r="H50" s="1336"/>
      <c r="I50" s="1336"/>
      <c r="J50" s="636"/>
    </row>
    <row r="51" spans="1:10" ht="13.5" thickBot="1">
      <c r="A51" s="1315">
        <v>400</v>
      </c>
      <c r="B51" s="1335" t="s">
        <v>2725</v>
      </c>
      <c r="C51" s="1335"/>
      <c r="D51" s="1369">
        <f t="shared" ref="D51:I51" si="15">D31+D49</f>
        <v>0</v>
      </c>
      <c r="E51" s="1369">
        <f t="shared" si="15"/>
        <v>0</v>
      </c>
      <c r="F51" s="1369">
        <f t="shared" si="15"/>
        <v>0</v>
      </c>
      <c r="G51" s="1369">
        <f t="shared" si="15"/>
        <v>0</v>
      </c>
      <c r="H51" s="1369">
        <f t="shared" si="15"/>
        <v>0</v>
      </c>
      <c r="I51" s="1369">
        <f t="shared" si="15"/>
        <v>0</v>
      </c>
      <c r="J51" s="636"/>
    </row>
    <row r="52" spans="1:10" ht="13.5" thickTop="1">
      <c r="A52" s="1315"/>
      <c r="B52" s="1337"/>
      <c r="C52" s="1337"/>
      <c r="D52" s="1299"/>
      <c r="E52" s="1299"/>
      <c r="F52" s="1299"/>
      <c r="G52" s="1299"/>
      <c r="H52" s="1299"/>
      <c r="I52" s="1299"/>
      <c r="J52" s="636"/>
    </row>
    <row r="53" spans="1:10" ht="13">
      <c r="A53" s="1315"/>
      <c r="B53" s="1339" t="s">
        <v>377</v>
      </c>
      <c r="C53" s="1337"/>
      <c r="D53" s="1299"/>
      <c r="E53" s="1299"/>
      <c r="F53" s="1299"/>
      <c r="G53" s="1299"/>
      <c r="H53" s="1299"/>
      <c r="I53" s="1299"/>
      <c r="J53" s="636"/>
    </row>
    <row r="54" spans="1:10" ht="16">
      <c r="A54" s="1315"/>
      <c r="B54" s="1359" t="s">
        <v>2754</v>
      </c>
      <c r="C54" s="1337"/>
      <c r="D54" s="1299"/>
      <c r="E54" s="1299"/>
      <c r="F54" s="1299"/>
      <c r="G54" s="1299"/>
      <c r="H54" s="1299"/>
      <c r="I54" s="1299"/>
      <c r="J54" s="636"/>
    </row>
    <row r="55" spans="1:10" ht="13">
      <c r="A55" s="1315"/>
      <c r="B55" s="1342" t="s">
        <v>2755</v>
      </c>
      <c r="C55" s="1337"/>
      <c r="D55" s="1299"/>
      <c r="E55" s="1299"/>
      <c r="F55" s="1299"/>
      <c r="G55" s="1299"/>
      <c r="H55" s="1299"/>
      <c r="I55" s="1299"/>
      <c r="J55" s="636"/>
    </row>
    <row r="56" spans="1:10" ht="13">
      <c r="A56" s="1315"/>
      <c r="B56" s="1339"/>
      <c r="C56" s="1340"/>
      <c r="D56" s="1299"/>
      <c r="E56" s="1299"/>
      <c r="F56" s="1299"/>
      <c r="G56" s="1299"/>
      <c r="H56" s="1299"/>
      <c r="I56" s="1299"/>
      <c r="J56" s="636"/>
    </row>
    <row r="57" spans="1:10" ht="13">
      <c r="A57" s="1315"/>
      <c r="B57" s="1342"/>
      <c r="C57" s="1299"/>
      <c r="D57" s="1299"/>
      <c r="E57" s="1299"/>
      <c r="F57" s="1299"/>
      <c r="G57" s="1299"/>
      <c r="H57" s="1299"/>
      <c r="I57" s="1299"/>
      <c r="J57" s="636"/>
    </row>
    <row r="58" spans="1:10" ht="13">
      <c r="A58" s="1315"/>
      <c r="B58" s="1342"/>
      <c r="C58" s="1299"/>
      <c r="D58" s="1299"/>
      <c r="E58" s="1299"/>
      <c r="F58" s="1299"/>
      <c r="G58" s="1299"/>
      <c r="H58" s="1299"/>
      <c r="I58" s="1299"/>
      <c r="J58" s="636"/>
    </row>
    <row r="59" spans="1:10" ht="13">
      <c r="A59" s="1315"/>
      <c r="B59" s="636"/>
      <c r="C59" s="1343"/>
      <c r="D59" s="1299"/>
      <c r="E59" s="1299"/>
      <c r="F59" s="1299"/>
      <c r="G59" s="1299"/>
      <c r="H59" s="1299"/>
      <c r="I59" s="1299"/>
      <c r="J59" s="636"/>
    </row>
    <row r="60" spans="1:10" ht="13">
      <c r="A60" s="1315"/>
      <c r="B60" s="636"/>
      <c r="C60" s="1343"/>
      <c r="D60" s="1299"/>
      <c r="E60" s="1299"/>
      <c r="F60" s="1299"/>
      <c r="G60" s="1299"/>
      <c r="H60" s="1299"/>
      <c r="I60" s="1299"/>
      <c r="J60" s="636"/>
    </row>
    <row r="61" spans="1:10" ht="13">
      <c r="A61" s="1315"/>
      <c r="B61" s="1342"/>
      <c r="C61" s="1299"/>
      <c r="D61" s="1299"/>
      <c r="E61" s="1299"/>
      <c r="F61" s="1299"/>
      <c r="G61" s="1299"/>
      <c r="H61" s="1299"/>
      <c r="I61" s="1299"/>
      <c r="J61" s="636"/>
    </row>
    <row r="62" spans="1:10" ht="13">
      <c r="A62" s="1315"/>
      <c r="B62" s="636"/>
      <c r="C62" s="1343"/>
      <c r="D62" s="1299"/>
      <c r="E62" s="1299"/>
      <c r="F62" s="1299"/>
      <c r="G62" s="1299"/>
      <c r="H62" s="1299"/>
      <c r="I62" s="1299"/>
      <c r="J62" s="636"/>
    </row>
    <row r="63" spans="1:10" ht="13">
      <c r="A63" s="1315"/>
      <c r="B63" s="636"/>
      <c r="C63" s="1343"/>
      <c r="D63" s="1299"/>
      <c r="E63" s="1299"/>
      <c r="F63" s="1299"/>
      <c r="G63" s="1299"/>
      <c r="H63" s="1299"/>
      <c r="I63" s="1299"/>
      <c r="J63" s="636"/>
    </row>
    <row r="64" spans="1:10" ht="13">
      <c r="A64" s="1315"/>
      <c r="B64" s="1342"/>
      <c r="C64" s="636"/>
      <c r="D64" s="1299"/>
      <c r="E64" s="636"/>
      <c r="F64" s="636"/>
      <c r="G64" s="636"/>
      <c r="H64" s="1299"/>
      <c r="I64" s="1299"/>
      <c r="J64" s="636"/>
    </row>
    <row r="65" spans="1:10">
      <c r="A65" s="636"/>
      <c r="B65" s="636"/>
      <c r="C65" s="1343"/>
      <c r="D65" s="1299"/>
      <c r="E65" s="636"/>
      <c r="F65" s="636"/>
      <c r="G65" s="636"/>
      <c r="H65" s="636"/>
      <c r="I65" s="636"/>
      <c r="J65" s="636"/>
    </row>
    <row r="66" spans="1:10">
      <c r="A66" s="636"/>
      <c r="B66" s="636"/>
      <c r="C66" s="1343"/>
      <c r="D66" s="1299"/>
      <c r="E66" s="636"/>
      <c r="F66" s="636"/>
      <c r="G66" s="636"/>
      <c r="H66" s="636"/>
      <c r="I66" s="636"/>
      <c r="J66" s="636"/>
    </row>
    <row r="67" spans="1:10">
      <c r="A67" s="636"/>
      <c r="B67" s="1342"/>
      <c r="C67" s="636"/>
      <c r="D67" s="1299"/>
      <c r="E67" s="636"/>
      <c r="F67" s="636"/>
      <c r="G67" s="636"/>
      <c r="H67" s="636"/>
      <c r="I67" s="636"/>
      <c r="J67" s="636"/>
    </row>
    <row r="68" spans="1:10">
      <c r="A68" s="636"/>
      <c r="B68" s="636"/>
      <c r="C68" s="636"/>
      <c r="D68" s="636"/>
      <c r="E68" s="636"/>
      <c r="F68" s="636"/>
      <c r="G68" s="636"/>
      <c r="H68" s="636"/>
      <c r="I68" s="636"/>
      <c r="J68" s="636"/>
    </row>
    <row r="69" spans="1:10">
      <c r="A69" s="636"/>
      <c r="B69" s="636"/>
      <c r="C69" s="636"/>
      <c r="D69" s="636"/>
      <c r="E69" s="636"/>
      <c r="F69" s="636"/>
      <c r="G69" s="636"/>
      <c r="H69" s="636"/>
      <c r="I69" s="636"/>
      <c r="J69" s="636"/>
    </row>
    <row r="70" spans="1:10">
      <c r="A70" s="636"/>
      <c r="B70" s="636"/>
      <c r="C70" s="636"/>
      <c r="D70" s="636"/>
      <c r="E70" s="636"/>
      <c r="F70" s="636"/>
      <c r="G70" s="636"/>
      <c r="H70" s="636"/>
      <c r="I70" s="636"/>
      <c r="J70" s="636"/>
    </row>
    <row r="71" spans="1:10">
      <c r="A71" s="636"/>
      <c r="B71" s="636"/>
      <c r="C71" s="636"/>
      <c r="D71" s="636"/>
      <c r="E71" s="636"/>
      <c r="F71" s="636"/>
      <c r="G71" s="636"/>
      <c r="H71" s="636"/>
      <c r="I71" s="636"/>
      <c r="J71" s="636"/>
    </row>
  </sheetData>
  <mergeCells count="1">
    <mergeCell ref="D8:I8"/>
  </mergeCells>
  <pageMargins left="0.7" right="0.7" top="0.75" bottom="0.75" header="0.3" footer="0.3"/>
  <pageSetup scale="63" orientation="landscape" r:id="rId1"/>
  <headerFooter>
    <oddHeader>&amp;CSchedule 9-ADIT-3
EDIT - Tax Rate Change&amp;RTO2021 Draft Annual Update 
Attachment 1</oddHeader>
    <oddFooter>&amp;R9-ADIT-3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52"/>
  <sheetViews>
    <sheetView zoomScale="70" zoomScaleNormal="70" zoomScalePageLayoutView="70" workbookViewId="0"/>
  </sheetViews>
  <sheetFormatPr defaultRowHeight="12.5"/>
  <cols>
    <col min="1" max="1" width="4.54296875" style="14"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3.54296875" bestFit="1" customWidth="1"/>
    <col min="9" max="9" width="17.453125" customWidth="1"/>
    <col min="10" max="10" width="15.453125" customWidth="1"/>
    <col min="11" max="11" width="17.453125" customWidth="1"/>
    <col min="12" max="12" width="14.54296875" style="14" bestFit="1" customWidth="1"/>
    <col min="13" max="13" width="13.453125" bestFit="1" customWidth="1"/>
  </cols>
  <sheetData>
    <row r="1" spans="1:12" ht="13">
      <c r="A1" s="44" t="s">
        <v>533</v>
      </c>
      <c r="K1" s="1"/>
    </row>
    <row r="2" spans="1:12" ht="13">
      <c r="A2" s="44"/>
      <c r="K2" s="1"/>
    </row>
    <row r="3" spans="1:12" ht="13">
      <c r="A3" s="44"/>
      <c r="B3" s="467" t="s">
        <v>950</v>
      </c>
      <c r="K3" s="1"/>
    </row>
    <row r="4" spans="1:12" ht="13">
      <c r="B4" s="467" t="s">
        <v>537</v>
      </c>
      <c r="K4" s="1"/>
      <c r="L4" s="469"/>
    </row>
    <row r="5" spans="1:12" ht="13">
      <c r="B5" s="467"/>
      <c r="K5" s="1"/>
    </row>
    <row r="6" spans="1:12" ht="13">
      <c r="A6" s="469"/>
      <c r="B6" s="1" t="s">
        <v>1221</v>
      </c>
      <c r="E6" s="68" t="s">
        <v>2537</v>
      </c>
      <c r="F6" s="515" t="s">
        <v>2818</v>
      </c>
      <c r="G6" s="97"/>
      <c r="K6" s="1"/>
    </row>
    <row r="7" spans="1:12" ht="13">
      <c r="A7" s="469"/>
      <c r="B7" s="1266"/>
      <c r="D7" s="84" t="s">
        <v>358</v>
      </c>
      <c r="E7" s="84" t="s">
        <v>342</v>
      </c>
      <c r="F7" s="84" t="s">
        <v>343</v>
      </c>
      <c r="G7" s="84" t="s">
        <v>344</v>
      </c>
      <c r="H7" s="84" t="s">
        <v>345</v>
      </c>
      <c r="I7" s="84" t="s">
        <v>346</v>
      </c>
      <c r="J7" s="352"/>
      <c r="K7" s="1"/>
      <c r="L7" s="352"/>
    </row>
    <row r="8" spans="1:12">
      <c r="D8" s="1168" t="s">
        <v>981</v>
      </c>
      <c r="J8" s="14"/>
      <c r="K8" s="14"/>
    </row>
    <row r="9" spans="1:12">
      <c r="D9" s="845" t="s">
        <v>540</v>
      </c>
      <c r="J9" s="14"/>
      <c r="K9" s="14"/>
    </row>
    <row r="10" spans="1:12" ht="13">
      <c r="B10" s="553"/>
      <c r="J10" s="14"/>
      <c r="K10" s="14"/>
    </row>
    <row r="11" spans="1:12" ht="13">
      <c r="B11" s="553"/>
      <c r="D11" s="553" t="s">
        <v>19</v>
      </c>
      <c r="F11" s="553" t="s">
        <v>340</v>
      </c>
      <c r="G11" s="353" t="s">
        <v>988</v>
      </c>
      <c r="H11" s="353" t="s">
        <v>989</v>
      </c>
      <c r="I11" s="553"/>
      <c r="J11" s="110"/>
      <c r="K11" s="467"/>
    </row>
    <row r="12" spans="1:12" ht="13">
      <c r="A12" s="840" t="s">
        <v>329</v>
      </c>
      <c r="B12" s="611" t="s">
        <v>192</v>
      </c>
      <c r="C12" s="611" t="s">
        <v>193</v>
      </c>
      <c r="D12" s="3" t="s">
        <v>535</v>
      </c>
      <c r="E12" s="3" t="s">
        <v>223</v>
      </c>
      <c r="F12" s="3" t="s">
        <v>341</v>
      </c>
      <c r="G12" s="354" t="s">
        <v>987</v>
      </c>
      <c r="H12" s="354" t="s">
        <v>990</v>
      </c>
      <c r="I12" s="3" t="s">
        <v>538</v>
      </c>
      <c r="J12" s="123"/>
      <c r="K12" s="467"/>
    </row>
    <row r="13" spans="1:12" ht="13">
      <c r="A13" s="110">
        <v>1</v>
      </c>
      <c r="B13" s="612" t="s">
        <v>180</v>
      </c>
      <c r="C13" s="613">
        <v>2018</v>
      </c>
      <c r="D13" s="7">
        <f t="shared" ref="D13:D25" si="0">SUM(E13:I13)+SUM(D33:H33)</f>
        <v>442100547.47999996</v>
      </c>
      <c r="E13" s="514">
        <v>156282.26999999999</v>
      </c>
      <c r="F13" s="995">
        <v>0</v>
      </c>
      <c r="G13" s="995">
        <v>5220451.6500000004</v>
      </c>
      <c r="H13" s="995">
        <v>228226372.41</v>
      </c>
      <c r="I13" s="995">
        <v>0</v>
      </c>
      <c r="J13" s="614"/>
    </row>
    <row r="14" spans="1:12" ht="13">
      <c r="A14" s="110">
        <f>A13+1</f>
        <v>2</v>
      </c>
      <c r="B14" s="612" t="s">
        <v>181</v>
      </c>
      <c r="C14" s="613">
        <v>2019</v>
      </c>
      <c r="D14" s="7">
        <f t="shared" si="0"/>
        <v>471993864.61000001</v>
      </c>
      <c r="E14" s="514">
        <v>156282.26999999999</v>
      </c>
      <c r="F14" s="995">
        <v>0</v>
      </c>
      <c r="G14" s="995">
        <v>5266927.67</v>
      </c>
      <c r="H14" s="995">
        <v>253402514.80000001</v>
      </c>
      <c r="I14" s="995">
        <v>0</v>
      </c>
      <c r="J14" s="614"/>
    </row>
    <row r="15" spans="1:12" ht="13">
      <c r="A15" s="110">
        <f t="shared" ref="A15:A26" si="1">A14+1</f>
        <v>3</v>
      </c>
      <c r="B15" s="615" t="s">
        <v>182</v>
      </c>
      <c r="C15" s="613">
        <v>2019</v>
      </c>
      <c r="D15" s="7">
        <f t="shared" si="0"/>
        <v>487036931.56999999</v>
      </c>
      <c r="E15" s="514">
        <v>156282.26999999999</v>
      </c>
      <c r="F15" s="995">
        <v>0</v>
      </c>
      <c r="G15" s="995">
        <v>5319581.3099999996</v>
      </c>
      <c r="H15" s="995">
        <v>266659186.94999999</v>
      </c>
      <c r="I15" s="995">
        <v>0</v>
      </c>
      <c r="J15" s="614"/>
    </row>
    <row r="16" spans="1:12" ht="13">
      <c r="A16" s="110">
        <f t="shared" si="1"/>
        <v>4</v>
      </c>
      <c r="B16" s="615" t="s">
        <v>195</v>
      </c>
      <c r="C16" s="613">
        <v>2019</v>
      </c>
      <c r="D16" s="7">
        <f t="shared" si="0"/>
        <v>511148945.84000003</v>
      </c>
      <c r="E16" s="514">
        <v>156282.26999999999</v>
      </c>
      <c r="F16" s="995">
        <v>0</v>
      </c>
      <c r="G16" s="995">
        <v>5345711.95</v>
      </c>
      <c r="H16" s="995">
        <v>288804117.97000003</v>
      </c>
      <c r="I16" s="995">
        <v>0</v>
      </c>
      <c r="J16" s="614"/>
    </row>
    <row r="17" spans="1:11" ht="13">
      <c r="A17" s="110">
        <f t="shared" si="1"/>
        <v>5</v>
      </c>
      <c r="B17" s="612" t="s">
        <v>183</v>
      </c>
      <c r="C17" s="613">
        <v>2019</v>
      </c>
      <c r="D17" s="7">
        <f t="shared" si="0"/>
        <v>552166229.48000002</v>
      </c>
      <c r="E17" s="514">
        <v>156915.20000000001</v>
      </c>
      <c r="F17" s="995">
        <v>0</v>
      </c>
      <c r="G17" s="995">
        <v>5406473.5</v>
      </c>
      <c r="H17" s="995">
        <v>317592590.81</v>
      </c>
      <c r="I17" s="995">
        <v>0</v>
      </c>
      <c r="J17" s="614"/>
    </row>
    <row r="18" spans="1:11" ht="13">
      <c r="A18" s="110">
        <f t="shared" si="1"/>
        <v>6</v>
      </c>
      <c r="B18" s="615" t="s">
        <v>184</v>
      </c>
      <c r="C18" s="613">
        <v>2019</v>
      </c>
      <c r="D18" s="7">
        <f t="shared" si="0"/>
        <v>585881947.30999994</v>
      </c>
      <c r="E18" s="514">
        <v>156915.20000000001</v>
      </c>
      <c r="F18" s="995">
        <v>0</v>
      </c>
      <c r="G18" s="995">
        <v>5496940.6399999997</v>
      </c>
      <c r="H18" s="995">
        <v>340944316.75999999</v>
      </c>
      <c r="I18" s="995">
        <v>0</v>
      </c>
      <c r="J18" s="614"/>
    </row>
    <row r="19" spans="1:11" ht="13">
      <c r="A19" s="110">
        <f t="shared" si="1"/>
        <v>7</v>
      </c>
      <c r="B19" s="615" t="s">
        <v>185</v>
      </c>
      <c r="C19" s="613">
        <v>2019</v>
      </c>
      <c r="D19" s="7">
        <f t="shared" si="0"/>
        <v>620843167.20000005</v>
      </c>
      <c r="E19" s="514">
        <v>156915.20000000001</v>
      </c>
      <c r="F19" s="995">
        <v>0</v>
      </c>
      <c r="G19" s="995">
        <v>5505966.71</v>
      </c>
      <c r="H19" s="995">
        <v>363648418.18000001</v>
      </c>
      <c r="I19" s="995">
        <v>0</v>
      </c>
      <c r="J19" s="614"/>
    </row>
    <row r="20" spans="1:11" ht="13">
      <c r="A20" s="110">
        <f t="shared" si="1"/>
        <v>8</v>
      </c>
      <c r="B20" s="612" t="s">
        <v>186</v>
      </c>
      <c r="C20" s="613">
        <v>2019</v>
      </c>
      <c r="D20" s="7">
        <f t="shared" si="0"/>
        <v>643654438.57000005</v>
      </c>
      <c r="E20" s="514">
        <v>156915.20000000001</v>
      </c>
      <c r="F20" s="995">
        <v>0</v>
      </c>
      <c r="G20" s="995">
        <v>5545240.5199999996</v>
      </c>
      <c r="H20" s="995">
        <v>382091968.81</v>
      </c>
      <c r="I20" s="995">
        <v>0</v>
      </c>
      <c r="J20" s="614"/>
    </row>
    <row r="21" spans="1:11" ht="13">
      <c r="A21" s="110">
        <f t="shared" si="1"/>
        <v>9</v>
      </c>
      <c r="B21" s="615" t="s">
        <v>187</v>
      </c>
      <c r="C21" s="613">
        <v>2019</v>
      </c>
      <c r="D21" s="7">
        <f t="shared" si="0"/>
        <v>666281309.95000005</v>
      </c>
      <c r="E21" s="514">
        <v>156915.20000000001</v>
      </c>
      <c r="F21" s="995">
        <v>0</v>
      </c>
      <c r="G21" s="995">
        <v>5551731.0199999996</v>
      </c>
      <c r="H21" s="995">
        <v>399965932.72000003</v>
      </c>
      <c r="I21" s="995">
        <v>0</v>
      </c>
      <c r="J21" s="614"/>
    </row>
    <row r="22" spans="1:11" ht="13">
      <c r="A22" s="110">
        <f t="shared" si="1"/>
        <v>10</v>
      </c>
      <c r="B22" s="615" t="s">
        <v>188</v>
      </c>
      <c r="C22" s="613">
        <v>2019</v>
      </c>
      <c r="D22" s="7">
        <f t="shared" si="0"/>
        <v>704268383.76999998</v>
      </c>
      <c r="E22" s="514">
        <v>156915.20000000001</v>
      </c>
      <c r="F22" s="995">
        <v>0</v>
      </c>
      <c r="G22" s="995">
        <v>5551681.7000000002</v>
      </c>
      <c r="H22" s="995">
        <v>420281394.63</v>
      </c>
      <c r="I22" s="995">
        <v>0</v>
      </c>
      <c r="J22" s="614"/>
    </row>
    <row r="23" spans="1:11" ht="13">
      <c r="A23" s="110">
        <f t="shared" si="1"/>
        <v>11</v>
      </c>
      <c r="B23" s="612" t="s">
        <v>189</v>
      </c>
      <c r="C23" s="613">
        <v>2019</v>
      </c>
      <c r="D23" s="7">
        <f t="shared" si="0"/>
        <v>733994448.29999995</v>
      </c>
      <c r="E23" s="514">
        <v>156915.20000000001</v>
      </c>
      <c r="F23" s="995">
        <v>0</v>
      </c>
      <c r="G23" s="995">
        <v>5553946.6500000004</v>
      </c>
      <c r="H23" s="995">
        <v>441271639.44</v>
      </c>
      <c r="I23" s="995">
        <v>0</v>
      </c>
      <c r="J23" s="614"/>
    </row>
    <row r="24" spans="1:11" ht="13">
      <c r="A24" s="110">
        <f t="shared" si="1"/>
        <v>12</v>
      </c>
      <c r="B24" s="612" t="s">
        <v>190</v>
      </c>
      <c r="C24" s="613">
        <v>2019</v>
      </c>
      <c r="D24" s="7">
        <f t="shared" si="0"/>
        <v>752405425.68000007</v>
      </c>
      <c r="E24" s="514">
        <v>156915.20000000001</v>
      </c>
      <c r="F24" s="995">
        <v>0</v>
      </c>
      <c r="G24" s="995">
        <v>5555762.8799999999</v>
      </c>
      <c r="H24" s="995">
        <v>451949884.19</v>
      </c>
      <c r="I24" s="995">
        <v>0</v>
      </c>
      <c r="J24" s="614"/>
    </row>
    <row r="25" spans="1:11" ht="13">
      <c r="A25" s="110">
        <f t="shared" si="1"/>
        <v>13</v>
      </c>
      <c r="B25" s="612" t="s">
        <v>180</v>
      </c>
      <c r="C25" s="613">
        <v>2019</v>
      </c>
      <c r="D25" s="91">
        <f t="shared" si="0"/>
        <v>647481518.01999998</v>
      </c>
      <c r="E25" s="399">
        <v>157682.99</v>
      </c>
      <c r="F25" s="116">
        <v>0</v>
      </c>
      <c r="G25" s="116">
        <v>5584199.04</v>
      </c>
      <c r="H25" s="116">
        <v>468121962.68000001</v>
      </c>
      <c r="I25" s="116">
        <v>0</v>
      </c>
      <c r="J25" s="614"/>
    </row>
    <row r="26" spans="1:11" ht="13">
      <c r="A26" s="110">
        <f t="shared" si="1"/>
        <v>14</v>
      </c>
      <c r="B26" s="1169"/>
      <c r="C26" s="616" t="s">
        <v>536</v>
      </c>
      <c r="D26" s="512">
        <f t="shared" ref="D26:I26" si="2">SUM(D13:D25)/13</f>
        <v>601481319.82923067</v>
      </c>
      <c r="E26" s="512">
        <f t="shared" si="2"/>
        <v>156779.51307692306</v>
      </c>
      <c r="F26" s="512">
        <f t="shared" si="2"/>
        <v>0</v>
      </c>
      <c r="G26" s="512">
        <f t="shared" si="2"/>
        <v>5454201.1723076934</v>
      </c>
      <c r="H26" s="512">
        <f t="shared" si="2"/>
        <v>355612330.7961539</v>
      </c>
      <c r="I26" s="512">
        <f t="shared" si="2"/>
        <v>0</v>
      </c>
      <c r="J26" s="614"/>
      <c r="K26" s="614"/>
    </row>
    <row r="27" spans="1:11" ht="13">
      <c r="A27" s="110"/>
      <c r="B27" s="612"/>
      <c r="C27" s="616"/>
      <c r="D27" s="512"/>
      <c r="E27" s="512"/>
      <c r="F27" s="512"/>
      <c r="G27" s="512"/>
      <c r="H27" s="512"/>
      <c r="I27" s="614"/>
      <c r="J27" s="471"/>
      <c r="K27" s="614"/>
    </row>
    <row r="28" spans="1:11" ht="13">
      <c r="A28" s="110"/>
      <c r="B28" s="612"/>
      <c r="C28" s="616"/>
      <c r="D28" s="84" t="s">
        <v>347</v>
      </c>
      <c r="E28" s="84" t="s">
        <v>534</v>
      </c>
      <c r="F28" s="84" t="s">
        <v>951</v>
      </c>
      <c r="G28" s="84" t="s">
        <v>963</v>
      </c>
      <c r="H28" s="84" t="s">
        <v>966</v>
      </c>
      <c r="I28" s="84" t="s">
        <v>984</v>
      </c>
      <c r="J28" s="471"/>
      <c r="K28" s="614"/>
    </row>
    <row r="29" spans="1:11" ht="13">
      <c r="A29" s="110"/>
      <c r="B29" s="612"/>
      <c r="C29" s="616"/>
      <c r="E29" s="353" t="s">
        <v>985</v>
      </c>
      <c r="F29" s="353"/>
      <c r="G29" s="353"/>
      <c r="H29" s="512"/>
      <c r="I29" s="614"/>
      <c r="J29" s="471"/>
      <c r="K29" s="614"/>
    </row>
    <row r="30" spans="1:11" ht="13">
      <c r="B30" s="553"/>
      <c r="D30" s="553" t="s">
        <v>982</v>
      </c>
      <c r="E30" s="553" t="s">
        <v>986</v>
      </c>
      <c r="F30" s="1379"/>
      <c r="G30" s="1379"/>
      <c r="H30" s="1379"/>
      <c r="I30" s="1115"/>
      <c r="J30" s="471"/>
      <c r="K30" s="614"/>
    </row>
    <row r="31" spans="1:11" ht="13">
      <c r="B31" s="553"/>
      <c r="D31" s="553" t="s">
        <v>422</v>
      </c>
      <c r="E31" s="553" t="s">
        <v>422</v>
      </c>
      <c r="F31" s="1388"/>
      <c r="G31" s="1388"/>
      <c r="H31" s="1389" t="s">
        <v>2792</v>
      </c>
      <c r="I31" s="1115"/>
      <c r="J31" s="614"/>
      <c r="K31" s="614"/>
    </row>
    <row r="32" spans="1:11" ht="13">
      <c r="A32" s="840" t="s">
        <v>329</v>
      </c>
      <c r="B32" s="611" t="s">
        <v>192</v>
      </c>
      <c r="C32" s="611" t="s">
        <v>193</v>
      </c>
      <c r="D32" s="3" t="s">
        <v>983</v>
      </c>
      <c r="E32" s="3" t="s">
        <v>983</v>
      </c>
      <c r="F32" s="1388" t="s">
        <v>2422</v>
      </c>
      <c r="G32" s="1388" t="s">
        <v>2423</v>
      </c>
      <c r="H32" s="1388" t="s">
        <v>2793</v>
      </c>
      <c r="I32" s="355"/>
      <c r="J32" s="614"/>
      <c r="K32" s="614"/>
    </row>
    <row r="33" spans="1:11" ht="13">
      <c r="A33" s="110">
        <f>+A26+1</f>
        <v>15</v>
      </c>
      <c r="B33" s="612" t="s">
        <v>180</v>
      </c>
      <c r="C33" s="613">
        <v>2018</v>
      </c>
      <c r="D33" s="995">
        <v>0</v>
      </c>
      <c r="E33" s="995">
        <v>0</v>
      </c>
      <c r="F33" s="995">
        <v>123208373.91</v>
      </c>
      <c r="G33" s="995">
        <v>20101220.48</v>
      </c>
      <c r="H33" s="995">
        <v>65187846.759999998</v>
      </c>
      <c r="I33" s="617"/>
      <c r="J33" s="614"/>
      <c r="K33" s="614"/>
    </row>
    <row r="34" spans="1:11" ht="13">
      <c r="A34" s="110">
        <f>A33+1</f>
        <v>16</v>
      </c>
      <c r="B34" s="612" t="s">
        <v>181</v>
      </c>
      <c r="C34" s="613">
        <v>2019</v>
      </c>
      <c r="D34" s="995">
        <v>0</v>
      </c>
      <c r="E34" s="995">
        <v>0</v>
      </c>
      <c r="F34" s="995">
        <v>128092182.55</v>
      </c>
      <c r="G34" s="995">
        <v>20216360.84</v>
      </c>
      <c r="H34" s="995">
        <v>64859596.479999997</v>
      </c>
      <c r="I34" s="617"/>
      <c r="J34" s="614"/>
      <c r="K34" s="614"/>
    </row>
    <row r="35" spans="1:11" ht="13">
      <c r="A35" s="110">
        <f t="shared" ref="A35:A46" si="3">A34+1</f>
        <v>17</v>
      </c>
      <c r="B35" s="615" t="s">
        <v>182</v>
      </c>
      <c r="C35" s="613">
        <v>2019</v>
      </c>
      <c r="D35" s="995">
        <v>0</v>
      </c>
      <c r="E35" s="995">
        <v>0</v>
      </c>
      <c r="F35" s="995">
        <v>129020038.06</v>
      </c>
      <c r="G35" s="995">
        <v>20299975.899999999</v>
      </c>
      <c r="H35" s="995">
        <v>65581867.079999998</v>
      </c>
      <c r="I35" s="617"/>
      <c r="J35" s="614"/>
      <c r="K35" s="614"/>
    </row>
    <row r="36" spans="1:11" ht="13">
      <c r="A36" s="110">
        <f t="shared" si="3"/>
        <v>18</v>
      </c>
      <c r="B36" s="615" t="s">
        <v>195</v>
      </c>
      <c r="C36" s="613">
        <v>2019</v>
      </c>
      <c r="D36" s="995">
        <v>0</v>
      </c>
      <c r="E36" s="995">
        <v>0</v>
      </c>
      <c r="F36" s="995">
        <v>129270522.58</v>
      </c>
      <c r="G36" s="995">
        <v>20340469.41</v>
      </c>
      <c r="H36" s="995">
        <v>67231841.659999996</v>
      </c>
      <c r="I36" s="617"/>
      <c r="J36" s="614"/>
      <c r="K36" s="614"/>
    </row>
    <row r="37" spans="1:11" ht="13">
      <c r="A37" s="110">
        <f t="shared" si="3"/>
        <v>19</v>
      </c>
      <c r="B37" s="612" t="s">
        <v>183</v>
      </c>
      <c r="C37" s="613">
        <v>2019</v>
      </c>
      <c r="D37" s="995">
        <v>0</v>
      </c>
      <c r="E37" s="995">
        <v>0</v>
      </c>
      <c r="F37" s="995">
        <v>140178321.44</v>
      </c>
      <c r="G37" s="995">
        <v>20568513.640000001</v>
      </c>
      <c r="H37" s="995">
        <v>68263414.890000001</v>
      </c>
      <c r="I37" s="617"/>
      <c r="J37" s="614"/>
      <c r="K37" s="614"/>
    </row>
    <row r="38" spans="1:11" ht="13">
      <c r="A38" s="110">
        <f t="shared" si="3"/>
        <v>20</v>
      </c>
      <c r="B38" s="615" t="s">
        <v>184</v>
      </c>
      <c r="C38" s="613">
        <v>2019</v>
      </c>
      <c r="D38" s="995">
        <v>0</v>
      </c>
      <c r="E38" s="995">
        <v>0</v>
      </c>
      <c r="F38" s="995">
        <v>148755309.84</v>
      </c>
      <c r="G38" s="995">
        <v>20672615.48</v>
      </c>
      <c r="H38" s="995">
        <v>69855849.390000001</v>
      </c>
      <c r="I38" s="617"/>
      <c r="J38" s="614"/>
      <c r="K38" s="614"/>
    </row>
    <row r="39" spans="1:11" ht="13">
      <c r="A39" s="110">
        <f t="shared" si="3"/>
        <v>21</v>
      </c>
      <c r="B39" s="615" t="s">
        <v>185</v>
      </c>
      <c r="C39" s="613">
        <v>2019</v>
      </c>
      <c r="D39" s="995">
        <v>0</v>
      </c>
      <c r="E39" s="995">
        <v>87058.16</v>
      </c>
      <c r="F39" s="995">
        <v>158253219.63</v>
      </c>
      <c r="G39" s="995">
        <v>20786417.91</v>
      </c>
      <c r="H39" s="995">
        <v>72405171.409999996</v>
      </c>
      <c r="I39" s="617"/>
      <c r="J39" s="614"/>
      <c r="K39" s="614"/>
    </row>
    <row r="40" spans="1:11" ht="13">
      <c r="A40" s="110">
        <f t="shared" si="3"/>
        <v>22</v>
      </c>
      <c r="B40" s="612" t="s">
        <v>186</v>
      </c>
      <c r="C40" s="613">
        <v>2019</v>
      </c>
      <c r="D40" s="995">
        <v>0</v>
      </c>
      <c r="E40" s="995">
        <v>98390.36</v>
      </c>
      <c r="F40" s="995">
        <v>160897148.81</v>
      </c>
      <c r="G40" s="995">
        <v>20870506.370000001</v>
      </c>
      <c r="H40" s="995">
        <v>73994268.5</v>
      </c>
      <c r="I40" s="617"/>
      <c r="J40" s="614"/>
      <c r="K40" s="614"/>
    </row>
    <row r="41" spans="1:11" ht="13">
      <c r="A41" s="110">
        <f t="shared" si="3"/>
        <v>23</v>
      </c>
      <c r="B41" s="615" t="s">
        <v>187</v>
      </c>
      <c r="C41" s="613">
        <v>2019</v>
      </c>
      <c r="D41" s="995">
        <v>0</v>
      </c>
      <c r="E41" s="995">
        <v>111924.3</v>
      </c>
      <c r="F41" s="995">
        <v>163331531.41999999</v>
      </c>
      <c r="G41" s="995">
        <v>21042056.66</v>
      </c>
      <c r="H41" s="995">
        <v>76121218.629999995</v>
      </c>
      <c r="I41" s="617"/>
      <c r="J41" s="614"/>
      <c r="K41" s="614"/>
    </row>
    <row r="42" spans="1:11" ht="13">
      <c r="A42" s="110">
        <f t="shared" si="3"/>
        <v>24</v>
      </c>
      <c r="B42" s="615" t="s">
        <v>188</v>
      </c>
      <c r="C42" s="613">
        <v>2019</v>
      </c>
      <c r="D42" s="995">
        <v>0</v>
      </c>
      <c r="E42" s="995">
        <v>122336.3</v>
      </c>
      <c r="F42" s="995">
        <v>172963345.62</v>
      </c>
      <c r="G42" s="995">
        <v>21184791.100000001</v>
      </c>
      <c r="H42" s="995">
        <v>84007919.219999999</v>
      </c>
      <c r="I42" s="617"/>
      <c r="J42" s="614"/>
      <c r="K42" s="614"/>
    </row>
    <row r="43" spans="1:11" ht="13">
      <c r="A43" s="110">
        <f t="shared" si="3"/>
        <v>25</v>
      </c>
      <c r="B43" s="612" t="s">
        <v>189</v>
      </c>
      <c r="C43" s="613">
        <v>2019</v>
      </c>
      <c r="D43" s="995">
        <v>0</v>
      </c>
      <c r="E43" s="995">
        <v>148302.65</v>
      </c>
      <c r="F43" s="995">
        <v>180404574.19</v>
      </c>
      <c r="G43" s="995">
        <v>21434293.420000002</v>
      </c>
      <c r="H43" s="995">
        <v>85024776.75</v>
      </c>
      <c r="I43" s="617"/>
      <c r="J43" s="614"/>
      <c r="K43" s="614"/>
    </row>
    <row r="44" spans="1:11" ht="13">
      <c r="A44" s="110">
        <f t="shared" si="3"/>
        <v>26</v>
      </c>
      <c r="B44" s="612" t="s">
        <v>190</v>
      </c>
      <c r="C44" s="613">
        <v>2019</v>
      </c>
      <c r="D44" s="995">
        <v>0</v>
      </c>
      <c r="E44" s="995">
        <v>284388.24</v>
      </c>
      <c r="F44" s="1088">
        <v>184436998.31999999</v>
      </c>
      <c r="G44" s="1088">
        <v>21570700.27</v>
      </c>
      <c r="H44" s="514">
        <v>88450776.579999998</v>
      </c>
      <c r="I44" s="617"/>
      <c r="J44" s="614"/>
      <c r="K44" s="614"/>
    </row>
    <row r="45" spans="1:11" ht="13">
      <c r="A45" s="110">
        <f t="shared" si="3"/>
        <v>27</v>
      </c>
      <c r="B45" s="612" t="s">
        <v>180</v>
      </c>
      <c r="C45" s="613">
        <v>2019</v>
      </c>
      <c r="D45" s="116">
        <v>0</v>
      </c>
      <c r="E45" s="116">
        <v>301246.76</v>
      </c>
      <c r="F45" s="1116">
        <v>49845413.409999996</v>
      </c>
      <c r="G45" s="1116">
        <v>21762814.390000001</v>
      </c>
      <c r="H45" s="399">
        <v>101708198.75</v>
      </c>
      <c r="I45" s="617"/>
      <c r="J45" s="614"/>
      <c r="K45" s="614"/>
    </row>
    <row r="46" spans="1:11" ht="13">
      <c r="A46" s="110">
        <f t="shared" si="3"/>
        <v>28</v>
      </c>
      <c r="B46" s="1169"/>
      <c r="C46" s="616" t="s">
        <v>536</v>
      </c>
      <c r="D46" s="512">
        <f>SUM(D33:D45)/13</f>
        <v>0</v>
      </c>
      <c r="E46" s="512">
        <f>SUM(E33:E45)/13</f>
        <v>88742.059230769228</v>
      </c>
      <c r="F46" s="512">
        <f>SUM(F33:F45)/13</f>
        <v>143742844.59846157</v>
      </c>
      <c r="G46" s="512">
        <f>SUM(G33:G45)/13</f>
        <v>20834671.990000002</v>
      </c>
      <c r="H46" s="512">
        <f>SUM(H33:H45)/13</f>
        <v>75591749.700000003</v>
      </c>
      <c r="I46" s="618" t="s">
        <v>76</v>
      </c>
      <c r="J46" s="614"/>
      <c r="K46" s="614"/>
    </row>
    <row r="48" spans="1:11" ht="13">
      <c r="B48" s="619" t="s">
        <v>1915</v>
      </c>
    </row>
    <row r="49" spans="1:13" ht="13">
      <c r="B49" s="619"/>
      <c r="D49" s="645" t="s">
        <v>358</v>
      </c>
      <c r="E49" s="645" t="s">
        <v>342</v>
      </c>
      <c r="F49" s="645" t="s">
        <v>343</v>
      </c>
      <c r="G49" s="645" t="s">
        <v>344</v>
      </c>
      <c r="H49" s="645" t="s">
        <v>345</v>
      </c>
      <c r="I49" s="645" t="s">
        <v>346</v>
      </c>
      <c r="J49" s="645" t="s">
        <v>347</v>
      </c>
      <c r="K49" s="645" t="s">
        <v>534</v>
      </c>
    </row>
    <row r="50" spans="1:13" s="646" customFormat="1">
      <c r="A50" s="785"/>
      <c r="D50" s="468" t="s">
        <v>211</v>
      </c>
      <c r="E50" s="468" t="s">
        <v>211</v>
      </c>
      <c r="F50" s="468" t="s">
        <v>211</v>
      </c>
      <c r="G50" s="468" t="s">
        <v>211</v>
      </c>
      <c r="H50" s="468" t="s">
        <v>211</v>
      </c>
      <c r="I50" s="468" t="s">
        <v>211</v>
      </c>
      <c r="J50" s="468" t="s">
        <v>211</v>
      </c>
      <c r="K50" s="468" t="s">
        <v>211</v>
      </c>
      <c r="L50" s="785"/>
    </row>
    <row r="51" spans="1:13" ht="13">
      <c r="G51" s="553" t="s">
        <v>1916</v>
      </c>
      <c r="K51" s="647"/>
    </row>
    <row r="52" spans="1:13" ht="13">
      <c r="A52" s="647"/>
      <c r="B52" s="647"/>
      <c r="C52" s="647"/>
      <c r="D52" s="647" t="s">
        <v>198</v>
      </c>
      <c r="E52" s="647" t="s">
        <v>1899</v>
      </c>
      <c r="F52" s="647" t="s">
        <v>1917</v>
      </c>
      <c r="G52" s="647" t="s">
        <v>196</v>
      </c>
      <c r="H52" s="647" t="s">
        <v>1918</v>
      </c>
      <c r="I52" s="648" t="s">
        <v>1919</v>
      </c>
      <c r="J52" s="647" t="s">
        <v>198</v>
      </c>
      <c r="K52" s="647" t="s">
        <v>18</v>
      </c>
    </row>
    <row r="53" spans="1:13" ht="13">
      <c r="A53" s="840" t="s">
        <v>329</v>
      </c>
      <c r="B53" s="611" t="s">
        <v>192</v>
      </c>
      <c r="C53" s="611" t="s">
        <v>193</v>
      </c>
      <c r="D53" s="645" t="s">
        <v>1920</v>
      </c>
      <c r="E53" s="645" t="s">
        <v>1900</v>
      </c>
      <c r="F53" s="645" t="s">
        <v>1921</v>
      </c>
      <c r="G53" s="645" t="s">
        <v>1922</v>
      </c>
      <c r="H53" s="645" t="s">
        <v>1923</v>
      </c>
      <c r="I53" s="645" t="s">
        <v>1924</v>
      </c>
      <c r="J53" s="645" t="s">
        <v>1925</v>
      </c>
      <c r="K53" s="3" t="s">
        <v>1926</v>
      </c>
    </row>
    <row r="54" spans="1:13" ht="13">
      <c r="A54" s="110">
        <f>A46+1</f>
        <v>29</v>
      </c>
      <c r="B54" s="612" t="s">
        <v>180</v>
      </c>
      <c r="C54" s="613">
        <v>2019</v>
      </c>
      <c r="D54" s="654" t="s">
        <v>76</v>
      </c>
      <c r="E54" s="654" t="s">
        <v>76</v>
      </c>
      <c r="F54" s="654" t="s">
        <v>76</v>
      </c>
      <c r="G54" s="654" t="s">
        <v>76</v>
      </c>
      <c r="H54" s="654" t="s">
        <v>76</v>
      </c>
      <c r="I54" s="654" t="s">
        <v>76</v>
      </c>
      <c r="J54" s="7">
        <f>D25</f>
        <v>647481518.01999998</v>
      </c>
      <c r="K54" s="654" t="s">
        <v>76</v>
      </c>
    </row>
    <row r="55" spans="1:13" ht="13">
      <c r="A55" s="110">
        <f>A54+1</f>
        <v>30</v>
      </c>
      <c r="B55" s="612" t="s">
        <v>181</v>
      </c>
      <c r="C55" s="613">
        <v>2020</v>
      </c>
      <c r="D55" s="7">
        <f t="shared" ref="D55:K55" si="4">D89+D122+D155+D188+D221+D254+D287+D320+D353+D386+D419</f>
        <v>19435447.518800002</v>
      </c>
      <c r="E55" s="7">
        <f t="shared" si="4"/>
        <v>1457658.56391</v>
      </c>
      <c r="F55" s="7">
        <f t="shared" si="4"/>
        <v>20893106.082710002</v>
      </c>
      <c r="G55" s="7">
        <f t="shared" si="4"/>
        <v>1653969.8068000001</v>
      </c>
      <c r="H55" s="7">
        <f t="shared" si="4"/>
        <v>0</v>
      </c>
      <c r="I55" s="7">
        <f t="shared" si="4"/>
        <v>124047.73551000001</v>
      </c>
      <c r="J55" s="7">
        <f t="shared" si="4"/>
        <v>666596606.56040013</v>
      </c>
      <c r="K55" s="7">
        <f t="shared" si="4"/>
        <v>19115088.540399987</v>
      </c>
      <c r="L55" s="782"/>
      <c r="M55" s="7"/>
    </row>
    <row r="56" spans="1:13" ht="13">
      <c r="A56" s="110">
        <f t="shared" ref="A56:A79" si="5">A55+1</f>
        <v>31</v>
      </c>
      <c r="B56" s="615" t="s">
        <v>182</v>
      </c>
      <c r="C56" s="613">
        <v>2020</v>
      </c>
      <c r="D56" s="7">
        <f t="shared" ref="D56:K56" si="6">D90+D123+D156+D189+D222+D255+D288+D321+D354+D387+D420</f>
        <v>25334195.647</v>
      </c>
      <c r="E56" s="7">
        <f t="shared" si="6"/>
        <v>1900064.673525</v>
      </c>
      <c r="F56" s="7">
        <f t="shared" si="6"/>
        <v>27234260.320525002</v>
      </c>
      <c r="G56" s="7">
        <f t="shared" si="6"/>
        <v>1502677.0510000004</v>
      </c>
      <c r="H56" s="7">
        <f t="shared" si="6"/>
        <v>0</v>
      </c>
      <c r="I56" s="7">
        <f t="shared" si="6"/>
        <v>112700.77882500002</v>
      </c>
      <c r="J56" s="7">
        <f t="shared" si="6"/>
        <v>692215489.05110002</v>
      </c>
      <c r="K56" s="7">
        <f t="shared" si="6"/>
        <v>44733971.03109999</v>
      </c>
      <c r="L56" s="782"/>
      <c r="M56" s="7"/>
    </row>
    <row r="57" spans="1:13" ht="13">
      <c r="A57" s="110">
        <f t="shared" si="5"/>
        <v>32</v>
      </c>
      <c r="B57" s="615" t="s">
        <v>195</v>
      </c>
      <c r="C57" s="613">
        <v>2020</v>
      </c>
      <c r="D57" s="7">
        <f t="shared" ref="D57:K57" si="7">D91+D124+D157+D190+D223+D256+D289+D322+D355+D388+D421</f>
        <v>17847111.862</v>
      </c>
      <c r="E57" s="7">
        <f t="shared" si="7"/>
        <v>1338533.38965</v>
      </c>
      <c r="F57" s="7">
        <f t="shared" si="7"/>
        <v>19185645.251650002</v>
      </c>
      <c r="G57" s="7">
        <f t="shared" si="7"/>
        <v>984871.10199999996</v>
      </c>
      <c r="H57" s="7">
        <f t="shared" si="7"/>
        <v>0</v>
      </c>
      <c r="I57" s="7">
        <f t="shared" si="7"/>
        <v>73865.332649999997</v>
      </c>
      <c r="J57" s="7">
        <f t="shared" si="7"/>
        <v>710342397.86809993</v>
      </c>
      <c r="K57" s="7">
        <f t="shared" si="7"/>
        <v>62860879.848099992</v>
      </c>
      <c r="L57" s="782"/>
      <c r="M57" s="7"/>
    </row>
    <row r="58" spans="1:13" ht="13">
      <c r="A58" s="110">
        <f t="shared" si="5"/>
        <v>33</v>
      </c>
      <c r="B58" s="612" t="s">
        <v>183</v>
      </c>
      <c r="C58" s="613">
        <v>2020</v>
      </c>
      <c r="D58" s="7">
        <f t="shared" ref="D58:K58" si="8">D92+D125+D158+D191+D224+D257+D290+D323+D356+D389+D422</f>
        <v>27053200.310000002</v>
      </c>
      <c r="E58" s="7">
        <f t="shared" si="8"/>
        <v>2028990.0232500001</v>
      </c>
      <c r="F58" s="7">
        <f t="shared" si="8"/>
        <v>29082190.333250001</v>
      </c>
      <c r="G58" s="7">
        <f t="shared" si="8"/>
        <v>217331.31</v>
      </c>
      <c r="H58" s="7">
        <f t="shared" si="8"/>
        <v>0</v>
      </c>
      <c r="I58" s="7">
        <f t="shared" si="8"/>
        <v>16299.848249999999</v>
      </c>
      <c r="J58" s="7">
        <f t="shared" si="8"/>
        <v>739190957.0431</v>
      </c>
      <c r="K58" s="7">
        <f t="shared" si="8"/>
        <v>91709439.023099959</v>
      </c>
      <c r="L58" s="782"/>
      <c r="M58" s="7"/>
    </row>
    <row r="59" spans="1:13" ht="13">
      <c r="A59" s="110">
        <f t="shared" si="5"/>
        <v>34</v>
      </c>
      <c r="B59" s="615" t="s">
        <v>184</v>
      </c>
      <c r="C59" s="613">
        <v>2020</v>
      </c>
      <c r="D59" s="7">
        <f t="shared" ref="D59:K59" si="9">D93+D126+D159+D192+D225+D258+D291+D324+D357+D390+D423</f>
        <v>31518597.073999997</v>
      </c>
      <c r="E59" s="7">
        <f t="shared" si="9"/>
        <v>2363894.7805499993</v>
      </c>
      <c r="F59" s="7">
        <f t="shared" si="9"/>
        <v>33882491.854549997</v>
      </c>
      <c r="G59" s="7">
        <f t="shared" si="9"/>
        <v>486868.45000000007</v>
      </c>
      <c r="H59" s="7">
        <f t="shared" si="9"/>
        <v>344737.14</v>
      </c>
      <c r="I59" s="7">
        <f t="shared" si="9"/>
        <v>10659.848250000003</v>
      </c>
      <c r="J59" s="7">
        <f t="shared" si="9"/>
        <v>772575920.59940004</v>
      </c>
      <c r="K59" s="7">
        <f t="shared" si="9"/>
        <v>125094402.57939996</v>
      </c>
      <c r="L59" s="782"/>
      <c r="M59" s="7"/>
    </row>
    <row r="60" spans="1:13" ht="13">
      <c r="A60" s="110">
        <f t="shared" si="5"/>
        <v>35</v>
      </c>
      <c r="B60" s="615" t="s">
        <v>1460</v>
      </c>
      <c r="C60" s="613">
        <v>2020</v>
      </c>
      <c r="D60" s="7">
        <f t="shared" ref="D60:K60" si="10">D94+D127+D160+D193+D226+D259+D292+D325+D358+D391+D424</f>
        <v>25116078.349799998</v>
      </c>
      <c r="E60" s="7">
        <f t="shared" si="10"/>
        <v>1883705.8762349999</v>
      </c>
      <c r="F60" s="7">
        <f t="shared" si="10"/>
        <v>26999784.226034999</v>
      </c>
      <c r="G60" s="7">
        <f t="shared" si="10"/>
        <v>733106.59579999989</v>
      </c>
      <c r="H60" s="7">
        <f t="shared" si="10"/>
        <v>410800.01</v>
      </c>
      <c r="I60" s="7">
        <f t="shared" si="10"/>
        <v>24172.993934999991</v>
      </c>
      <c r="J60" s="7">
        <f t="shared" si="10"/>
        <v>798818425.23570001</v>
      </c>
      <c r="K60" s="7">
        <f t="shared" si="10"/>
        <v>151336907.21569997</v>
      </c>
      <c r="L60" s="782"/>
      <c r="M60" s="7"/>
    </row>
    <row r="61" spans="1:13" ht="13">
      <c r="A61" s="110">
        <f t="shared" si="5"/>
        <v>36</v>
      </c>
      <c r="B61" s="612" t="s">
        <v>186</v>
      </c>
      <c r="C61" s="613">
        <v>2020</v>
      </c>
      <c r="D61" s="7">
        <f t="shared" ref="D61:K61" si="11">D95+D128+D161+D194+D227+D260+D293+D326+D359+D392+D425</f>
        <v>29486197.903999999</v>
      </c>
      <c r="E61" s="7">
        <f t="shared" si="11"/>
        <v>2211464.8428000002</v>
      </c>
      <c r="F61" s="7">
        <f t="shared" si="11"/>
        <v>31697662.746799998</v>
      </c>
      <c r="G61" s="7">
        <f t="shared" si="11"/>
        <v>21632.14</v>
      </c>
      <c r="H61" s="7">
        <f t="shared" si="11"/>
        <v>0</v>
      </c>
      <c r="I61" s="7">
        <f t="shared" si="11"/>
        <v>1622.4105</v>
      </c>
      <c r="J61" s="7">
        <f t="shared" si="11"/>
        <v>830492833.43199992</v>
      </c>
      <c r="K61" s="7">
        <f t="shared" si="11"/>
        <v>183011315.41199997</v>
      </c>
      <c r="L61" s="782"/>
      <c r="M61" s="7"/>
    </row>
    <row r="62" spans="1:13" ht="13">
      <c r="A62" s="110">
        <f t="shared" si="5"/>
        <v>37</v>
      </c>
      <c r="B62" s="615" t="s">
        <v>187</v>
      </c>
      <c r="C62" s="613">
        <v>2020</v>
      </c>
      <c r="D62" s="7">
        <f t="shared" ref="D62:K62" si="12">D96+D129+D162+D195+D228+D261+D294+D327+D360+D393+D426</f>
        <v>26810024.675999999</v>
      </c>
      <c r="E62" s="7">
        <f t="shared" si="12"/>
        <v>2010751.8507000001</v>
      </c>
      <c r="F62" s="7">
        <f t="shared" si="12"/>
        <v>28820776.526700001</v>
      </c>
      <c r="G62" s="7">
        <f t="shared" si="12"/>
        <v>21632.14</v>
      </c>
      <c r="H62" s="7">
        <f t="shared" si="12"/>
        <v>0</v>
      </c>
      <c r="I62" s="7">
        <f t="shared" si="12"/>
        <v>1622.4105</v>
      </c>
      <c r="J62" s="7">
        <f t="shared" si="12"/>
        <v>859290355.40820003</v>
      </c>
      <c r="K62" s="7">
        <f t="shared" si="12"/>
        <v>211808837.38819996</v>
      </c>
      <c r="L62" s="782"/>
      <c r="M62" s="7"/>
    </row>
    <row r="63" spans="1:13" ht="13">
      <c r="A63" s="110">
        <f t="shared" si="5"/>
        <v>38</v>
      </c>
      <c r="B63" s="615" t="s">
        <v>188</v>
      </c>
      <c r="C63" s="613">
        <v>2020</v>
      </c>
      <c r="D63" s="7">
        <f t="shared" ref="D63:K63" si="13">D97+D130+D163+D196+D229+D262+D295+D328+D361+D394+D427</f>
        <v>24474044.903999999</v>
      </c>
      <c r="E63" s="7">
        <f t="shared" si="13"/>
        <v>1835553.3677999999</v>
      </c>
      <c r="F63" s="7">
        <f t="shared" si="13"/>
        <v>26309598.2718</v>
      </c>
      <c r="G63" s="7">
        <f t="shared" si="13"/>
        <v>21632.14</v>
      </c>
      <c r="H63" s="7">
        <f t="shared" si="13"/>
        <v>0</v>
      </c>
      <c r="I63" s="7">
        <f t="shared" si="13"/>
        <v>1622.4105</v>
      </c>
      <c r="J63" s="7">
        <f t="shared" si="13"/>
        <v>885576699.12949991</v>
      </c>
      <c r="K63" s="7">
        <f t="shared" si="13"/>
        <v>238095181.1094999</v>
      </c>
      <c r="L63" s="782"/>
      <c r="M63" s="7"/>
    </row>
    <row r="64" spans="1:13" ht="13">
      <c r="A64" s="110">
        <f t="shared" si="5"/>
        <v>39</v>
      </c>
      <c r="B64" s="612" t="s">
        <v>191</v>
      </c>
      <c r="C64" s="613">
        <v>2020</v>
      </c>
      <c r="D64" s="7">
        <f t="shared" ref="D64:K64" si="14">D98+D131+D164+D197+D230+D263+D296+D329+D362+D395+D428</f>
        <v>24267434.903999999</v>
      </c>
      <c r="E64" s="7">
        <f t="shared" si="14"/>
        <v>1820057.6177999999</v>
      </c>
      <c r="F64" s="7">
        <f t="shared" si="14"/>
        <v>26087492.5218</v>
      </c>
      <c r="G64" s="7">
        <f t="shared" si="14"/>
        <v>20965331.019999996</v>
      </c>
      <c r="H64" s="7">
        <f t="shared" si="14"/>
        <v>17136385.879999999</v>
      </c>
      <c r="I64" s="7">
        <f t="shared" si="14"/>
        <v>287170.88549999968</v>
      </c>
      <c r="J64" s="7">
        <f t="shared" si="14"/>
        <v>890411689.7457999</v>
      </c>
      <c r="K64" s="7">
        <f t="shared" si="14"/>
        <v>242930171.72579992</v>
      </c>
      <c r="L64" s="782"/>
      <c r="M64" s="7"/>
    </row>
    <row r="65" spans="1:13" ht="13">
      <c r="A65" s="110">
        <f t="shared" si="5"/>
        <v>40</v>
      </c>
      <c r="B65" s="612" t="s">
        <v>190</v>
      </c>
      <c r="C65" s="613">
        <v>2020</v>
      </c>
      <c r="D65" s="7">
        <f t="shared" ref="D65:K65" si="15">D99+D132+D165+D198+D231+D264+D297+D330+D363+D396+D429</f>
        <v>16233495.540000001</v>
      </c>
      <c r="E65" s="7">
        <f t="shared" si="15"/>
        <v>1217512.1654999999</v>
      </c>
      <c r="F65" s="7">
        <f t="shared" si="15"/>
        <v>17451007.705499999</v>
      </c>
      <c r="G65" s="7">
        <f t="shared" si="15"/>
        <v>289632.14</v>
      </c>
      <c r="H65" s="7">
        <f t="shared" si="15"/>
        <v>0</v>
      </c>
      <c r="I65" s="7">
        <f t="shared" si="15"/>
        <v>21722.410499999998</v>
      </c>
      <c r="J65" s="7">
        <f t="shared" si="15"/>
        <v>907551342.90079999</v>
      </c>
      <c r="K65" s="7">
        <f t="shared" si="15"/>
        <v>260069824.88079995</v>
      </c>
      <c r="L65" s="782"/>
      <c r="M65" s="7"/>
    </row>
    <row r="66" spans="1:13" ht="13">
      <c r="A66" s="110">
        <f t="shared" si="5"/>
        <v>41</v>
      </c>
      <c r="B66" s="612" t="s">
        <v>180</v>
      </c>
      <c r="C66" s="613">
        <v>2020</v>
      </c>
      <c r="D66" s="7">
        <f t="shared" ref="D66:K66" si="16">D100+D133+D166+D199+D232+D265+D298+D331+D364+D397+D430</f>
        <v>36474511.871199995</v>
      </c>
      <c r="E66" s="7">
        <f t="shared" si="16"/>
        <v>2735588.3903399995</v>
      </c>
      <c r="F66" s="7">
        <f t="shared" si="16"/>
        <v>39210100.261539996</v>
      </c>
      <c r="G66" s="7">
        <f t="shared" si="16"/>
        <v>554534219.29120004</v>
      </c>
      <c r="H66" s="7">
        <f t="shared" si="16"/>
        <v>394845413.81999999</v>
      </c>
      <c r="I66" s="7">
        <f t="shared" si="16"/>
        <v>11976660.41034</v>
      </c>
      <c r="J66" s="7">
        <f t="shared" si="16"/>
        <v>380250563.46079993</v>
      </c>
      <c r="K66" s="7">
        <f t="shared" si="16"/>
        <v>-267230954.55920011</v>
      </c>
      <c r="L66" s="782"/>
      <c r="M66" s="7"/>
    </row>
    <row r="67" spans="1:13" ht="13">
      <c r="A67" s="110">
        <f t="shared" si="5"/>
        <v>42</v>
      </c>
      <c r="B67" s="612" t="s">
        <v>181</v>
      </c>
      <c r="C67" s="613">
        <v>2021</v>
      </c>
      <c r="D67" s="7">
        <f t="shared" ref="D67:K67" si="17">D101+D134+D167+D200+D233+D266+D299+D332+D365+D398+D431</f>
        <v>16090391.000000002</v>
      </c>
      <c r="E67" s="7">
        <f t="shared" si="17"/>
        <v>1206779.3250000002</v>
      </c>
      <c r="F67" s="7">
        <f t="shared" si="17"/>
        <v>17297170.325000003</v>
      </c>
      <c r="G67" s="7">
        <f t="shared" si="17"/>
        <v>5529600</v>
      </c>
      <c r="H67" s="7">
        <f t="shared" si="17"/>
        <v>0</v>
      </c>
      <c r="I67" s="7">
        <f t="shared" si="17"/>
        <v>414720</v>
      </c>
      <c r="J67" s="7">
        <f t="shared" si="17"/>
        <v>391603413.78579992</v>
      </c>
      <c r="K67" s="7">
        <f t="shared" si="17"/>
        <v>-255878104.23420012</v>
      </c>
      <c r="L67" s="782"/>
      <c r="M67" s="7"/>
    </row>
    <row r="68" spans="1:13" ht="13">
      <c r="A68" s="110">
        <f t="shared" si="5"/>
        <v>43</v>
      </c>
      <c r="B68" s="615" t="s">
        <v>182</v>
      </c>
      <c r="C68" s="613">
        <v>2021</v>
      </c>
      <c r="D68" s="7">
        <f t="shared" ref="D68:K68" si="18">D102+D135+D168+D201+D234+D267+D300+D333+D366+D399+D432</f>
        <v>15640963</v>
      </c>
      <c r="E68" s="7">
        <f t="shared" si="18"/>
        <v>1173072.2250000001</v>
      </c>
      <c r="F68" s="7">
        <f t="shared" si="18"/>
        <v>16814035.225000001</v>
      </c>
      <c r="G68" s="7">
        <f t="shared" si="18"/>
        <v>5747600</v>
      </c>
      <c r="H68" s="7">
        <f t="shared" si="18"/>
        <v>0</v>
      </c>
      <c r="I68" s="7">
        <f t="shared" si="18"/>
        <v>431070</v>
      </c>
      <c r="J68" s="7">
        <f t="shared" si="18"/>
        <v>402238779.01079994</v>
      </c>
      <c r="K68" s="7">
        <f t="shared" si="18"/>
        <v>-245242739.0092001</v>
      </c>
      <c r="L68" s="782"/>
      <c r="M68" s="7"/>
    </row>
    <row r="69" spans="1:13" ht="13">
      <c r="A69" s="110">
        <f t="shared" si="5"/>
        <v>44</v>
      </c>
      <c r="B69" s="615" t="s">
        <v>195</v>
      </c>
      <c r="C69" s="613">
        <v>2021</v>
      </c>
      <c r="D69" s="7">
        <f t="shared" ref="D69:K69" si="19">D103+D136+D169+D202+D235+D268+D301+D334+D367+D400+D433</f>
        <v>20920296</v>
      </c>
      <c r="E69" s="7">
        <f t="shared" si="19"/>
        <v>1569022.2</v>
      </c>
      <c r="F69" s="7">
        <f t="shared" si="19"/>
        <v>22489318.199999999</v>
      </c>
      <c r="G69" s="7">
        <f t="shared" si="19"/>
        <v>7860041</v>
      </c>
      <c r="H69" s="7">
        <f t="shared" si="19"/>
        <v>0</v>
      </c>
      <c r="I69" s="7">
        <f t="shared" si="19"/>
        <v>589503.07499999995</v>
      </c>
      <c r="J69" s="7">
        <f t="shared" si="19"/>
        <v>416278553.13579988</v>
      </c>
      <c r="K69" s="7">
        <f t="shared" si="19"/>
        <v>-231202964.8842001</v>
      </c>
      <c r="L69" s="782"/>
      <c r="M69" s="7"/>
    </row>
    <row r="70" spans="1:13" ht="13">
      <c r="A70" s="110">
        <f t="shared" si="5"/>
        <v>45</v>
      </c>
      <c r="B70" s="612" t="s">
        <v>183</v>
      </c>
      <c r="C70" s="613">
        <v>2021</v>
      </c>
      <c r="D70" s="7">
        <f t="shared" ref="D70:K70" si="20">D104+D137+D170+D203+D236+D269+D302+D335+D368+D401+D434</f>
        <v>16861148</v>
      </c>
      <c r="E70" s="7">
        <f t="shared" si="20"/>
        <v>1264586.1000000001</v>
      </c>
      <c r="F70" s="7">
        <f t="shared" si="20"/>
        <v>18125734.100000001</v>
      </c>
      <c r="G70" s="7">
        <f t="shared" si="20"/>
        <v>33916245.480000004</v>
      </c>
      <c r="H70" s="7">
        <f t="shared" si="20"/>
        <v>13129540.48</v>
      </c>
      <c r="I70" s="7">
        <f t="shared" si="20"/>
        <v>1559002.875</v>
      </c>
      <c r="J70" s="7">
        <f t="shared" si="20"/>
        <v>398929038.88079989</v>
      </c>
      <c r="K70" s="7">
        <f t="shared" si="20"/>
        <v>-248552479.13920012</v>
      </c>
      <c r="L70" s="782"/>
      <c r="M70" s="7"/>
    </row>
    <row r="71" spans="1:13" ht="13">
      <c r="A71" s="110">
        <f t="shared" si="5"/>
        <v>46</v>
      </c>
      <c r="B71" s="615" t="s">
        <v>184</v>
      </c>
      <c r="C71" s="613">
        <v>2021</v>
      </c>
      <c r="D71" s="7">
        <f t="shared" ref="D71:K71" si="21">D105+D138+D171+D204+D237+D270+D303+D336+D369+D402+D435</f>
        <v>18835980</v>
      </c>
      <c r="E71" s="7">
        <f t="shared" si="21"/>
        <v>1412698.5</v>
      </c>
      <c r="F71" s="7">
        <f t="shared" si="21"/>
        <v>20248678.5</v>
      </c>
      <c r="G71" s="7">
        <f t="shared" si="21"/>
        <v>104418012.50999999</v>
      </c>
      <c r="H71" s="7">
        <f t="shared" si="21"/>
        <v>88739103.510000005</v>
      </c>
      <c r="I71" s="7">
        <f t="shared" si="21"/>
        <v>1175918.1749999993</v>
      </c>
      <c r="J71" s="7">
        <f t="shared" si="21"/>
        <v>313583786.69579995</v>
      </c>
      <c r="K71" s="7">
        <f t="shared" si="21"/>
        <v>-333897731.32420009</v>
      </c>
      <c r="L71" s="782"/>
      <c r="M71" s="7"/>
    </row>
    <row r="72" spans="1:13" ht="13">
      <c r="A72" s="110">
        <f t="shared" si="5"/>
        <v>47</v>
      </c>
      <c r="B72" s="615" t="s">
        <v>1460</v>
      </c>
      <c r="C72" s="613">
        <v>2021</v>
      </c>
      <c r="D72" s="7">
        <f t="shared" ref="D72:K72" si="22">D106+D139+D172+D205+D238+D271+D304+D337+D370+D403+D436</f>
        <v>16320647</v>
      </c>
      <c r="E72" s="7">
        <f t="shared" si="22"/>
        <v>1224048.5249999999</v>
      </c>
      <c r="F72" s="7">
        <f t="shared" si="22"/>
        <v>17544695.524999999</v>
      </c>
      <c r="G72" s="7">
        <f t="shared" si="22"/>
        <v>8864649</v>
      </c>
      <c r="H72" s="7">
        <f t="shared" si="22"/>
        <v>0</v>
      </c>
      <c r="I72" s="7">
        <f t="shared" si="22"/>
        <v>664848.67500000005</v>
      </c>
      <c r="J72" s="7">
        <f t="shared" si="22"/>
        <v>321598984.54579991</v>
      </c>
      <c r="K72" s="7">
        <f t="shared" si="22"/>
        <v>-325882533.47420013</v>
      </c>
      <c r="L72" s="782"/>
      <c r="M72" s="7"/>
    </row>
    <row r="73" spans="1:13" ht="13">
      <c r="A73" s="110">
        <f t="shared" si="5"/>
        <v>48</v>
      </c>
      <c r="B73" s="612" t="s">
        <v>186</v>
      </c>
      <c r="C73" s="613">
        <v>2021</v>
      </c>
      <c r="D73" s="7">
        <f t="shared" ref="D73:K73" si="23">D107+D140+D173+D206+D239+D272+D305+D338+D371+D404+D437</f>
        <v>13348594</v>
      </c>
      <c r="E73" s="7">
        <f t="shared" si="23"/>
        <v>1001144.5499999998</v>
      </c>
      <c r="F73" s="7">
        <f t="shared" si="23"/>
        <v>14349738.549999997</v>
      </c>
      <c r="G73" s="7">
        <f t="shared" si="23"/>
        <v>5774740</v>
      </c>
      <c r="H73" s="7">
        <f t="shared" si="23"/>
        <v>0</v>
      </c>
      <c r="I73" s="7">
        <f t="shared" si="23"/>
        <v>433105.5</v>
      </c>
      <c r="J73" s="7">
        <f t="shared" si="23"/>
        <v>329740877.59579986</v>
      </c>
      <c r="K73" s="7">
        <f t="shared" si="23"/>
        <v>-317740640.42420018</v>
      </c>
      <c r="L73" s="782"/>
      <c r="M73" s="7"/>
    </row>
    <row r="74" spans="1:13" ht="13">
      <c r="A74" s="110">
        <f t="shared" si="5"/>
        <v>49</v>
      </c>
      <c r="B74" s="615" t="s">
        <v>187</v>
      </c>
      <c r="C74" s="613">
        <v>2021</v>
      </c>
      <c r="D74" s="7">
        <f>D108+D141+D174+D207+D240+D273+D306+D339+D372+D405+D438</f>
        <v>13335594</v>
      </c>
      <c r="E74" s="7">
        <f t="shared" ref="E74:K74" si="24">E108+E141+E174+E207+E240+E273+E306+E339+E372+E405+E438</f>
        <v>1000169.5499999998</v>
      </c>
      <c r="F74" s="7">
        <f t="shared" si="24"/>
        <v>14335763.549999997</v>
      </c>
      <c r="G74" s="7">
        <f t="shared" si="24"/>
        <v>185770011.63999996</v>
      </c>
      <c r="H74" s="7">
        <f t="shared" si="24"/>
        <v>35442344.640000001</v>
      </c>
      <c r="I74" s="7">
        <f t="shared" si="24"/>
        <v>11274575.024999997</v>
      </c>
      <c r="J74" s="7">
        <f t="shared" si="24"/>
        <v>147032054.48079991</v>
      </c>
      <c r="K74" s="7">
        <f t="shared" si="24"/>
        <v>-500449463.53920013</v>
      </c>
      <c r="L74" s="782"/>
      <c r="M74" s="7"/>
    </row>
    <row r="75" spans="1:13" ht="13">
      <c r="A75" s="110">
        <f t="shared" si="5"/>
        <v>50</v>
      </c>
      <c r="B75" s="615" t="s">
        <v>188</v>
      </c>
      <c r="C75" s="613">
        <v>2021</v>
      </c>
      <c r="D75" s="7">
        <f t="shared" ref="D75:K75" si="25">D109+D142+D175+D208+D241+D274+D307+D340+D373+D406+D439</f>
        <v>12479048</v>
      </c>
      <c r="E75" s="7">
        <f t="shared" si="25"/>
        <v>935928.59999999986</v>
      </c>
      <c r="F75" s="7">
        <f t="shared" si="25"/>
        <v>13414976.599999998</v>
      </c>
      <c r="G75" s="7">
        <f t="shared" si="25"/>
        <v>19236333.759999998</v>
      </c>
      <c r="H75" s="7">
        <f t="shared" si="25"/>
        <v>301246.76</v>
      </c>
      <c r="I75" s="7">
        <f t="shared" si="25"/>
        <v>1420131.5249999997</v>
      </c>
      <c r="J75" s="7">
        <f t="shared" si="25"/>
        <v>139790565.79579991</v>
      </c>
      <c r="K75" s="7">
        <f t="shared" si="25"/>
        <v>-507690952.22420013</v>
      </c>
      <c r="L75" s="782"/>
      <c r="M75" s="7"/>
    </row>
    <row r="76" spans="1:13" ht="13">
      <c r="A76" s="110">
        <f t="shared" si="5"/>
        <v>51</v>
      </c>
      <c r="B76" s="615" t="s">
        <v>191</v>
      </c>
      <c r="C76" s="613">
        <v>2021</v>
      </c>
      <c r="D76" s="7">
        <f t="shared" ref="D76:K76" si="26">D110+D143+D176+D209+D242+D275+D308+D341+D374+D407+D440</f>
        <v>11692594</v>
      </c>
      <c r="E76" s="7">
        <f t="shared" si="26"/>
        <v>876944.54999999981</v>
      </c>
      <c r="F76" s="7">
        <f t="shared" si="26"/>
        <v>12569538.549999997</v>
      </c>
      <c r="G76" s="7">
        <f t="shared" si="26"/>
        <v>15946471.609999999</v>
      </c>
      <c r="H76" s="7">
        <f t="shared" si="26"/>
        <v>4965082.6100000003</v>
      </c>
      <c r="I76" s="7">
        <f t="shared" si="26"/>
        <v>823604.17499999993</v>
      </c>
      <c r="J76" s="7">
        <f t="shared" si="26"/>
        <v>135590028.56079993</v>
      </c>
      <c r="K76" s="7">
        <f t="shared" si="26"/>
        <v>-511891489.45920014</v>
      </c>
      <c r="L76" s="782"/>
      <c r="M76" s="7"/>
    </row>
    <row r="77" spans="1:13" ht="13">
      <c r="A77" s="110">
        <f t="shared" si="5"/>
        <v>52</v>
      </c>
      <c r="B77" s="615" t="s">
        <v>190</v>
      </c>
      <c r="C77" s="613">
        <v>2021</v>
      </c>
      <c r="D77" s="7">
        <f t="shared" ref="D77:K77" si="27">D111+D144+D177+D210+D243+D276+D309+D342+D375+D408+D441</f>
        <v>11475594</v>
      </c>
      <c r="E77" s="7">
        <f t="shared" si="27"/>
        <v>860669.54999999981</v>
      </c>
      <c r="F77" s="7">
        <f t="shared" si="27"/>
        <v>12336263.549999997</v>
      </c>
      <c r="G77" s="7">
        <f t="shared" si="27"/>
        <v>10090159</v>
      </c>
      <c r="H77" s="7">
        <f t="shared" si="27"/>
        <v>0</v>
      </c>
      <c r="I77" s="7">
        <f t="shared" si="27"/>
        <v>756761.92499999981</v>
      </c>
      <c r="J77" s="7">
        <f t="shared" si="27"/>
        <v>137079371.18579993</v>
      </c>
      <c r="K77" s="7">
        <f t="shared" si="27"/>
        <v>-510402146.83420008</v>
      </c>
      <c r="L77" s="782"/>
      <c r="M77" s="7"/>
    </row>
    <row r="78" spans="1:13" ht="13">
      <c r="A78" s="110">
        <f t="shared" si="5"/>
        <v>53</v>
      </c>
      <c r="B78" s="615" t="s">
        <v>180</v>
      </c>
      <c r="C78" s="613">
        <v>2021</v>
      </c>
      <c r="D78" s="7">
        <f t="shared" ref="D78:K78" si="28">D112+D145+D178+D211+D244+D277+D310+D343+D376+D409+D442</f>
        <v>12468014.999999998</v>
      </c>
      <c r="E78" s="7">
        <f t="shared" si="28"/>
        <v>935101.12499999977</v>
      </c>
      <c r="F78" s="7">
        <f t="shared" si="28"/>
        <v>13403116.124999996</v>
      </c>
      <c r="G78" s="7">
        <f t="shared" si="28"/>
        <v>78796464.099999994</v>
      </c>
      <c r="H78" s="7">
        <f t="shared" si="28"/>
        <v>41240899.099999994</v>
      </c>
      <c r="I78" s="7">
        <f t="shared" si="28"/>
        <v>2816667.375</v>
      </c>
      <c r="J78" s="7">
        <f t="shared" si="28"/>
        <v>68869355.835799932</v>
      </c>
      <c r="K78" s="7">
        <f t="shared" si="28"/>
        <v>-578612162.18420017</v>
      </c>
      <c r="L78" s="783"/>
      <c r="M78" s="7"/>
    </row>
    <row r="79" spans="1:13" ht="13">
      <c r="A79" s="110">
        <f t="shared" si="5"/>
        <v>54</v>
      </c>
      <c r="C79" s="649" t="s">
        <v>1605</v>
      </c>
      <c r="K79" s="73">
        <f>AVERAGE(K66:K78)</f>
        <v>-371898027.79150784</v>
      </c>
      <c r="L79" s="786"/>
    </row>
    <row r="81" spans="1:11" ht="13">
      <c r="B81" s="619" t="s">
        <v>1927</v>
      </c>
      <c r="F81" s="68" t="s">
        <v>2537</v>
      </c>
      <c r="G81" s="515" t="s">
        <v>2819</v>
      </c>
      <c r="H81" s="97"/>
    </row>
    <row r="82" spans="1:11" s="650" customFormat="1" ht="13">
      <c r="B82" s="651" t="s">
        <v>1928</v>
      </c>
      <c r="D82" s="1469" t="s">
        <v>223</v>
      </c>
      <c r="E82" s="1469"/>
    </row>
    <row r="83" spans="1:11" s="645" customFormat="1" ht="13">
      <c r="D83" s="645" t="s">
        <v>358</v>
      </c>
      <c r="E83" s="645" t="s">
        <v>342</v>
      </c>
      <c r="F83" s="645" t="s">
        <v>343</v>
      </c>
      <c r="G83" s="645" t="s">
        <v>344</v>
      </c>
      <c r="H83" s="645" t="s">
        <v>345</v>
      </c>
      <c r="I83" s="645" t="s">
        <v>346</v>
      </c>
      <c r="J83" s="645" t="s">
        <v>347</v>
      </c>
      <c r="K83" s="645" t="s">
        <v>534</v>
      </c>
    </row>
    <row r="84" spans="1:11" s="650" customFormat="1" ht="26.15" customHeight="1">
      <c r="D84" s="652"/>
      <c r="E84" s="653" t="s">
        <v>2064</v>
      </c>
      <c r="F84" s="654" t="s">
        <v>1929</v>
      </c>
      <c r="G84" s="529"/>
      <c r="H84" s="652"/>
      <c r="I84" s="653" t="s">
        <v>2065</v>
      </c>
      <c r="J84" s="653" t="s">
        <v>1930</v>
      </c>
      <c r="K84" s="653" t="s">
        <v>1931</v>
      </c>
    </row>
    <row r="85" spans="1:11" s="650" customFormat="1" ht="13">
      <c r="D85" s="652"/>
      <c r="E85" s="655"/>
      <c r="F85" s="655"/>
      <c r="G85" s="553" t="str">
        <f>G51</f>
        <v>Unloaded</v>
      </c>
      <c r="H85" s="652"/>
      <c r="I85" s="655"/>
      <c r="J85" s="655"/>
      <c r="K85" s="553"/>
    </row>
    <row r="86" spans="1:11" s="647" customFormat="1" ht="13">
      <c r="D86" s="647" t="str">
        <f>D$52</f>
        <v>Forecast</v>
      </c>
      <c r="E86" s="647" t="str">
        <f t="shared" ref="E86:J86" si="29">E$52</f>
        <v>Corporate</v>
      </c>
      <c r="F86" s="647" t="str">
        <f t="shared" si="29"/>
        <v xml:space="preserve">Total </v>
      </c>
      <c r="G86" s="553" t="str">
        <f>G52</f>
        <v>Total</v>
      </c>
      <c r="H86" s="647" t="str">
        <f t="shared" si="29"/>
        <v>Prior Period</v>
      </c>
      <c r="I86" s="647" t="str">
        <f t="shared" si="29"/>
        <v>Over Heads</v>
      </c>
      <c r="J86" s="647" t="str">
        <f t="shared" si="29"/>
        <v>Forecast</v>
      </c>
      <c r="K86" s="553" t="str">
        <f>K$52</f>
        <v>Forecast Period</v>
      </c>
    </row>
    <row r="87" spans="1:11" s="650" customFormat="1" ht="13">
      <c r="A87" s="840" t="s">
        <v>329</v>
      </c>
      <c r="B87" s="611" t="s">
        <v>192</v>
      </c>
      <c r="C87" s="611" t="s">
        <v>193</v>
      </c>
      <c r="D87" s="645" t="str">
        <f>D$53</f>
        <v>Expenditures</v>
      </c>
      <c r="E87" s="645" t="str">
        <f t="shared" ref="E87:J87" si="30">E$53</f>
        <v>Overheads</v>
      </c>
      <c r="F87" s="645" t="str">
        <f t="shared" si="30"/>
        <v>CWIP Exp</v>
      </c>
      <c r="G87" s="3" t="str">
        <f>G53</f>
        <v>Plant Adds</v>
      </c>
      <c r="H87" s="645" t="str">
        <f t="shared" si="30"/>
        <v>CWIP Closed</v>
      </c>
      <c r="I87" s="645" t="str">
        <f t="shared" si="30"/>
        <v>Closed to PIS</v>
      </c>
      <c r="J87" s="645" t="str">
        <f t="shared" si="30"/>
        <v>Period CWIP</v>
      </c>
      <c r="K87" s="645" t="str">
        <f>K$53</f>
        <v>Incremental CWIP</v>
      </c>
    </row>
    <row r="88" spans="1:11" s="650" customFormat="1" ht="13">
      <c r="A88" s="110">
        <f>A79+1</f>
        <v>55</v>
      </c>
      <c r="B88" s="612" t="s">
        <v>180</v>
      </c>
      <c r="C88" s="613">
        <v>2019</v>
      </c>
      <c r="D88" s="654" t="s">
        <v>76</v>
      </c>
      <c r="E88" s="654" t="s">
        <v>76</v>
      </c>
      <c r="F88" s="654" t="s">
        <v>76</v>
      </c>
      <c r="G88" s="654" t="s">
        <v>76</v>
      </c>
      <c r="H88" s="654" t="s">
        <v>76</v>
      </c>
      <c r="I88" s="654" t="s">
        <v>76</v>
      </c>
      <c r="J88" s="63">
        <f>E25</f>
        <v>157682.99</v>
      </c>
      <c r="K88" s="654" t="s">
        <v>76</v>
      </c>
    </row>
    <row r="89" spans="1:11" s="650" customFormat="1" ht="13">
      <c r="A89" s="110">
        <f>A88+1</f>
        <v>56</v>
      </c>
      <c r="B89" s="612" t="s">
        <v>181</v>
      </c>
      <c r="C89" s="613">
        <v>2020</v>
      </c>
      <c r="D89" s="995">
        <v>62105.999999999993</v>
      </c>
      <c r="E89" s="63">
        <f>D89*'16-PlantAdditions'!$E$103</f>
        <v>4657.9499999999989</v>
      </c>
      <c r="F89" s="63">
        <f>E89+D89</f>
        <v>66763.95</v>
      </c>
      <c r="G89" s="995">
        <v>62105.999999999993</v>
      </c>
      <c r="H89" s="995">
        <v>0</v>
      </c>
      <c r="I89" s="63">
        <f>(G89-H89)*'16-PlantAdditions'!$E$103</f>
        <v>4657.9499999999989</v>
      </c>
      <c r="J89" s="63">
        <f>J88+F89-G89-I89</f>
        <v>157682.99</v>
      </c>
      <c r="K89" s="63">
        <f>J89-$J$88</f>
        <v>0</v>
      </c>
    </row>
    <row r="90" spans="1:11" s="650" customFormat="1" ht="13">
      <c r="A90" s="110">
        <f t="shared" ref="A90:A108" si="31">A89+1</f>
        <v>57</v>
      </c>
      <c r="B90" s="615" t="s">
        <v>182</v>
      </c>
      <c r="C90" s="613">
        <v>2020</v>
      </c>
      <c r="D90" s="995">
        <v>380880.00000000006</v>
      </c>
      <c r="E90" s="63">
        <f>D90*'16-PlantAdditions'!$E$103</f>
        <v>28566.000000000004</v>
      </c>
      <c r="F90" s="63">
        <f t="shared" ref="F90:F112" si="32">E90+D90</f>
        <v>409446.00000000006</v>
      </c>
      <c r="G90" s="995">
        <v>380880.00000000006</v>
      </c>
      <c r="H90" s="995">
        <v>0</v>
      </c>
      <c r="I90" s="63">
        <f>(G90-H90)*'16-PlantAdditions'!$E$103</f>
        <v>28566.000000000004</v>
      </c>
      <c r="J90" s="63">
        <f t="shared" ref="J90:J108" si="33">J89+F90-G90-I90</f>
        <v>157682.98999999993</v>
      </c>
      <c r="K90" s="63">
        <f t="shared" ref="K90:K112" si="34">J90-$J$88</f>
        <v>0</v>
      </c>
    </row>
    <row r="91" spans="1:11" s="650" customFormat="1" ht="13">
      <c r="A91" s="110">
        <f t="shared" si="31"/>
        <v>58</v>
      </c>
      <c r="B91" s="615" t="s">
        <v>195</v>
      </c>
      <c r="C91" s="613">
        <v>2020</v>
      </c>
      <c r="D91" s="995">
        <v>277026</v>
      </c>
      <c r="E91" s="63">
        <f>D91*'16-PlantAdditions'!$E$103</f>
        <v>20776.95</v>
      </c>
      <c r="F91" s="63">
        <f t="shared" si="32"/>
        <v>297802.95</v>
      </c>
      <c r="G91" s="995">
        <v>277026</v>
      </c>
      <c r="H91" s="995">
        <v>0</v>
      </c>
      <c r="I91" s="63">
        <f>(G91-H91)*'16-PlantAdditions'!$E$103</f>
        <v>20776.95</v>
      </c>
      <c r="J91" s="63">
        <f t="shared" si="33"/>
        <v>157682.98999999993</v>
      </c>
      <c r="K91" s="63">
        <f>J91-$J$88</f>
        <v>0</v>
      </c>
    </row>
    <row r="92" spans="1:11" s="650" customFormat="1" ht="13">
      <c r="A92" s="110">
        <f t="shared" si="31"/>
        <v>59</v>
      </c>
      <c r="B92" s="612" t="s">
        <v>183</v>
      </c>
      <c r="C92" s="613">
        <v>2020</v>
      </c>
      <c r="D92" s="995">
        <v>47696</v>
      </c>
      <c r="E92" s="63">
        <f>D92*'16-PlantAdditions'!$E$103</f>
        <v>3577.2</v>
      </c>
      <c r="F92" s="63">
        <f t="shared" si="32"/>
        <v>51273.2</v>
      </c>
      <c r="G92" s="995">
        <v>47696</v>
      </c>
      <c r="H92" s="995">
        <v>0</v>
      </c>
      <c r="I92" s="63">
        <f>(G92-H92)*'16-PlantAdditions'!$E$103</f>
        <v>3577.2</v>
      </c>
      <c r="J92" s="63">
        <f>J91+F92-G92-I92</f>
        <v>157682.98999999993</v>
      </c>
      <c r="K92" s="63">
        <f>J92-$J$88</f>
        <v>0</v>
      </c>
    </row>
    <row r="93" spans="1:11" s="650" customFormat="1" ht="13">
      <c r="A93" s="110">
        <f t="shared" si="31"/>
        <v>60</v>
      </c>
      <c r="B93" s="615" t="s">
        <v>184</v>
      </c>
      <c r="C93" s="613">
        <v>2020</v>
      </c>
      <c r="D93" s="995">
        <v>0</v>
      </c>
      <c r="E93" s="63">
        <f>D93*'16-PlantAdditions'!$E$103</f>
        <v>0</v>
      </c>
      <c r="F93" s="63">
        <f t="shared" si="32"/>
        <v>0</v>
      </c>
      <c r="G93" s="995">
        <v>0</v>
      </c>
      <c r="H93" s="995">
        <v>0</v>
      </c>
      <c r="I93" s="63">
        <f>(G93-H93)*'16-PlantAdditions'!$E$103</f>
        <v>0</v>
      </c>
      <c r="J93" s="63">
        <f t="shared" si="33"/>
        <v>157682.98999999993</v>
      </c>
      <c r="K93" s="63">
        <f t="shared" si="34"/>
        <v>0</v>
      </c>
    </row>
    <row r="94" spans="1:11" s="650" customFormat="1" ht="13">
      <c r="A94" s="110">
        <f t="shared" si="31"/>
        <v>61</v>
      </c>
      <c r="B94" s="615" t="s">
        <v>1460</v>
      </c>
      <c r="C94" s="613">
        <v>2020</v>
      </c>
      <c r="D94" s="995">
        <v>0</v>
      </c>
      <c r="E94" s="63">
        <f>D94*'16-PlantAdditions'!$E$103</f>
        <v>0</v>
      </c>
      <c r="F94" s="63">
        <f t="shared" si="32"/>
        <v>0</v>
      </c>
      <c r="G94" s="995">
        <v>157682.99</v>
      </c>
      <c r="H94" s="995">
        <v>157682.99</v>
      </c>
      <c r="I94" s="63">
        <f>(G94-H94)*'16-PlantAdditions'!$E$103</f>
        <v>0</v>
      </c>
      <c r="J94" s="63">
        <f t="shared" si="33"/>
        <v>-5.8207660913467407E-11</v>
      </c>
      <c r="K94" s="63">
        <f t="shared" si="34"/>
        <v>-157682.99000000005</v>
      </c>
    </row>
    <row r="95" spans="1:11" s="650" customFormat="1" ht="13">
      <c r="A95" s="110">
        <f t="shared" si="31"/>
        <v>62</v>
      </c>
      <c r="B95" s="612" t="s">
        <v>186</v>
      </c>
      <c r="C95" s="613">
        <v>2020</v>
      </c>
      <c r="D95" s="995">
        <v>0</v>
      </c>
      <c r="E95" s="63">
        <f>D95*'16-PlantAdditions'!$E$103</f>
        <v>0</v>
      </c>
      <c r="F95" s="63">
        <f t="shared" si="32"/>
        <v>0</v>
      </c>
      <c r="G95" s="995">
        <v>0</v>
      </c>
      <c r="H95" s="995">
        <v>0</v>
      </c>
      <c r="I95" s="63">
        <f>(G95-H95)*'16-PlantAdditions'!$E$103</f>
        <v>0</v>
      </c>
      <c r="J95" s="63">
        <f t="shared" si="33"/>
        <v>-5.8207660913467407E-11</v>
      </c>
      <c r="K95" s="63">
        <f t="shared" si="34"/>
        <v>-157682.99000000005</v>
      </c>
    </row>
    <row r="96" spans="1:11" s="650" customFormat="1" ht="13">
      <c r="A96" s="110">
        <f t="shared" si="31"/>
        <v>63</v>
      </c>
      <c r="B96" s="615" t="s">
        <v>187</v>
      </c>
      <c r="C96" s="613">
        <v>2020</v>
      </c>
      <c r="D96" s="995">
        <v>0</v>
      </c>
      <c r="E96" s="63">
        <f>D96*'16-PlantAdditions'!$E$103</f>
        <v>0</v>
      </c>
      <c r="F96" s="63">
        <f t="shared" si="32"/>
        <v>0</v>
      </c>
      <c r="G96" s="995">
        <v>0</v>
      </c>
      <c r="H96" s="995">
        <v>0</v>
      </c>
      <c r="I96" s="63">
        <f>(G96-H96)*'16-PlantAdditions'!$E$103</f>
        <v>0</v>
      </c>
      <c r="J96" s="63">
        <f t="shared" si="33"/>
        <v>-5.8207660913467407E-11</v>
      </c>
      <c r="K96" s="63">
        <f t="shared" si="34"/>
        <v>-157682.99000000005</v>
      </c>
    </row>
    <row r="97" spans="1:11" s="650" customFormat="1" ht="13">
      <c r="A97" s="110">
        <f t="shared" si="31"/>
        <v>64</v>
      </c>
      <c r="B97" s="615" t="s">
        <v>188</v>
      </c>
      <c r="C97" s="613">
        <v>2020</v>
      </c>
      <c r="D97" s="995">
        <v>0</v>
      </c>
      <c r="E97" s="63">
        <f>D97*'16-PlantAdditions'!$E$103</f>
        <v>0</v>
      </c>
      <c r="F97" s="63">
        <f t="shared" si="32"/>
        <v>0</v>
      </c>
      <c r="G97" s="995">
        <v>0</v>
      </c>
      <c r="H97" s="995">
        <v>0</v>
      </c>
      <c r="I97" s="63">
        <f>(G97-H97)*'16-PlantAdditions'!$E$103</f>
        <v>0</v>
      </c>
      <c r="J97" s="63">
        <f t="shared" si="33"/>
        <v>-5.8207660913467407E-11</v>
      </c>
      <c r="K97" s="63">
        <f t="shared" si="34"/>
        <v>-157682.99000000005</v>
      </c>
    </row>
    <row r="98" spans="1:11" s="650" customFormat="1" ht="13">
      <c r="A98" s="110">
        <f t="shared" si="31"/>
        <v>65</v>
      </c>
      <c r="B98" s="612" t="s">
        <v>191</v>
      </c>
      <c r="C98" s="613">
        <v>2020</v>
      </c>
      <c r="D98" s="995">
        <v>0</v>
      </c>
      <c r="E98" s="63">
        <f>D98*'16-PlantAdditions'!$E$103</f>
        <v>0</v>
      </c>
      <c r="F98" s="63">
        <f t="shared" si="32"/>
        <v>0</v>
      </c>
      <c r="G98" s="995">
        <v>0</v>
      </c>
      <c r="H98" s="995">
        <v>0</v>
      </c>
      <c r="I98" s="63">
        <f>(G98-H98)*'16-PlantAdditions'!$E$103</f>
        <v>0</v>
      </c>
      <c r="J98" s="63">
        <f t="shared" si="33"/>
        <v>-5.8207660913467407E-11</v>
      </c>
      <c r="K98" s="63">
        <f t="shared" si="34"/>
        <v>-157682.99000000005</v>
      </c>
    </row>
    <row r="99" spans="1:11" s="650" customFormat="1" ht="13">
      <c r="A99" s="110">
        <f t="shared" si="31"/>
        <v>66</v>
      </c>
      <c r="B99" s="612" t="s">
        <v>190</v>
      </c>
      <c r="C99" s="613">
        <v>2020</v>
      </c>
      <c r="D99" s="995">
        <v>0</v>
      </c>
      <c r="E99" s="63">
        <f>D99*'16-PlantAdditions'!$E$103</f>
        <v>0</v>
      </c>
      <c r="F99" s="63">
        <f t="shared" si="32"/>
        <v>0</v>
      </c>
      <c r="G99" s="995">
        <v>0</v>
      </c>
      <c r="H99" s="995">
        <v>0</v>
      </c>
      <c r="I99" s="63">
        <f>(G99-H99)*'16-PlantAdditions'!$E$103</f>
        <v>0</v>
      </c>
      <c r="J99" s="63">
        <f t="shared" si="33"/>
        <v>-5.8207660913467407E-11</v>
      </c>
      <c r="K99" s="63">
        <f t="shared" si="34"/>
        <v>-157682.99000000005</v>
      </c>
    </row>
    <row r="100" spans="1:11" s="650" customFormat="1" ht="13">
      <c r="A100" s="110">
        <f t="shared" si="31"/>
        <v>67</v>
      </c>
      <c r="B100" s="612" t="s">
        <v>180</v>
      </c>
      <c r="C100" s="613">
        <v>2020</v>
      </c>
      <c r="D100" s="995">
        <v>287364</v>
      </c>
      <c r="E100" s="63">
        <f>D100*'16-PlantAdditions'!$E$103</f>
        <v>21552.3</v>
      </c>
      <c r="F100" s="63">
        <f t="shared" si="32"/>
        <v>308916.3</v>
      </c>
      <c r="G100" s="995">
        <v>287364</v>
      </c>
      <c r="H100" s="995">
        <v>0</v>
      </c>
      <c r="I100" s="63">
        <f>(G100-H100)*'16-PlantAdditions'!$E$103</f>
        <v>21552.3</v>
      </c>
      <c r="J100" s="63">
        <f t="shared" si="33"/>
        <v>-6.9121597334742546E-11</v>
      </c>
      <c r="K100" s="63">
        <f t="shared" si="34"/>
        <v>-157682.99000000005</v>
      </c>
    </row>
    <row r="101" spans="1:11" s="650" customFormat="1" ht="13">
      <c r="A101" s="110">
        <f t="shared" si="31"/>
        <v>68</v>
      </c>
      <c r="B101" s="612" t="s">
        <v>181</v>
      </c>
      <c r="C101" s="613">
        <v>2021</v>
      </c>
      <c r="D101" s="995">
        <v>0</v>
      </c>
      <c r="E101" s="63">
        <f>D101*'16-PlantAdditions'!$E$103</f>
        <v>0</v>
      </c>
      <c r="F101" s="63">
        <f t="shared" si="32"/>
        <v>0</v>
      </c>
      <c r="G101" s="995">
        <v>0</v>
      </c>
      <c r="H101" s="995">
        <v>0</v>
      </c>
      <c r="I101" s="63">
        <f>(G101-H101)*'16-PlantAdditions'!$E$103</f>
        <v>0</v>
      </c>
      <c r="J101" s="63">
        <f t="shared" si="33"/>
        <v>-6.9121597334742546E-11</v>
      </c>
      <c r="K101" s="63">
        <f t="shared" si="34"/>
        <v>-157682.99000000005</v>
      </c>
    </row>
    <row r="102" spans="1:11" s="650" customFormat="1" ht="13">
      <c r="A102" s="110">
        <f t="shared" si="31"/>
        <v>69</v>
      </c>
      <c r="B102" s="615" t="s">
        <v>182</v>
      </c>
      <c r="C102" s="613">
        <v>2021</v>
      </c>
      <c r="D102" s="995">
        <v>0</v>
      </c>
      <c r="E102" s="63">
        <f>D102*'16-PlantAdditions'!$E$103</f>
        <v>0</v>
      </c>
      <c r="F102" s="63">
        <f t="shared" si="32"/>
        <v>0</v>
      </c>
      <c r="G102" s="995">
        <v>0</v>
      </c>
      <c r="H102" s="995">
        <v>0</v>
      </c>
      <c r="I102" s="63">
        <f>(G102-H102)*'16-PlantAdditions'!$E$103</f>
        <v>0</v>
      </c>
      <c r="J102" s="63">
        <f t="shared" si="33"/>
        <v>-6.9121597334742546E-11</v>
      </c>
      <c r="K102" s="63">
        <f t="shared" si="34"/>
        <v>-157682.99000000005</v>
      </c>
    </row>
    <row r="103" spans="1:11" s="650" customFormat="1" ht="13">
      <c r="A103" s="110">
        <f t="shared" si="31"/>
        <v>70</v>
      </c>
      <c r="B103" s="615" t="s">
        <v>195</v>
      </c>
      <c r="C103" s="613">
        <v>2021</v>
      </c>
      <c r="D103" s="995">
        <v>0</v>
      </c>
      <c r="E103" s="63">
        <f>D103*'16-PlantAdditions'!$E$103</f>
        <v>0</v>
      </c>
      <c r="F103" s="63">
        <f t="shared" si="32"/>
        <v>0</v>
      </c>
      <c r="G103" s="995">
        <v>0</v>
      </c>
      <c r="H103" s="995">
        <v>0</v>
      </c>
      <c r="I103" s="63">
        <f>(G103-H103)*'16-PlantAdditions'!$E$103</f>
        <v>0</v>
      </c>
      <c r="J103" s="63">
        <f t="shared" si="33"/>
        <v>-6.9121597334742546E-11</v>
      </c>
      <c r="K103" s="63">
        <f t="shared" si="34"/>
        <v>-157682.99000000005</v>
      </c>
    </row>
    <row r="104" spans="1:11" s="650" customFormat="1" ht="13">
      <c r="A104" s="110">
        <f t="shared" si="31"/>
        <v>71</v>
      </c>
      <c r="B104" s="612" t="s">
        <v>183</v>
      </c>
      <c r="C104" s="613">
        <v>2021</v>
      </c>
      <c r="D104" s="995">
        <v>0</v>
      </c>
      <c r="E104" s="63">
        <f>D104*'16-PlantAdditions'!$E$103</f>
        <v>0</v>
      </c>
      <c r="F104" s="63">
        <f t="shared" si="32"/>
        <v>0</v>
      </c>
      <c r="G104" s="995">
        <v>0</v>
      </c>
      <c r="H104" s="995">
        <v>0</v>
      </c>
      <c r="I104" s="63">
        <f>(G104-H104)*'16-PlantAdditions'!$E$103</f>
        <v>0</v>
      </c>
      <c r="J104" s="63">
        <f t="shared" si="33"/>
        <v>-6.9121597334742546E-11</v>
      </c>
      <c r="K104" s="63">
        <f t="shared" si="34"/>
        <v>-157682.99000000005</v>
      </c>
    </row>
    <row r="105" spans="1:11" s="650" customFormat="1" ht="13">
      <c r="A105" s="110">
        <f t="shared" si="31"/>
        <v>72</v>
      </c>
      <c r="B105" s="615" t="s">
        <v>184</v>
      </c>
      <c r="C105" s="613">
        <v>2021</v>
      </c>
      <c r="D105" s="995">
        <v>0</v>
      </c>
      <c r="E105" s="63">
        <f>D105*'16-PlantAdditions'!$E$103</f>
        <v>0</v>
      </c>
      <c r="F105" s="63">
        <f t="shared" si="32"/>
        <v>0</v>
      </c>
      <c r="G105" s="995">
        <v>0</v>
      </c>
      <c r="H105" s="995">
        <v>0</v>
      </c>
      <c r="I105" s="63">
        <f>(G105-H105)*'16-PlantAdditions'!$E$103</f>
        <v>0</v>
      </c>
      <c r="J105" s="63">
        <f t="shared" si="33"/>
        <v>-6.9121597334742546E-11</v>
      </c>
      <c r="K105" s="63">
        <f t="shared" si="34"/>
        <v>-157682.99000000005</v>
      </c>
    </row>
    <row r="106" spans="1:11" s="650" customFormat="1" ht="13">
      <c r="A106" s="110">
        <f t="shared" si="31"/>
        <v>73</v>
      </c>
      <c r="B106" s="615" t="s">
        <v>1460</v>
      </c>
      <c r="C106" s="613">
        <v>2021</v>
      </c>
      <c r="D106" s="995">
        <v>0</v>
      </c>
      <c r="E106" s="63">
        <f>D106*'16-PlantAdditions'!$E$103</f>
        <v>0</v>
      </c>
      <c r="F106" s="63">
        <f t="shared" si="32"/>
        <v>0</v>
      </c>
      <c r="G106" s="995">
        <v>0</v>
      </c>
      <c r="H106" s="995">
        <v>0</v>
      </c>
      <c r="I106" s="63">
        <f>(G106-H106)*'16-PlantAdditions'!$E$103</f>
        <v>0</v>
      </c>
      <c r="J106" s="63">
        <f t="shared" si="33"/>
        <v>-6.9121597334742546E-11</v>
      </c>
      <c r="K106" s="63">
        <f t="shared" si="34"/>
        <v>-157682.99000000005</v>
      </c>
    </row>
    <row r="107" spans="1:11" s="650" customFormat="1" ht="13">
      <c r="A107" s="110">
        <f t="shared" si="31"/>
        <v>74</v>
      </c>
      <c r="B107" s="612" t="s">
        <v>186</v>
      </c>
      <c r="C107" s="613">
        <v>2021</v>
      </c>
      <c r="D107" s="995">
        <v>0</v>
      </c>
      <c r="E107" s="63">
        <f>D107*'16-PlantAdditions'!$E$103</f>
        <v>0</v>
      </c>
      <c r="F107" s="63">
        <f t="shared" si="32"/>
        <v>0</v>
      </c>
      <c r="G107" s="995">
        <v>0</v>
      </c>
      <c r="H107" s="995">
        <v>0</v>
      </c>
      <c r="I107" s="63">
        <f>(G107-H107)*'16-PlantAdditions'!$E$103</f>
        <v>0</v>
      </c>
      <c r="J107" s="63">
        <f t="shared" si="33"/>
        <v>-6.9121597334742546E-11</v>
      </c>
      <c r="K107" s="63">
        <f t="shared" si="34"/>
        <v>-157682.99000000005</v>
      </c>
    </row>
    <row r="108" spans="1:11" s="650" customFormat="1" ht="13">
      <c r="A108" s="110">
        <f t="shared" si="31"/>
        <v>75</v>
      </c>
      <c r="B108" s="615" t="s">
        <v>187</v>
      </c>
      <c r="C108" s="613">
        <v>2021</v>
      </c>
      <c r="D108" s="995">
        <v>0</v>
      </c>
      <c r="E108" s="63">
        <f>D108*'16-PlantAdditions'!$E$103</f>
        <v>0</v>
      </c>
      <c r="F108" s="63">
        <f t="shared" si="32"/>
        <v>0</v>
      </c>
      <c r="G108" s="995">
        <v>0</v>
      </c>
      <c r="H108" s="995">
        <v>0</v>
      </c>
      <c r="I108" s="63">
        <f>(G108-H108)*'16-PlantAdditions'!$E$103</f>
        <v>0</v>
      </c>
      <c r="J108" s="63">
        <f t="shared" si="33"/>
        <v>-6.9121597334742546E-11</v>
      </c>
      <c r="K108" s="63">
        <f t="shared" si="34"/>
        <v>-157682.99000000005</v>
      </c>
    </row>
    <row r="109" spans="1:11" s="650" customFormat="1" ht="13">
      <c r="A109" s="110">
        <f>A108+1</f>
        <v>76</v>
      </c>
      <c r="B109" s="615" t="s">
        <v>188</v>
      </c>
      <c r="C109" s="613">
        <v>2021</v>
      </c>
      <c r="D109" s="995">
        <v>0</v>
      </c>
      <c r="E109" s="63">
        <f>D109*'16-PlantAdditions'!$E$103</f>
        <v>0</v>
      </c>
      <c r="F109" s="63">
        <f t="shared" si="32"/>
        <v>0</v>
      </c>
      <c r="G109" s="995">
        <v>0</v>
      </c>
      <c r="H109" s="995">
        <v>0</v>
      </c>
      <c r="I109" s="63">
        <f>(G109-H109)*'16-PlantAdditions'!$E$103</f>
        <v>0</v>
      </c>
      <c r="J109" s="63">
        <f>J108+F109-G109-I109</f>
        <v>-6.9121597334742546E-11</v>
      </c>
      <c r="K109" s="63">
        <f t="shared" si="34"/>
        <v>-157682.99000000005</v>
      </c>
    </row>
    <row r="110" spans="1:11" s="650" customFormat="1" ht="13">
      <c r="A110" s="110">
        <f t="shared" ref="A110:A113" si="35">A109+1</f>
        <v>77</v>
      </c>
      <c r="B110" s="615" t="s">
        <v>191</v>
      </c>
      <c r="C110" s="613">
        <v>2021</v>
      </c>
      <c r="D110" s="995">
        <v>0</v>
      </c>
      <c r="E110" s="63">
        <f>D110*'16-PlantAdditions'!$E$103</f>
        <v>0</v>
      </c>
      <c r="F110" s="63">
        <f t="shared" si="32"/>
        <v>0</v>
      </c>
      <c r="G110" s="995">
        <v>0</v>
      </c>
      <c r="H110" s="995">
        <v>0</v>
      </c>
      <c r="I110" s="63">
        <f>(G110-H110)*'16-PlantAdditions'!$E$103</f>
        <v>0</v>
      </c>
      <c r="J110" s="63">
        <f t="shared" ref="J110:J112" si="36">J109+F110-G110-I110</f>
        <v>-6.9121597334742546E-11</v>
      </c>
      <c r="K110" s="63">
        <f t="shared" si="34"/>
        <v>-157682.99000000005</v>
      </c>
    </row>
    <row r="111" spans="1:11" s="650" customFormat="1" ht="13">
      <c r="A111" s="110">
        <f t="shared" si="35"/>
        <v>78</v>
      </c>
      <c r="B111" s="615" t="s">
        <v>190</v>
      </c>
      <c r="C111" s="613">
        <v>2021</v>
      </c>
      <c r="D111" s="995">
        <v>0</v>
      </c>
      <c r="E111" s="63">
        <f>D111*'16-PlantAdditions'!$E$103</f>
        <v>0</v>
      </c>
      <c r="F111" s="63">
        <f t="shared" si="32"/>
        <v>0</v>
      </c>
      <c r="G111" s="995">
        <v>0</v>
      </c>
      <c r="H111" s="995">
        <v>0</v>
      </c>
      <c r="I111" s="63">
        <f>(G111-H111)*'16-PlantAdditions'!$E$103</f>
        <v>0</v>
      </c>
      <c r="J111" s="63">
        <f t="shared" si="36"/>
        <v>-6.9121597334742546E-11</v>
      </c>
      <c r="K111" s="63">
        <f t="shared" si="34"/>
        <v>-157682.99000000005</v>
      </c>
    </row>
    <row r="112" spans="1:11" s="650" customFormat="1" ht="13">
      <c r="A112" s="110">
        <f t="shared" si="35"/>
        <v>79</v>
      </c>
      <c r="B112" s="615" t="s">
        <v>180</v>
      </c>
      <c r="C112" s="613">
        <v>2021</v>
      </c>
      <c r="D112" s="995">
        <v>0</v>
      </c>
      <c r="E112" s="63">
        <f>D112*'16-PlantAdditions'!$E$103</f>
        <v>0</v>
      </c>
      <c r="F112" s="63">
        <f t="shared" si="32"/>
        <v>0</v>
      </c>
      <c r="G112" s="995">
        <v>0</v>
      </c>
      <c r="H112" s="995">
        <v>0</v>
      </c>
      <c r="I112" s="63">
        <f>(G112-H112)*'16-PlantAdditions'!$E$103</f>
        <v>0</v>
      </c>
      <c r="J112" s="63">
        <f t="shared" si="36"/>
        <v>-6.9121597334742546E-11</v>
      </c>
      <c r="K112" s="111">
        <f t="shared" si="34"/>
        <v>-157682.99000000005</v>
      </c>
    </row>
    <row r="113" spans="1:11" s="650" customFormat="1" ht="13">
      <c r="A113" s="110">
        <f t="shared" si="35"/>
        <v>80</v>
      </c>
      <c r="B113"/>
      <c r="C113" s="649" t="s">
        <v>1605</v>
      </c>
      <c r="D113"/>
      <c r="E113"/>
      <c r="F113"/>
      <c r="G113"/>
      <c r="H113"/>
      <c r="I113"/>
      <c r="J113"/>
      <c r="K113" s="73">
        <f>AVERAGE(K100:K112)</f>
        <v>-157682.99000000002</v>
      </c>
    </row>
    <row r="114" spans="1:11" s="650" customFormat="1" ht="13">
      <c r="A114" s="110"/>
      <c r="B114"/>
      <c r="C114" s="649"/>
      <c r="D114"/>
      <c r="E114"/>
      <c r="F114"/>
      <c r="G114"/>
      <c r="H114"/>
      <c r="I114"/>
      <c r="J114"/>
      <c r="K114" s="73"/>
    </row>
    <row r="115" spans="1:11" s="650" customFormat="1" ht="13">
      <c r="B115" s="651" t="s">
        <v>1932</v>
      </c>
      <c r="D115" s="1468" t="s">
        <v>2794</v>
      </c>
      <c r="E115" s="1468"/>
    </row>
    <row r="116" spans="1:11" s="650" customFormat="1" ht="13">
      <c r="A116" s="645"/>
      <c r="B116" s="645"/>
      <c r="C116" s="645"/>
      <c r="D116" s="645" t="s">
        <v>358</v>
      </c>
      <c r="E116" s="645" t="s">
        <v>342</v>
      </c>
      <c r="F116" s="645" t="s">
        <v>343</v>
      </c>
      <c r="G116" s="645" t="s">
        <v>344</v>
      </c>
      <c r="H116" s="645" t="s">
        <v>345</v>
      </c>
      <c r="I116" s="645" t="s">
        <v>346</v>
      </c>
      <c r="J116" s="645" t="s">
        <v>347</v>
      </c>
      <c r="K116" s="645" t="s">
        <v>534</v>
      </c>
    </row>
    <row r="117" spans="1:11" s="650" customFormat="1" ht="25.5">
      <c r="D117" s="652"/>
      <c r="E117" s="653" t="s">
        <v>2064</v>
      </c>
      <c r="F117" s="654" t="s">
        <v>1929</v>
      </c>
      <c r="G117" s="529"/>
      <c r="H117" s="652"/>
      <c r="I117" s="653" t="s">
        <v>2065</v>
      </c>
      <c r="J117" s="653" t="s">
        <v>1930</v>
      </c>
      <c r="K117" s="653" t="s">
        <v>1931</v>
      </c>
    </row>
    <row r="118" spans="1:11" s="650" customFormat="1" ht="13">
      <c r="D118" s="652"/>
      <c r="E118" s="652"/>
      <c r="F118" s="652"/>
      <c r="G118" s="553" t="str">
        <f>G51</f>
        <v>Unloaded</v>
      </c>
      <c r="H118" s="652"/>
      <c r="I118" s="652"/>
    </row>
    <row r="119" spans="1:11" s="650" customFormat="1" ht="13">
      <c r="A119" s="647"/>
      <c r="B119" s="647"/>
      <c r="C119" s="647"/>
      <c r="D119" s="647" t="str">
        <f>D$52</f>
        <v>Forecast</v>
      </c>
      <c r="E119" s="647" t="str">
        <f t="shared" ref="E119:J119" si="37">E$52</f>
        <v>Corporate</v>
      </c>
      <c r="F119" s="647" t="str">
        <f t="shared" si="37"/>
        <v xml:space="preserve">Total </v>
      </c>
      <c r="G119" s="553" t="str">
        <f>G52</f>
        <v>Total</v>
      </c>
      <c r="H119" s="647" t="str">
        <f t="shared" si="37"/>
        <v>Prior Period</v>
      </c>
      <c r="I119" s="647" t="str">
        <f t="shared" si="37"/>
        <v>Over Heads</v>
      </c>
      <c r="J119" s="647" t="str">
        <f t="shared" si="37"/>
        <v>Forecast</v>
      </c>
      <c r="K119" s="553" t="str">
        <f>K$52</f>
        <v>Forecast Period</v>
      </c>
    </row>
    <row r="120" spans="1:11" s="650" customFormat="1" ht="13">
      <c r="A120" s="840" t="s">
        <v>329</v>
      </c>
      <c r="B120" s="611" t="s">
        <v>192</v>
      </c>
      <c r="C120" s="611" t="s">
        <v>193</v>
      </c>
      <c r="D120" s="645" t="str">
        <f>D$53</f>
        <v>Expenditures</v>
      </c>
      <c r="E120" s="645" t="str">
        <f t="shared" ref="E120:J120" si="38">E$53</f>
        <v>Overheads</v>
      </c>
      <c r="F120" s="645" t="str">
        <f t="shared" si="38"/>
        <v>CWIP Exp</v>
      </c>
      <c r="G120" s="3" t="str">
        <f>G53</f>
        <v>Plant Adds</v>
      </c>
      <c r="H120" s="645" t="str">
        <f t="shared" si="38"/>
        <v>CWIP Closed</v>
      </c>
      <c r="I120" s="645" t="str">
        <f t="shared" si="38"/>
        <v>Closed to PIS</v>
      </c>
      <c r="J120" s="645" t="str">
        <f t="shared" si="38"/>
        <v>Period CWIP</v>
      </c>
      <c r="K120" s="645" t="str">
        <f>K$53</f>
        <v>Incremental CWIP</v>
      </c>
    </row>
    <row r="121" spans="1:11" s="650" customFormat="1" ht="13">
      <c r="A121" s="110">
        <f>A113+1</f>
        <v>81</v>
      </c>
      <c r="B121" s="612" t="s">
        <v>180</v>
      </c>
      <c r="C121" s="613">
        <v>2019</v>
      </c>
      <c r="D121" s="654" t="s">
        <v>76</v>
      </c>
      <c r="E121" s="654" t="s">
        <v>76</v>
      </c>
      <c r="F121" s="654" t="s">
        <v>76</v>
      </c>
      <c r="G121" s="654" t="s">
        <v>76</v>
      </c>
      <c r="H121" s="654" t="s">
        <v>76</v>
      </c>
      <c r="I121" s="654" t="s">
        <v>76</v>
      </c>
      <c r="J121" s="63">
        <f>F25</f>
        <v>0</v>
      </c>
      <c r="K121" s="654" t="s">
        <v>76</v>
      </c>
    </row>
    <row r="122" spans="1:11" s="650" customFormat="1" ht="13">
      <c r="A122" s="110">
        <f>A121+1</f>
        <v>82</v>
      </c>
      <c r="B122" s="612" t="s">
        <v>181</v>
      </c>
      <c r="C122" s="613">
        <v>2020</v>
      </c>
      <c r="D122" s="995">
        <v>0</v>
      </c>
      <c r="E122" s="63">
        <f>D122*'16-PlantAdditions'!$E$103</f>
        <v>0</v>
      </c>
      <c r="F122" s="63">
        <f>E122+D122</f>
        <v>0</v>
      </c>
      <c r="G122" s="995">
        <v>0</v>
      </c>
      <c r="H122" s="995">
        <v>0</v>
      </c>
      <c r="I122" s="63">
        <f>(G122-H122)*'16-PlantAdditions'!$E$103</f>
        <v>0</v>
      </c>
      <c r="J122" s="63">
        <f>J121+F122-G122-I122</f>
        <v>0</v>
      </c>
      <c r="K122" s="481">
        <f>J122-$J$121</f>
        <v>0</v>
      </c>
    </row>
    <row r="123" spans="1:11" s="650" customFormat="1" ht="13">
      <c r="A123" s="110">
        <f t="shared" ref="A123:A146" si="39">A122+1</f>
        <v>83</v>
      </c>
      <c r="B123" s="615" t="s">
        <v>182</v>
      </c>
      <c r="C123" s="613">
        <v>2020</v>
      </c>
      <c r="D123" s="995">
        <v>0</v>
      </c>
      <c r="E123" s="63">
        <f>D123*'16-PlantAdditions'!$E$103</f>
        <v>0</v>
      </c>
      <c r="F123" s="63">
        <f t="shared" ref="F123:F145" si="40">E123+D123</f>
        <v>0</v>
      </c>
      <c r="G123" s="995">
        <v>0</v>
      </c>
      <c r="H123" s="995">
        <v>0</v>
      </c>
      <c r="I123" s="63">
        <f>(G123-H123)*'16-PlantAdditions'!$E$103</f>
        <v>0</v>
      </c>
      <c r="J123" s="63">
        <f t="shared" ref="J123:J145" si="41">J122+F123-G123-I123</f>
        <v>0</v>
      </c>
      <c r="K123" s="481">
        <f t="shared" ref="K123:K145" si="42">J123-$J$121</f>
        <v>0</v>
      </c>
    </row>
    <row r="124" spans="1:11" s="650" customFormat="1" ht="13">
      <c r="A124" s="110">
        <f t="shared" si="39"/>
        <v>84</v>
      </c>
      <c r="B124" s="615" t="s">
        <v>195</v>
      </c>
      <c r="C124" s="613">
        <v>2020</v>
      </c>
      <c r="D124" s="995">
        <v>0</v>
      </c>
      <c r="E124" s="63">
        <f>D124*'16-PlantAdditions'!$E$103</f>
        <v>0</v>
      </c>
      <c r="F124" s="63">
        <f t="shared" si="40"/>
        <v>0</v>
      </c>
      <c r="G124" s="995">
        <v>0</v>
      </c>
      <c r="H124" s="995">
        <v>0</v>
      </c>
      <c r="I124" s="63">
        <f>(G124-H124)*'16-PlantAdditions'!$E$103</f>
        <v>0</v>
      </c>
      <c r="J124" s="63">
        <f t="shared" si="41"/>
        <v>0</v>
      </c>
      <c r="K124" s="481">
        <f t="shared" si="42"/>
        <v>0</v>
      </c>
    </row>
    <row r="125" spans="1:11" s="650" customFormat="1" ht="13">
      <c r="A125" s="110">
        <f t="shared" si="39"/>
        <v>85</v>
      </c>
      <c r="B125" s="612" t="s">
        <v>183</v>
      </c>
      <c r="C125" s="613">
        <v>2020</v>
      </c>
      <c r="D125" s="995">
        <v>0</v>
      </c>
      <c r="E125" s="63">
        <f>D125*'16-PlantAdditions'!$E$103</f>
        <v>0</v>
      </c>
      <c r="F125" s="63">
        <f t="shared" si="40"/>
        <v>0</v>
      </c>
      <c r="G125" s="995">
        <v>0</v>
      </c>
      <c r="H125" s="995">
        <v>0</v>
      </c>
      <c r="I125" s="63">
        <f>(G125-H125)*'16-PlantAdditions'!$E$103</f>
        <v>0</v>
      </c>
      <c r="J125" s="63">
        <f t="shared" si="41"/>
        <v>0</v>
      </c>
      <c r="K125" s="481">
        <f t="shared" si="42"/>
        <v>0</v>
      </c>
    </row>
    <row r="126" spans="1:11" s="650" customFormat="1" ht="13">
      <c r="A126" s="110">
        <f t="shared" si="39"/>
        <v>86</v>
      </c>
      <c r="B126" s="615" t="s">
        <v>184</v>
      </c>
      <c r="C126" s="613">
        <v>2020</v>
      </c>
      <c r="D126" s="995">
        <v>0</v>
      </c>
      <c r="E126" s="63">
        <f>D126*'16-PlantAdditions'!$E$103</f>
        <v>0</v>
      </c>
      <c r="F126" s="63">
        <f t="shared" si="40"/>
        <v>0</v>
      </c>
      <c r="G126" s="995">
        <v>0</v>
      </c>
      <c r="H126" s="995">
        <v>0</v>
      </c>
      <c r="I126" s="63">
        <f>(G126-H126)*'16-PlantAdditions'!$E$103</f>
        <v>0</v>
      </c>
      <c r="J126" s="63">
        <f t="shared" si="41"/>
        <v>0</v>
      </c>
      <c r="K126" s="481">
        <f t="shared" si="42"/>
        <v>0</v>
      </c>
    </row>
    <row r="127" spans="1:11" s="650" customFormat="1" ht="13">
      <c r="A127" s="110">
        <f t="shared" si="39"/>
        <v>87</v>
      </c>
      <c r="B127" s="615" t="s">
        <v>1460</v>
      </c>
      <c r="C127" s="613">
        <v>2020</v>
      </c>
      <c r="D127" s="995">
        <v>0</v>
      </c>
      <c r="E127" s="63">
        <f>D127*'16-PlantAdditions'!$E$103</f>
        <v>0</v>
      </c>
      <c r="F127" s="63">
        <f t="shared" si="40"/>
        <v>0</v>
      </c>
      <c r="G127" s="995">
        <v>0</v>
      </c>
      <c r="H127" s="995">
        <v>0</v>
      </c>
      <c r="I127" s="63">
        <f>(G127-H127)*'16-PlantAdditions'!$E$103</f>
        <v>0</v>
      </c>
      <c r="J127" s="63">
        <f t="shared" si="41"/>
        <v>0</v>
      </c>
      <c r="K127" s="481">
        <f t="shared" si="42"/>
        <v>0</v>
      </c>
    </row>
    <row r="128" spans="1:11" s="650" customFormat="1" ht="13">
      <c r="A128" s="110">
        <f t="shared" si="39"/>
        <v>88</v>
      </c>
      <c r="B128" s="612" t="s">
        <v>186</v>
      </c>
      <c r="C128" s="613">
        <v>2020</v>
      </c>
      <c r="D128" s="995">
        <v>0</v>
      </c>
      <c r="E128" s="63">
        <f>D128*'16-PlantAdditions'!$E$103</f>
        <v>0</v>
      </c>
      <c r="F128" s="63">
        <f t="shared" si="40"/>
        <v>0</v>
      </c>
      <c r="G128" s="995">
        <v>0</v>
      </c>
      <c r="H128" s="995">
        <v>0</v>
      </c>
      <c r="I128" s="63">
        <f>(G128-H128)*'16-PlantAdditions'!$E$103</f>
        <v>0</v>
      </c>
      <c r="J128" s="63">
        <f t="shared" si="41"/>
        <v>0</v>
      </c>
      <c r="K128" s="481">
        <f t="shared" si="42"/>
        <v>0</v>
      </c>
    </row>
    <row r="129" spans="1:11" s="650" customFormat="1" ht="13">
      <c r="A129" s="110">
        <f t="shared" si="39"/>
        <v>89</v>
      </c>
      <c r="B129" s="615" t="s">
        <v>187</v>
      </c>
      <c r="C129" s="613">
        <v>2020</v>
      </c>
      <c r="D129" s="995">
        <v>0</v>
      </c>
      <c r="E129" s="63">
        <f>D129*'16-PlantAdditions'!$E$103</f>
        <v>0</v>
      </c>
      <c r="F129" s="63">
        <f t="shared" si="40"/>
        <v>0</v>
      </c>
      <c r="G129" s="995">
        <v>0</v>
      </c>
      <c r="H129" s="995">
        <v>0</v>
      </c>
      <c r="I129" s="63">
        <f>(G129-H129)*'16-PlantAdditions'!$E$103</f>
        <v>0</v>
      </c>
      <c r="J129" s="63">
        <f t="shared" si="41"/>
        <v>0</v>
      </c>
      <c r="K129" s="481">
        <f t="shared" si="42"/>
        <v>0</v>
      </c>
    </row>
    <row r="130" spans="1:11" s="650" customFormat="1" ht="13">
      <c r="A130" s="110">
        <f t="shared" si="39"/>
        <v>90</v>
      </c>
      <c r="B130" s="615" t="s">
        <v>188</v>
      </c>
      <c r="C130" s="613">
        <v>2020</v>
      </c>
      <c r="D130" s="995">
        <v>0</v>
      </c>
      <c r="E130" s="63">
        <f>D130*'16-PlantAdditions'!$E$103</f>
        <v>0</v>
      </c>
      <c r="F130" s="63">
        <f t="shared" si="40"/>
        <v>0</v>
      </c>
      <c r="G130" s="995">
        <v>0</v>
      </c>
      <c r="H130" s="995">
        <v>0</v>
      </c>
      <c r="I130" s="63">
        <f>(G130-H130)*'16-PlantAdditions'!$E$103</f>
        <v>0</v>
      </c>
      <c r="J130" s="63">
        <f t="shared" si="41"/>
        <v>0</v>
      </c>
      <c r="K130" s="481">
        <f t="shared" si="42"/>
        <v>0</v>
      </c>
    </row>
    <row r="131" spans="1:11" s="650" customFormat="1" ht="13">
      <c r="A131" s="110">
        <f t="shared" si="39"/>
        <v>91</v>
      </c>
      <c r="B131" s="612" t="s">
        <v>191</v>
      </c>
      <c r="C131" s="613">
        <v>2020</v>
      </c>
      <c r="D131" s="995">
        <v>0</v>
      </c>
      <c r="E131" s="63">
        <f>D131*'16-PlantAdditions'!$E$103</f>
        <v>0</v>
      </c>
      <c r="F131" s="63">
        <f t="shared" si="40"/>
        <v>0</v>
      </c>
      <c r="G131" s="995">
        <v>0</v>
      </c>
      <c r="H131" s="995">
        <v>0</v>
      </c>
      <c r="I131" s="63">
        <f>(G131-H131)*'16-PlantAdditions'!$E$103</f>
        <v>0</v>
      </c>
      <c r="J131" s="63">
        <f t="shared" si="41"/>
        <v>0</v>
      </c>
      <c r="K131" s="481">
        <f t="shared" si="42"/>
        <v>0</v>
      </c>
    </row>
    <row r="132" spans="1:11" s="650" customFormat="1" ht="13">
      <c r="A132" s="110">
        <f t="shared" si="39"/>
        <v>92</v>
      </c>
      <c r="B132" s="612" t="s">
        <v>190</v>
      </c>
      <c r="C132" s="613">
        <v>2020</v>
      </c>
      <c r="D132" s="995">
        <v>0</v>
      </c>
      <c r="E132" s="63">
        <f>D132*'16-PlantAdditions'!$E$103</f>
        <v>0</v>
      </c>
      <c r="F132" s="63">
        <f t="shared" si="40"/>
        <v>0</v>
      </c>
      <c r="G132" s="995">
        <v>0</v>
      </c>
      <c r="H132" s="995">
        <v>0</v>
      </c>
      <c r="I132" s="63">
        <f>(G132-H132)*'16-PlantAdditions'!$E$103</f>
        <v>0</v>
      </c>
      <c r="J132" s="63">
        <f t="shared" si="41"/>
        <v>0</v>
      </c>
      <c r="K132" s="481">
        <f t="shared" si="42"/>
        <v>0</v>
      </c>
    </row>
    <row r="133" spans="1:11" s="650" customFormat="1" ht="13">
      <c r="A133" s="110">
        <f t="shared" si="39"/>
        <v>93</v>
      </c>
      <c r="B133" s="612" t="s">
        <v>180</v>
      </c>
      <c r="C133" s="613">
        <v>2020</v>
      </c>
      <c r="D133" s="995">
        <v>0</v>
      </c>
      <c r="E133" s="63">
        <f>D133*'16-PlantAdditions'!$E$103</f>
        <v>0</v>
      </c>
      <c r="F133" s="63">
        <f t="shared" si="40"/>
        <v>0</v>
      </c>
      <c r="G133" s="995">
        <v>0</v>
      </c>
      <c r="H133" s="995">
        <v>0</v>
      </c>
      <c r="I133" s="63">
        <f>(G133-H133)*'16-PlantAdditions'!$E$103</f>
        <v>0</v>
      </c>
      <c r="J133" s="63">
        <f t="shared" si="41"/>
        <v>0</v>
      </c>
      <c r="K133" s="481">
        <f t="shared" si="42"/>
        <v>0</v>
      </c>
    </row>
    <row r="134" spans="1:11" s="650" customFormat="1" ht="13">
      <c r="A134" s="110">
        <f t="shared" si="39"/>
        <v>94</v>
      </c>
      <c r="B134" s="612" t="s">
        <v>181</v>
      </c>
      <c r="C134" s="613">
        <v>2021</v>
      </c>
      <c r="D134" s="995">
        <v>0</v>
      </c>
      <c r="E134" s="63">
        <f>D134*'16-PlantAdditions'!$E$103</f>
        <v>0</v>
      </c>
      <c r="F134" s="63">
        <f t="shared" si="40"/>
        <v>0</v>
      </c>
      <c r="G134" s="995">
        <v>0</v>
      </c>
      <c r="H134" s="995">
        <v>0</v>
      </c>
      <c r="I134" s="63">
        <f>(G134-H134)*'16-PlantAdditions'!$E$103</f>
        <v>0</v>
      </c>
      <c r="J134" s="63">
        <f t="shared" si="41"/>
        <v>0</v>
      </c>
      <c r="K134" s="481">
        <f t="shared" si="42"/>
        <v>0</v>
      </c>
    </row>
    <row r="135" spans="1:11" s="650" customFormat="1" ht="13">
      <c r="A135" s="110">
        <f t="shared" si="39"/>
        <v>95</v>
      </c>
      <c r="B135" s="615" t="s">
        <v>182</v>
      </c>
      <c r="C135" s="613">
        <v>2021</v>
      </c>
      <c r="D135" s="995">
        <v>0</v>
      </c>
      <c r="E135" s="63">
        <f>D135*'16-PlantAdditions'!$E$103</f>
        <v>0</v>
      </c>
      <c r="F135" s="63">
        <f t="shared" si="40"/>
        <v>0</v>
      </c>
      <c r="G135" s="995">
        <v>0</v>
      </c>
      <c r="H135" s="995">
        <v>0</v>
      </c>
      <c r="I135" s="63">
        <f>(G135-H135)*'16-PlantAdditions'!$E$103</f>
        <v>0</v>
      </c>
      <c r="J135" s="63">
        <f t="shared" si="41"/>
        <v>0</v>
      </c>
      <c r="K135" s="481">
        <f t="shared" si="42"/>
        <v>0</v>
      </c>
    </row>
    <row r="136" spans="1:11" s="650" customFormat="1" ht="13">
      <c r="A136" s="110">
        <f t="shared" si="39"/>
        <v>96</v>
      </c>
      <c r="B136" s="615" t="s">
        <v>195</v>
      </c>
      <c r="C136" s="613">
        <v>2021</v>
      </c>
      <c r="D136" s="995">
        <v>0</v>
      </c>
      <c r="E136" s="63">
        <f>D136*'16-PlantAdditions'!$E$103</f>
        <v>0</v>
      </c>
      <c r="F136" s="63">
        <f t="shared" si="40"/>
        <v>0</v>
      </c>
      <c r="G136" s="995">
        <v>0</v>
      </c>
      <c r="H136" s="995">
        <v>0</v>
      </c>
      <c r="I136" s="63">
        <f>(G136-H136)*'16-PlantAdditions'!$E$103</f>
        <v>0</v>
      </c>
      <c r="J136" s="63">
        <f t="shared" si="41"/>
        <v>0</v>
      </c>
      <c r="K136" s="481">
        <f t="shared" si="42"/>
        <v>0</v>
      </c>
    </row>
    <row r="137" spans="1:11" s="650" customFormat="1" ht="13">
      <c r="A137" s="110">
        <f t="shared" si="39"/>
        <v>97</v>
      </c>
      <c r="B137" s="612" t="s">
        <v>183</v>
      </c>
      <c r="C137" s="613">
        <v>2021</v>
      </c>
      <c r="D137" s="995">
        <v>0</v>
      </c>
      <c r="E137" s="63">
        <f>D137*'16-PlantAdditions'!$E$103</f>
        <v>0</v>
      </c>
      <c r="F137" s="63">
        <f t="shared" si="40"/>
        <v>0</v>
      </c>
      <c r="G137" s="995">
        <v>0</v>
      </c>
      <c r="H137" s="995">
        <v>0</v>
      </c>
      <c r="I137" s="63">
        <f>(G137-H137)*'16-PlantAdditions'!$E$103</f>
        <v>0</v>
      </c>
      <c r="J137" s="63">
        <f t="shared" si="41"/>
        <v>0</v>
      </c>
      <c r="K137" s="481">
        <f t="shared" si="42"/>
        <v>0</v>
      </c>
    </row>
    <row r="138" spans="1:11" s="650" customFormat="1" ht="13">
      <c r="A138" s="110">
        <f t="shared" si="39"/>
        <v>98</v>
      </c>
      <c r="B138" s="615" t="s">
        <v>184</v>
      </c>
      <c r="C138" s="613">
        <v>2021</v>
      </c>
      <c r="D138" s="995">
        <v>0</v>
      </c>
      <c r="E138" s="63">
        <f>D138*'16-PlantAdditions'!$E$103</f>
        <v>0</v>
      </c>
      <c r="F138" s="63">
        <f t="shared" si="40"/>
        <v>0</v>
      </c>
      <c r="G138" s="995">
        <v>0</v>
      </c>
      <c r="H138" s="995">
        <v>0</v>
      </c>
      <c r="I138" s="63">
        <f>(G138-H138)*'16-PlantAdditions'!$E$103</f>
        <v>0</v>
      </c>
      <c r="J138" s="63">
        <f t="shared" si="41"/>
        <v>0</v>
      </c>
      <c r="K138" s="481">
        <f t="shared" si="42"/>
        <v>0</v>
      </c>
    </row>
    <row r="139" spans="1:11" s="650" customFormat="1" ht="13">
      <c r="A139" s="110">
        <f t="shared" si="39"/>
        <v>99</v>
      </c>
      <c r="B139" s="615" t="s">
        <v>1460</v>
      </c>
      <c r="C139" s="613">
        <v>2021</v>
      </c>
      <c r="D139" s="995">
        <v>0</v>
      </c>
      <c r="E139" s="63">
        <f>D139*'16-PlantAdditions'!$E$103</f>
        <v>0</v>
      </c>
      <c r="F139" s="63">
        <f t="shared" si="40"/>
        <v>0</v>
      </c>
      <c r="G139" s="995">
        <v>0</v>
      </c>
      <c r="H139" s="995">
        <v>0</v>
      </c>
      <c r="I139" s="63">
        <f>(G139-H139)*'16-PlantAdditions'!$E$103</f>
        <v>0</v>
      </c>
      <c r="J139" s="63">
        <f t="shared" si="41"/>
        <v>0</v>
      </c>
      <c r="K139" s="481">
        <f t="shared" si="42"/>
        <v>0</v>
      </c>
    </row>
    <row r="140" spans="1:11" s="650" customFormat="1" ht="13">
      <c r="A140" s="110">
        <f t="shared" si="39"/>
        <v>100</v>
      </c>
      <c r="B140" s="612" t="s">
        <v>186</v>
      </c>
      <c r="C140" s="613">
        <v>2021</v>
      </c>
      <c r="D140" s="995">
        <v>0</v>
      </c>
      <c r="E140" s="63">
        <f>D140*'16-PlantAdditions'!$E$103</f>
        <v>0</v>
      </c>
      <c r="F140" s="63">
        <f t="shared" si="40"/>
        <v>0</v>
      </c>
      <c r="G140" s="995">
        <v>0</v>
      </c>
      <c r="H140" s="995">
        <v>0</v>
      </c>
      <c r="I140" s="63">
        <f>(G140-H140)*'16-PlantAdditions'!$E$103</f>
        <v>0</v>
      </c>
      <c r="J140" s="63">
        <f t="shared" si="41"/>
        <v>0</v>
      </c>
      <c r="K140" s="481">
        <f t="shared" si="42"/>
        <v>0</v>
      </c>
    </row>
    <row r="141" spans="1:11" s="650" customFormat="1" ht="13">
      <c r="A141" s="110">
        <f t="shared" si="39"/>
        <v>101</v>
      </c>
      <c r="B141" s="615" t="s">
        <v>187</v>
      </c>
      <c r="C141" s="613">
        <v>2021</v>
      </c>
      <c r="D141" s="995">
        <v>0</v>
      </c>
      <c r="E141" s="63">
        <f>D141*'16-PlantAdditions'!$E$103</f>
        <v>0</v>
      </c>
      <c r="F141" s="63">
        <f t="shared" si="40"/>
        <v>0</v>
      </c>
      <c r="G141" s="995">
        <v>0</v>
      </c>
      <c r="H141" s="995">
        <v>0</v>
      </c>
      <c r="I141" s="63">
        <f>(G141-H141)*'16-PlantAdditions'!$E$103</f>
        <v>0</v>
      </c>
      <c r="J141" s="63">
        <f t="shared" si="41"/>
        <v>0</v>
      </c>
      <c r="K141" s="481">
        <f t="shared" si="42"/>
        <v>0</v>
      </c>
    </row>
    <row r="142" spans="1:11" s="650" customFormat="1" ht="13">
      <c r="A142" s="110">
        <f t="shared" si="39"/>
        <v>102</v>
      </c>
      <c r="B142" s="615" t="s">
        <v>188</v>
      </c>
      <c r="C142" s="613">
        <v>2021</v>
      </c>
      <c r="D142" s="995">
        <v>0</v>
      </c>
      <c r="E142" s="63">
        <f>D142*'16-PlantAdditions'!$E$103</f>
        <v>0</v>
      </c>
      <c r="F142" s="63">
        <f t="shared" si="40"/>
        <v>0</v>
      </c>
      <c r="G142" s="995">
        <v>0</v>
      </c>
      <c r="H142" s="995">
        <v>0</v>
      </c>
      <c r="I142" s="63">
        <f>(G142-H142)*'16-PlantAdditions'!$E$103</f>
        <v>0</v>
      </c>
      <c r="J142" s="63">
        <f t="shared" si="41"/>
        <v>0</v>
      </c>
      <c r="K142" s="481">
        <f t="shared" si="42"/>
        <v>0</v>
      </c>
    </row>
    <row r="143" spans="1:11" s="650" customFormat="1" ht="13">
      <c r="A143" s="110">
        <f t="shared" si="39"/>
        <v>103</v>
      </c>
      <c r="B143" s="615" t="s">
        <v>191</v>
      </c>
      <c r="C143" s="613">
        <v>2021</v>
      </c>
      <c r="D143" s="995">
        <v>0</v>
      </c>
      <c r="E143" s="63">
        <f>D143*'16-PlantAdditions'!$E$103</f>
        <v>0</v>
      </c>
      <c r="F143" s="63">
        <f t="shared" si="40"/>
        <v>0</v>
      </c>
      <c r="G143" s="995">
        <v>0</v>
      </c>
      <c r="H143" s="995">
        <v>0</v>
      </c>
      <c r="I143" s="63">
        <f>(G143-H143)*'16-PlantAdditions'!$E$103</f>
        <v>0</v>
      </c>
      <c r="J143" s="63">
        <f t="shared" si="41"/>
        <v>0</v>
      </c>
      <c r="K143" s="481">
        <f t="shared" si="42"/>
        <v>0</v>
      </c>
    </row>
    <row r="144" spans="1:11" s="650" customFormat="1" ht="13">
      <c r="A144" s="110">
        <f t="shared" si="39"/>
        <v>104</v>
      </c>
      <c r="B144" s="615" t="s">
        <v>190</v>
      </c>
      <c r="C144" s="613">
        <v>2021</v>
      </c>
      <c r="D144" s="995">
        <v>0</v>
      </c>
      <c r="E144" s="63">
        <f>D144*'16-PlantAdditions'!$E$103</f>
        <v>0</v>
      </c>
      <c r="F144" s="63">
        <f t="shared" si="40"/>
        <v>0</v>
      </c>
      <c r="G144" s="995">
        <v>0</v>
      </c>
      <c r="H144" s="995">
        <v>0</v>
      </c>
      <c r="I144" s="63">
        <f>(G144-H144)*'16-PlantAdditions'!$E$103</f>
        <v>0</v>
      </c>
      <c r="J144" s="63">
        <f t="shared" si="41"/>
        <v>0</v>
      </c>
      <c r="K144" s="481">
        <f t="shared" si="42"/>
        <v>0</v>
      </c>
    </row>
    <row r="145" spans="1:11" s="650" customFormat="1" ht="13">
      <c r="A145" s="110">
        <f t="shared" si="39"/>
        <v>105</v>
      </c>
      <c r="B145" s="615" t="s">
        <v>180</v>
      </c>
      <c r="C145" s="613">
        <v>2021</v>
      </c>
      <c r="D145" s="995">
        <v>0</v>
      </c>
      <c r="E145" s="63">
        <f>D145*'16-PlantAdditions'!$E$103</f>
        <v>0</v>
      </c>
      <c r="F145" s="63">
        <f t="shared" si="40"/>
        <v>0</v>
      </c>
      <c r="G145" s="995">
        <v>0</v>
      </c>
      <c r="H145" s="995">
        <v>0</v>
      </c>
      <c r="I145" s="63">
        <f>(G145-H145)*'16-PlantAdditions'!$E$103</f>
        <v>0</v>
      </c>
      <c r="J145" s="63">
        <f t="shared" si="41"/>
        <v>0</v>
      </c>
      <c r="K145" s="111">
        <f t="shared" si="42"/>
        <v>0</v>
      </c>
    </row>
    <row r="146" spans="1:11" s="650" customFormat="1" ht="13">
      <c r="A146" s="110">
        <f t="shared" si="39"/>
        <v>106</v>
      </c>
      <c r="B146"/>
      <c r="C146" s="649" t="s">
        <v>1605</v>
      </c>
      <c r="D146"/>
      <c r="E146"/>
      <c r="F146"/>
      <c r="G146"/>
      <c r="H146"/>
      <c r="I146"/>
      <c r="J146"/>
      <c r="K146" s="73">
        <f>AVERAGE(K133:K145)</f>
        <v>0</v>
      </c>
    </row>
    <row r="147" spans="1:11" s="650" customFormat="1" ht="13">
      <c r="A147" s="110"/>
      <c r="B147"/>
      <c r="C147" s="649"/>
      <c r="D147"/>
      <c r="E147"/>
      <c r="F147"/>
      <c r="G147"/>
      <c r="H147"/>
      <c r="I147"/>
      <c r="J147"/>
      <c r="K147" s="73"/>
    </row>
    <row r="148" spans="1:11" s="650" customFormat="1" ht="13">
      <c r="B148" s="651" t="s">
        <v>1933</v>
      </c>
      <c r="D148" s="1468" t="s">
        <v>2795</v>
      </c>
      <c r="E148" s="1468"/>
    </row>
    <row r="149" spans="1:11" s="650" customFormat="1" ht="13">
      <c r="B149" s="651"/>
      <c r="D149" s="645" t="s">
        <v>358</v>
      </c>
      <c r="E149" s="645" t="s">
        <v>342</v>
      </c>
      <c r="F149" s="645" t="s">
        <v>343</v>
      </c>
      <c r="G149" s="645" t="s">
        <v>344</v>
      </c>
      <c r="H149" s="645" t="s">
        <v>345</v>
      </c>
      <c r="I149" s="645" t="s">
        <v>346</v>
      </c>
      <c r="J149" s="645" t="s">
        <v>347</v>
      </c>
      <c r="K149" s="645" t="s">
        <v>534</v>
      </c>
    </row>
    <row r="150" spans="1:11" s="650" customFormat="1" ht="25.5">
      <c r="B150" s="651"/>
      <c r="D150" s="652"/>
      <c r="E150" s="653" t="s">
        <v>2064</v>
      </c>
      <c r="F150" s="654" t="s">
        <v>1929</v>
      </c>
      <c r="G150" s="529"/>
      <c r="H150" s="652"/>
      <c r="I150" s="653" t="s">
        <v>2065</v>
      </c>
      <c r="J150" s="653" t="s">
        <v>1930</v>
      </c>
      <c r="K150" s="653" t="s">
        <v>1931</v>
      </c>
    </row>
    <row r="151" spans="1:11" s="650" customFormat="1" ht="13">
      <c r="D151" s="652"/>
      <c r="E151" s="652"/>
      <c r="F151" s="652"/>
      <c r="G151" s="553" t="str">
        <f>G51</f>
        <v>Unloaded</v>
      </c>
      <c r="H151" s="652"/>
      <c r="I151" s="652"/>
    </row>
    <row r="152" spans="1:11" s="650" customFormat="1" ht="13">
      <c r="A152" s="647"/>
      <c r="B152" s="647"/>
      <c r="C152" s="647"/>
      <c r="D152" s="647" t="str">
        <f>D$52</f>
        <v>Forecast</v>
      </c>
      <c r="E152" s="647" t="str">
        <f t="shared" ref="E152:J152" si="43">E$52</f>
        <v>Corporate</v>
      </c>
      <c r="F152" s="647" t="str">
        <f t="shared" si="43"/>
        <v xml:space="preserve">Total </v>
      </c>
      <c r="G152" s="553" t="str">
        <f>G52</f>
        <v>Total</v>
      </c>
      <c r="H152" s="647" t="str">
        <f t="shared" si="43"/>
        <v>Prior Period</v>
      </c>
      <c r="I152" s="647" t="str">
        <f t="shared" si="43"/>
        <v>Over Heads</v>
      </c>
      <c r="J152" s="647" t="str">
        <f t="shared" si="43"/>
        <v>Forecast</v>
      </c>
      <c r="K152" s="553" t="str">
        <f>K$52</f>
        <v>Forecast Period</v>
      </c>
    </row>
    <row r="153" spans="1:11" s="650" customFormat="1" ht="13">
      <c r="A153" s="840" t="s">
        <v>329</v>
      </c>
      <c r="B153" s="611" t="s">
        <v>192</v>
      </c>
      <c r="C153" s="611" t="s">
        <v>193</v>
      </c>
      <c r="D153" s="645" t="str">
        <f>D$53</f>
        <v>Expenditures</v>
      </c>
      <c r="E153" s="645" t="str">
        <f t="shared" ref="E153:J153" si="44">E$53</f>
        <v>Overheads</v>
      </c>
      <c r="F153" s="645" t="str">
        <f t="shared" si="44"/>
        <v>CWIP Exp</v>
      </c>
      <c r="G153" s="123" t="str">
        <f>G53</f>
        <v>Plant Adds</v>
      </c>
      <c r="H153" s="645" t="str">
        <f t="shared" si="44"/>
        <v>CWIP Closed</v>
      </c>
      <c r="I153" s="645" t="str">
        <f t="shared" si="44"/>
        <v>Closed to PIS</v>
      </c>
      <c r="J153" s="645" t="str">
        <f t="shared" si="44"/>
        <v>Period CWIP</v>
      </c>
      <c r="K153" s="645" t="str">
        <f>K$53</f>
        <v>Incremental CWIP</v>
      </c>
    </row>
    <row r="154" spans="1:11" s="650" customFormat="1" ht="13">
      <c r="A154" s="110">
        <f>A146+1</f>
        <v>107</v>
      </c>
      <c r="B154" s="612" t="s">
        <v>180</v>
      </c>
      <c r="C154" s="613">
        <v>2019</v>
      </c>
      <c r="D154" s="654" t="s">
        <v>76</v>
      </c>
      <c r="E154" s="654" t="s">
        <v>76</v>
      </c>
      <c r="F154" s="654" t="s">
        <v>76</v>
      </c>
      <c r="G154" s="654" t="s">
        <v>76</v>
      </c>
      <c r="H154" s="654" t="s">
        <v>76</v>
      </c>
      <c r="I154" s="654" t="s">
        <v>76</v>
      </c>
      <c r="J154" s="63">
        <f>G25</f>
        <v>5584199.04</v>
      </c>
      <c r="K154" s="654" t="s">
        <v>76</v>
      </c>
    </row>
    <row r="155" spans="1:11" s="650" customFormat="1" ht="13">
      <c r="A155" s="110">
        <f>A154+1</f>
        <v>108</v>
      </c>
      <c r="B155" s="612" t="s">
        <v>181</v>
      </c>
      <c r="C155" s="613">
        <v>2020</v>
      </c>
      <c r="D155" s="995">
        <v>1551</v>
      </c>
      <c r="E155" s="63">
        <f>D155*'16-PlantAdditions'!$E$103</f>
        <v>116.32499999999999</v>
      </c>
      <c r="F155" s="63">
        <f>E155+D155</f>
        <v>1667.325</v>
      </c>
      <c r="G155" s="995">
        <v>0</v>
      </c>
      <c r="H155" s="995">
        <v>0</v>
      </c>
      <c r="I155" s="63">
        <f>(G155-H155)*'16-PlantAdditions'!$E$103</f>
        <v>0</v>
      </c>
      <c r="J155" s="63">
        <f>J154+F155-G155-I155</f>
        <v>5585866.3650000002</v>
      </c>
      <c r="K155" s="63">
        <f>J155-$J$154</f>
        <v>1667.3250000001863</v>
      </c>
    </row>
    <row r="156" spans="1:11" s="650" customFormat="1" ht="13">
      <c r="A156" s="110">
        <f t="shared" ref="A156:A179" si="45">A155+1</f>
        <v>109</v>
      </c>
      <c r="B156" s="615" t="s">
        <v>182</v>
      </c>
      <c r="C156" s="613">
        <v>2020</v>
      </c>
      <c r="D156" s="995">
        <v>1453</v>
      </c>
      <c r="E156" s="63">
        <f>D156*'16-PlantAdditions'!$E$103</f>
        <v>108.97499999999999</v>
      </c>
      <c r="F156" s="63">
        <f t="shared" ref="F156:F178" si="46">E156+D156</f>
        <v>1561.9749999999999</v>
      </c>
      <c r="G156" s="995">
        <v>0</v>
      </c>
      <c r="H156" s="995">
        <v>0</v>
      </c>
      <c r="I156" s="63">
        <f>(G156-H156)*'16-PlantAdditions'!$E$103</f>
        <v>0</v>
      </c>
      <c r="J156" s="63">
        <f t="shared" ref="J156:J175" si="47">J155+F156-G156-I156</f>
        <v>5587428.3399999999</v>
      </c>
      <c r="K156" s="63">
        <f t="shared" ref="K156:K178" si="48">J156-$J$154</f>
        <v>3229.2999999998137</v>
      </c>
    </row>
    <row r="157" spans="1:11" s="650" customFormat="1" ht="13">
      <c r="A157" s="110">
        <f t="shared" si="45"/>
        <v>110</v>
      </c>
      <c r="B157" s="615" t="s">
        <v>195</v>
      </c>
      <c r="C157" s="613">
        <v>2020</v>
      </c>
      <c r="D157" s="995">
        <v>2114</v>
      </c>
      <c r="E157" s="63">
        <f>D157*'16-PlantAdditions'!$E$103</f>
        <v>158.54999999999998</v>
      </c>
      <c r="F157" s="63">
        <f t="shared" si="46"/>
        <v>2272.5500000000002</v>
      </c>
      <c r="G157" s="995">
        <v>0</v>
      </c>
      <c r="H157" s="995">
        <v>0</v>
      </c>
      <c r="I157" s="63">
        <f>(G157-H157)*'16-PlantAdditions'!$E$103</f>
        <v>0</v>
      </c>
      <c r="J157" s="63">
        <f t="shared" si="47"/>
        <v>5589700.8899999997</v>
      </c>
      <c r="K157" s="63">
        <f t="shared" si="48"/>
        <v>5501.8499999996275</v>
      </c>
    </row>
    <row r="158" spans="1:11" s="650" customFormat="1" ht="13">
      <c r="A158" s="110">
        <f t="shared" si="45"/>
        <v>111</v>
      </c>
      <c r="B158" s="612" t="s">
        <v>183</v>
      </c>
      <c r="C158" s="613">
        <v>2020</v>
      </c>
      <c r="D158" s="995">
        <v>1500</v>
      </c>
      <c r="E158" s="63">
        <f>D158*'16-PlantAdditions'!$E$103</f>
        <v>112.5</v>
      </c>
      <c r="F158" s="63">
        <f t="shared" si="46"/>
        <v>1612.5</v>
      </c>
      <c r="G158" s="995">
        <v>0</v>
      </c>
      <c r="H158" s="995">
        <v>0</v>
      </c>
      <c r="I158" s="63">
        <f>(G158-H158)*'16-PlantAdditions'!$E$103</f>
        <v>0</v>
      </c>
      <c r="J158" s="63">
        <f t="shared" si="47"/>
        <v>5591313.3899999997</v>
      </c>
      <c r="K158" s="63">
        <f t="shared" si="48"/>
        <v>7114.3499999996275</v>
      </c>
    </row>
    <row r="159" spans="1:11" s="650" customFormat="1" ht="13">
      <c r="A159" s="110">
        <f t="shared" si="45"/>
        <v>112</v>
      </c>
      <c r="B159" s="615" t="s">
        <v>184</v>
      </c>
      <c r="C159" s="613">
        <v>2020</v>
      </c>
      <c r="D159" s="995">
        <v>1500</v>
      </c>
      <c r="E159" s="63">
        <f>D159*'16-PlantAdditions'!$E$103</f>
        <v>112.5</v>
      </c>
      <c r="F159" s="63">
        <f t="shared" si="46"/>
        <v>1612.5</v>
      </c>
      <c r="G159" s="995">
        <v>0</v>
      </c>
      <c r="H159" s="995">
        <v>0</v>
      </c>
      <c r="I159" s="63">
        <f>(G159-H159)*'16-PlantAdditions'!$E$103</f>
        <v>0</v>
      </c>
      <c r="J159" s="63">
        <f t="shared" si="47"/>
        <v>5592925.8899999997</v>
      </c>
      <c r="K159" s="63">
        <f t="shared" si="48"/>
        <v>8726.8499999996275</v>
      </c>
    </row>
    <row r="160" spans="1:11" s="650" customFormat="1" ht="13">
      <c r="A160" s="110">
        <f t="shared" si="45"/>
        <v>113</v>
      </c>
      <c r="B160" s="615" t="s">
        <v>1460</v>
      </c>
      <c r="C160" s="613">
        <v>2020</v>
      </c>
      <c r="D160" s="995">
        <v>1500</v>
      </c>
      <c r="E160" s="63">
        <f>D160*'16-PlantAdditions'!$E$103</f>
        <v>112.5</v>
      </c>
      <c r="F160" s="63">
        <f t="shared" si="46"/>
        <v>1612.5</v>
      </c>
      <c r="G160" s="995">
        <v>0</v>
      </c>
      <c r="H160" s="995">
        <v>0</v>
      </c>
      <c r="I160" s="63">
        <f>(G160-H160)*'16-PlantAdditions'!$E$103</f>
        <v>0</v>
      </c>
      <c r="J160" s="63">
        <f t="shared" si="47"/>
        <v>5594538.3899999997</v>
      </c>
      <c r="K160" s="63">
        <f t="shared" si="48"/>
        <v>10339.349999999627</v>
      </c>
    </row>
    <row r="161" spans="1:11" s="650" customFormat="1" ht="13">
      <c r="A161" s="110">
        <f t="shared" si="45"/>
        <v>114</v>
      </c>
      <c r="B161" s="612" t="s">
        <v>186</v>
      </c>
      <c r="C161" s="613">
        <v>2020</v>
      </c>
      <c r="D161" s="995">
        <v>1500</v>
      </c>
      <c r="E161" s="63">
        <f>D161*'16-PlantAdditions'!$E$103</f>
        <v>112.5</v>
      </c>
      <c r="F161" s="63">
        <f t="shared" si="46"/>
        <v>1612.5</v>
      </c>
      <c r="G161" s="995">
        <v>0</v>
      </c>
      <c r="H161" s="995">
        <v>0</v>
      </c>
      <c r="I161" s="63">
        <f>(G161-H161)*'16-PlantAdditions'!$E$103</f>
        <v>0</v>
      </c>
      <c r="J161" s="63">
        <f t="shared" si="47"/>
        <v>5596150.8899999997</v>
      </c>
      <c r="K161" s="63">
        <f t="shared" si="48"/>
        <v>11951.849999999627</v>
      </c>
    </row>
    <row r="162" spans="1:11" s="650" customFormat="1" ht="13">
      <c r="A162" s="110">
        <f t="shared" si="45"/>
        <v>115</v>
      </c>
      <c r="B162" s="615" t="s">
        <v>187</v>
      </c>
      <c r="C162" s="613">
        <v>2020</v>
      </c>
      <c r="D162" s="995">
        <v>1500</v>
      </c>
      <c r="E162" s="63">
        <f>D162*'16-PlantAdditions'!$E$103</f>
        <v>112.5</v>
      </c>
      <c r="F162" s="63">
        <f t="shared" si="46"/>
        <v>1612.5</v>
      </c>
      <c r="G162" s="995">
        <v>0</v>
      </c>
      <c r="H162" s="995">
        <v>0</v>
      </c>
      <c r="I162" s="63">
        <f>(G162-H162)*'16-PlantAdditions'!$E$103</f>
        <v>0</v>
      </c>
      <c r="J162" s="63">
        <f t="shared" si="47"/>
        <v>5597763.3899999997</v>
      </c>
      <c r="K162" s="63">
        <f t="shared" si="48"/>
        <v>13564.349999999627</v>
      </c>
    </row>
    <row r="163" spans="1:11" s="650" customFormat="1" ht="13">
      <c r="A163" s="110">
        <f t="shared" si="45"/>
        <v>116</v>
      </c>
      <c r="B163" s="615" t="s">
        <v>188</v>
      </c>
      <c r="C163" s="613">
        <v>2020</v>
      </c>
      <c r="D163" s="995">
        <v>1500</v>
      </c>
      <c r="E163" s="63">
        <f>D163*'16-PlantAdditions'!$E$103</f>
        <v>112.5</v>
      </c>
      <c r="F163" s="63">
        <f t="shared" si="46"/>
        <v>1612.5</v>
      </c>
      <c r="G163" s="995">
        <v>0</v>
      </c>
      <c r="H163" s="995">
        <v>0</v>
      </c>
      <c r="I163" s="63">
        <f>(G163-H163)*'16-PlantAdditions'!$E$103</f>
        <v>0</v>
      </c>
      <c r="J163" s="63">
        <f t="shared" si="47"/>
        <v>5599375.8899999997</v>
      </c>
      <c r="K163" s="63">
        <f t="shared" si="48"/>
        <v>15176.849999999627</v>
      </c>
    </row>
    <row r="164" spans="1:11" s="650" customFormat="1" ht="13">
      <c r="A164" s="110">
        <f t="shared" si="45"/>
        <v>117</v>
      </c>
      <c r="B164" s="612" t="s">
        <v>191</v>
      </c>
      <c r="C164" s="613">
        <v>2020</v>
      </c>
      <c r="D164" s="995">
        <v>1500</v>
      </c>
      <c r="E164" s="63">
        <f>D164*'16-PlantAdditions'!$E$103</f>
        <v>112.5</v>
      </c>
      <c r="F164" s="63">
        <f t="shared" si="46"/>
        <v>1612.5</v>
      </c>
      <c r="G164" s="995">
        <v>0</v>
      </c>
      <c r="H164" s="995">
        <v>0</v>
      </c>
      <c r="I164" s="63">
        <f>(G164-H164)*'16-PlantAdditions'!$E$103</f>
        <v>0</v>
      </c>
      <c r="J164" s="63">
        <f t="shared" si="47"/>
        <v>5600988.3899999997</v>
      </c>
      <c r="K164" s="63">
        <f t="shared" si="48"/>
        <v>16789.349999999627</v>
      </c>
    </row>
    <row r="165" spans="1:11" s="650" customFormat="1" ht="13">
      <c r="A165" s="110">
        <f t="shared" si="45"/>
        <v>118</v>
      </c>
      <c r="B165" s="612" t="s">
        <v>190</v>
      </c>
      <c r="C165" s="613">
        <v>2020</v>
      </c>
      <c r="D165" s="995">
        <v>1500</v>
      </c>
      <c r="E165" s="63">
        <f>D165*'16-PlantAdditions'!$E$103</f>
        <v>112.5</v>
      </c>
      <c r="F165" s="63">
        <f t="shared" si="46"/>
        <v>1612.5</v>
      </c>
      <c r="G165" s="995">
        <v>0</v>
      </c>
      <c r="H165" s="995">
        <v>0</v>
      </c>
      <c r="I165" s="63">
        <f>(G165-H165)*'16-PlantAdditions'!$E$103</f>
        <v>0</v>
      </c>
      <c r="J165" s="63">
        <f t="shared" si="47"/>
        <v>5602600.8899999997</v>
      </c>
      <c r="K165" s="63">
        <f t="shared" si="48"/>
        <v>18401.849999999627</v>
      </c>
    </row>
    <row r="166" spans="1:11" s="650" customFormat="1" ht="13">
      <c r="A166" s="110">
        <f t="shared" si="45"/>
        <v>119</v>
      </c>
      <c r="B166" s="612" t="s">
        <v>180</v>
      </c>
      <c r="C166" s="613">
        <v>2020</v>
      </c>
      <c r="D166" s="995">
        <v>2882</v>
      </c>
      <c r="E166" s="63">
        <f>D166*'16-PlantAdditions'!$E$103</f>
        <v>216.15</v>
      </c>
      <c r="F166" s="63">
        <f t="shared" si="46"/>
        <v>3098.15</v>
      </c>
      <c r="G166" s="995">
        <v>0</v>
      </c>
      <c r="H166" s="995">
        <v>0</v>
      </c>
      <c r="I166" s="63">
        <f>(G166-H166)*'16-PlantAdditions'!$E$103</f>
        <v>0</v>
      </c>
      <c r="J166" s="63">
        <f t="shared" si="47"/>
        <v>5605699.04</v>
      </c>
      <c r="K166" s="63">
        <f t="shared" si="48"/>
        <v>21500</v>
      </c>
    </row>
    <row r="167" spans="1:11" s="650" customFormat="1" ht="13">
      <c r="A167" s="110">
        <f t="shared" si="45"/>
        <v>120</v>
      </c>
      <c r="B167" s="612" t="s">
        <v>181</v>
      </c>
      <c r="C167" s="613">
        <v>2021</v>
      </c>
      <c r="D167" s="995">
        <v>0</v>
      </c>
      <c r="E167" s="63">
        <f>D167*'16-PlantAdditions'!$E$103</f>
        <v>0</v>
      </c>
      <c r="F167" s="63">
        <f t="shared" si="46"/>
        <v>0</v>
      </c>
      <c r="G167" s="995">
        <v>0</v>
      </c>
      <c r="H167" s="995">
        <v>0</v>
      </c>
      <c r="I167" s="63">
        <f>(G167-H167)*'16-PlantAdditions'!$E$103</f>
        <v>0</v>
      </c>
      <c r="J167" s="63">
        <f t="shared" si="47"/>
        <v>5605699.04</v>
      </c>
      <c r="K167" s="63">
        <f t="shared" si="48"/>
        <v>21500</v>
      </c>
    </row>
    <row r="168" spans="1:11" s="650" customFormat="1" ht="13">
      <c r="A168" s="110">
        <f t="shared" si="45"/>
        <v>121</v>
      </c>
      <c r="B168" s="615" t="s">
        <v>182</v>
      </c>
      <c r="C168" s="613">
        <v>2021</v>
      </c>
      <c r="D168" s="995">
        <v>0</v>
      </c>
      <c r="E168" s="63">
        <f>D168*'16-PlantAdditions'!$E$103</f>
        <v>0</v>
      </c>
      <c r="F168" s="63">
        <f t="shared" si="46"/>
        <v>0</v>
      </c>
      <c r="G168" s="995">
        <v>0</v>
      </c>
      <c r="H168" s="995">
        <v>0</v>
      </c>
      <c r="I168" s="63">
        <f>(G168-H168)*'16-PlantAdditions'!$E$103</f>
        <v>0</v>
      </c>
      <c r="J168" s="63">
        <f t="shared" si="47"/>
        <v>5605699.04</v>
      </c>
      <c r="K168" s="63">
        <f t="shared" si="48"/>
        <v>21500</v>
      </c>
    </row>
    <row r="169" spans="1:11" s="650" customFormat="1" ht="13">
      <c r="A169" s="110">
        <f t="shared" si="45"/>
        <v>122</v>
      </c>
      <c r="B169" s="615" t="s">
        <v>195</v>
      </c>
      <c r="C169" s="613">
        <v>2021</v>
      </c>
      <c r="D169" s="995">
        <v>0</v>
      </c>
      <c r="E169" s="63">
        <f>D169*'16-PlantAdditions'!$E$103</f>
        <v>0</v>
      </c>
      <c r="F169" s="63">
        <f t="shared" si="46"/>
        <v>0</v>
      </c>
      <c r="G169" s="995">
        <v>0</v>
      </c>
      <c r="H169" s="995">
        <v>0</v>
      </c>
      <c r="I169" s="63">
        <f>(G169-H169)*'16-PlantAdditions'!$E$103</f>
        <v>0</v>
      </c>
      <c r="J169" s="63">
        <f t="shared" si="47"/>
        <v>5605699.04</v>
      </c>
      <c r="K169" s="63">
        <f t="shared" si="48"/>
        <v>21500</v>
      </c>
    </row>
    <row r="170" spans="1:11" s="650" customFormat="1" ht="13">
      <c r="A170" s="110">
        <f t="shared" si="45"/>
        <v>123</v>
      </c>
      <c r="B170" s="612" t="s">
        <v>183</v>
      </c>
      <c r="C170" s="613">
        <v>2021</v>
      </c>
      <c r="D170" s="995">
        <v>0</v>
      </c>
      <c r="E170" s="63">
        <f>D170*'16-PlantAdditions'!$E$103</f>
        <v>0</v>
      </c>
      <c r="F170" s="63">
        <f t="shared" si="46"/>
        <v>0</v>
      </c>
      <c r="G170" s="995">
        <v>0</v>
      </c>
      <c r="H170" s="995">
        <v>0</v>
      </c>
      <c r="I170" s="63">
        <f>(G170-H170)*'16-PlantAdditions'!$E$103</f>
        <v>0</v>
      </c>
      <c r="J170" s="63">
        <f t="shared" si="47"/>
        <v>5605699.04</v>
      </c>
      <c r="K170" s="63">
        <f t="shared" si="48"/>
        <v>21500</v>
      </c>
    </row>
    <row r="171" spans="1:11" s="650" customFormat="1" ht="13">
      <c r="A171" s="110">
        <f t="shared" si="45"/>
        <v>124</v>
      </c>
      <c r="B171" s="615" t="s">
        <v>184</v>
      </c>
      <c r="C171" s="613">
        <v>2021</v>
      </c>
      <c r="D171" s="995">
        <v>0</v>
      </c>
      <c r="E171" s="63">
        <f>D171*'16-PlantAdditions'!$E$103</f>
        <v>0</v>
      </c>
      <c r="F171" s="63">
        <f t="shared" si="46"/>
        <v>0</v>
      </c>
      <c r="G171" s="995">
        <v>0</v>
      </c>
      <c r="H171" s="995">
        <v>0</v>
      </c>
      <c r="I171" s="63">
        <f>(G171-H171)*'16-PlantAdditions'!$E$103</f>
        <v>0</v>
      </c>
      <c r="J171" s="63">
        <f t="shared" si="47"/>
        <v>5605699.04</v>
      </c>
      <c r="K171" s="63">
        <f t="shared" si="48"/>
        <v>21500</v>
      </c>
    </row>
    <row r="172" spans="1:11" s="650" customFormat="1" ht="13">
      <c r="A172" s="110">
        <f t="shared" si="45"/>
        <v>125</v>
      </c>
      <c r="B172" s="615" t="s">
        <v>1460</v>
      </c>
      <c r="C172" s="613">
        <v>2021</v>
      </c>
      <c r="D172" s="995">
        <v>0</v>
      </c>
      <c r="E172" s="63">
        <f>D172*'16-PlantAdditions'!$E$103</f>
        <v>0</v>
      </c>
      <c r="F172" s="63">
        <f t="shared" si="46"/>
        <v>0</v>
      </c>
      <c r="G172" s="995">
        <v>0</v>
      </c>
      <c r="H172" s="995">
        <v>0</v>
      </c>
      <c r="I172" s="63">
        <f>(G172-H172)*'16-PlantAdditions'!$E$103</f>
        <v>0</v>
      </c>
      <c r="J172" s="63">
        <f t="shared" si="47"/>
        <v>5605699.04</v>
      </c>
      <c r="K172" s="63">
        <f t="shared" si="48"/>
        <v>21500</v>
      </c>
    </row>
    <row r="173" spans="1:11" s="650" customFormat="1" ht="13">
      <c r="A173" s="110">
        <f t="shared" si="45"/>
        <v>126</v>
      </c>
      <c r="B173" s="612" t="s">
        <v>186</v>
      </c>
      <c r="C173" s="613">
        <v>2021</v>
      </c>
      <c r="D173" s="995">
        <v>0</v>
      </c>
      <c r="E173" s="63">
        <f>D173*'16-PlantAdditions'!$E$103</f>
        <v>0</v>
      </c>
      <c r="F173" s="63">
        <f t="shared" si="46"/>
        <v>0</v>
      </c>
      <c r="G173" s="995">
        <v>0</v>
      </c>
      <c r="H173" s="995">
        <v>0</v>
      </c>
      <c r="I173" s="63">
        <f>(G173-H173)*'16-PlantAdditions'!$E$103</f>
        <v>0</v>
      </c>
      <c r="J173" s="63">
        <f t="shared" si="47"/>
        <v>5605699.04</v>
      </c>
      <c r="K173" s="63">
        <f t="shared" si="48"/>
        <v>21500</v>
      </c>
    </row>
    <row r="174" spans="1:11" s="650" customFormat="1" ht="13">
      <c r="A174" s="110">
        <f t="shared" si="45"/>
        <v>127</v>
      </c>
      <c r="B174" s="615" t="s">
        <v>187</v>
      </c>
      <c r="C174" s="613">
        <v>2021</v>
      </c>
      <c r="D174" s="995">
        <v>0</v>
      </c>
      <c r="E174" s="63">
        <f>D174*'16-PlantAdditions'!$E$103</f>
        <v>0</v>
      </c>
      <c r="F174" s="63">
        <f t="shared" si="46"/>
        <v>0</v>
      </c>
      <c r="G174" s="995">
        <v>0</v>
      </c>
      <c r="H174" s="995">
        <v>0</v>
      </c>
      <c r="I174" s="63">
        <f>(G174-H174)*'16-PlantAdditions'!$E$103</f>
        <v>0</v>
      </c>
      <c r="J174" s="63">
        <f t="shared" si="47"/>
        <v>5605699.04</v>
      </c>
      <c r="K174" s="63">
        <f t="shared" si="48"/>
        <v>21500</v>
      </c>
    </row>
    <row r="175" spans="1:11" s="650" customFormat="1" ht="13">
      <c r="A175" s="110">
        <f t="shared" si="45"/>
        <v>128</v>
      </c>
      <c r="B175" s="615" t="s">
        <v>188</v>
      </c>
      <c r="C175" s="613">
        <v>2021</v>
      </c>
      <c r="D175" s="995">
        <v>0</v>
      </c>
      <c r="E175" s="63">
        <f>D175*'16-PlantAdditions'!$E$103</f>
        <v>0</v>
      </c>
      <c r="F175" s="63">
        <f t="shared" si="46"/>
        <v>0</v>
      </c>
      <c r="G175" s="995">
        <v>0</v>
      </c>
      <c r="H175" s="995">
        <v>0</v>
      </c>
      <c r="I175" s="63">
        <f>(G175-H175)*'16-PlantAdditions'!$E$103</f>
        <v>0</v>
      </c>
      <c r="J175" s="63">
        <f t="shared" si="47"/>
        <v>5605699.04</v>
      </c>
      <c r="K175" s="63">
        <f t="shared" si="48"/>
        <v>21500</v>
      </c>
    </row>
    <row r="176" spans="1:11" s="650" customFormat="1" ht="13">
      <c r="A176" s="110">
        <f t="shared" si="45"/>
        <v>129</v>
      </c>
      <c r="B176" s="615" t="s">
        <v>191</v>
      </c>
      <c r="C176" s="613">
        <v>2021</v>
      </c>
      <c r="D176" s="995">
        <v>0</v>
      </c>
      <c r="E176" s="63">
        <f>D176*'16-PlantAdditions'!$E$103</f>
        <v>0</v>
      </c>
      <c r="F176" s="63">
        <f t="shared" si="46"/>
        <v>0</v>
      </c>
      <c r="G176" s="995">
        <v>0</v>
      </c>
      <c r="H176" s="995">
        <v>0</v>
      </c>
      <c r="I176" s="63">
        <f>(G176-H176)*'16-PlantAdditions'!$E$103</f>
        <v>0</v>
      </c>
      <c r="J176" s="63">
        <f t="shared" ref="J176:J178" si="49">J175+F176-G176-I176</f>
        <v>5605699.04</v>
      </c>
      <c r="K176" s="63">
        <f t="shared" si="48"/>
        <v>21500</v>
      </c>
    </row>
    <row r="177" spans="1:11" s="650" customFormat="1" ht="13">
      <c r="A177" s="110">
        <f t="shared" si="45"/>
        <v>130</v>
      </c>
      <c r="B177" s="615" t="s">
        <v>190</v>
      </c>
      <c r="C177" s="613">
        <v>2021</v>
      </c>
      <c r="D177" s="995">
        <v>0</v>
      </c>
      <c r="E177" s="63">
        <f>D177*'16-PlantAdditions'!$E$103</f>
        <v>0</v>
      </c>
      <c r="F177" s="63">
        <f t="shared" si="46"/>
        <v>0</v>
      </c>
      <c r="G177" s="995">
        <v>0</v>
      </c>
      <c r="H177" s="995">
        <v>0</v>
      </c>
      <c r="I177" s="63">
        <f>(G177-H177)*'16-PlantAdditions'!$E$103</f>
        <v>0</v>
      </c>
      <c r="J177" s="63">
        <f t="shared" si="49"/>
        <v>5605699.04</v>
      </c>
      <c r="K177" s="63">
        <f t="shared" si="48"/>
        <v>21500</v>
      </c>
    </row>
    <row r="178" spans="1:11" s="650" customFormat="1" ht="13">
      <c r="A178" s="110">
        <f t="shared" si="45"/>
        <v>131</v>
      </c>
      <c r="B178" s="615" t="s">
        <v>180</v>
      </c>
      <c r="C178" s="613">
        <v>2021</v>
      </c>
      <c r="D178" s="995">
        <v>0</v>
      </c>
      <c r="E178" s="63">
        <f>D178*'16-PlantAdditions'!$E$103</f>
        <v>0</v>
      </c>
      <c r="F178" s="63">
        <f t="shared" si="46"/>
        <v>0</v>
      </c>
      <c r="G178" s="995">
        <v>0</v>
      </c>
      <c r="H178" s="995">
        <v>0</v>
      </c>
      <c r="I178" s="63">
        <f>(G178-H178)*'16-PlantAdditions'!$E$103</f>
        <v>0</v>
      </c>
      <c r="J178" s="63">
        <f t="shared" si="49"/>
        <v>5605699.04</v>
      </c>
      <c r="K178" s="111">
        <f t="shared" si="48"/>
        <v>21500</v>
      </c>
    </row>
    <row r="179" spans="1:11" s="650" customFormat="1" ht="13">
      <c r="A179" s="110">
        <f t="shared" si="45"/>
        <v>132</v>
      </c>
      <c r="B179"/>
      <c r="C179" s="649" t="s">
        <v>1605</v>
      </c>
      <c r="D179"/>
      <c r="E179"/>
      <c r="F179"/>
      <c r="G179"/>
      <c r="H179"/>
      <c r="I179"/>
      <c r="J179"/>
      <c r="K179" s="73">
        <f>AVERAGE(K166:K178)</f>
        <v>21500</v>
      </c>
    </row>
    <row r="180" spans="1:11" s="650" customFormat="1" ht="13">
      <c r="A180" s="110"/>
      <c r="B180"/>
      <c r="C180" s="649"/>
      <c r="D180"/>
      <c r="E180"/>
      <c r="F180"/>
      <c r="G180"/>
      <c r="H180"/>
      <c r="I180"/>
      <c r="J180"/>
      <c r="K180" s="73"/>
    </row>
    <row r="181" spans="1:11" s="650" customFormat="1" ht="13">
      <c r="B181" s="651" t="s">
        <v>1934</v>
      </c>
      <c r="D181" s="1468" t="s">
        <v>2796</v>
      </c>
      <c r="E181" s="1468"/>
    </row>
    <row r="182" spans="1:11" s="650" customFormat="1" ht="13">
      <c r="A182" s="645"/>
      <c r="B182" s="645"/>
      <c r="C182" s="645"/>
      <c r="D182" s="645" t="s">
        <v>358</v>
      </c>
      <c r="E182" s="645" t="s">
        <v>342</v>
      </c>
      <c r="F182" s="645" t="s">
        <v>343</v>
      </c>
      <c r="G182" s="645" t="s">
        <v>344</v>
      </c>
      <c r="H182" s="645" t="s">
        <v>345</v>
      </c>
      <c r="I182" s="645" t="s">
        <v>346</v>
      </c>
      <c r="J182" s="645" t="s">
        <v>347</v>
      </c>
      <c r="K182" s="645" t="s">
        <v>534</v>
      </c>
    </row>
    <row r="183" spans="1:11" s="650" customFormat="1" ht="25.5">
      <c r="D183" s="652"/>
      <c r="E183" s="653" t="s">
        <v>2064</v>
      </c>
      <c r="F183" s="654" t="s">
        <v>1929</v>
      </c>
      <c r="G183" s="529"/>
      <c r="H183" s="652"/>
      <c r="I183" s="653" t="s">
        <v>2065</v>
      </c>
      <c r="J183" s="653" t="s">
        <v>1930</v>
      </c>
      <c r="K183" s="653" t="s">
        <v>1931</v>
      </c>
    </row>
    <row r="184" spans="1:11" s="650" customFormat="1" ht="13">
      <c r="D184" s="652"/>
      <c r="E184" s="653"/>
      <c r="F184" s="654"/>
      <c r="G184" s="4" t="str">
        <f>G51</f>
        <v>Unloaded</v>
      </c>
      <c r="H184" s="652"/>
      <c r="I184" s="653"/>
      <c r="J184" s="653"/>
      <c r="K184" s="653"/>
    </row>
    <row r="185" spans="1:11" s="650" customFormat="1" ht="13">
      <c r="A185" s="647"/>
      <c r="B185" s="647"/>
      <c r="C185" s="647"/>
      <c r="D185" s="647" t="str">
        <f>D$52</f>
        <v>Forecast</v>
      </c>
      <c r="E185" s="647" t="str">
        <f t="shared" ref="E185:J185" si="50">E$52</f>
        <v>Corporate</v>
      </c>
      <c r="F185" s="647" t="str">
        <f t="shared" si="50"/>
        <v xml:space="preserve">Total </v>
      </c>
      <c r="G185" s="4" t="str">
        <f>G52</f>
        <v>Total</v>
      </c>
      <c r="H185" s="647" t="str">
        <f t="shared" si="50"/>
        <v>Prior Period</v>
      </c>
      <c r="I185" s="647" t="str">
        <f t="shared" si="50"/>
        <v>Over Heads</v>
      </c>
      <c r="J185" s="647" t="str">
        <f t="shared" si="50"/>
        <v>Forecast</v>
      </c>
      <c r="K185" s="553" t="str">
        <f>K$52</f>
        <v>Forecast Period</v>
      </c>
    </row>
    <row r="186" spans="1:11" s="650" customFormat="1" ht="13">
      <c r="A186" s="840" t="s">
        <v>329</v>
      </c>
      <c r="B186" s="611" t="s">
        <v>192</v>
      </c>
      <c r="C186" s="611" t="s">
        <v>193</v>
      </c>
      <c r="D186" s="645" t="str">
        <f>D$53</f>
        <v>Expenditures</v>
      </c>
      <c r="E186" s="645" t="str">
        <f t="shared" ref="E186:J186" si="51">E$53</f>
        <v>Overheads</v>
      </c>
      <c r="F186" s="645" t="str">
        <f t="shared" si="51"/>
        <v>CWIP Exp</v>
      </c>
      <c r="G186" s="84" t="str">
        <f>G53</f>
        <v>Plant Adds</v>
      </c>
      <c r="H186" s="645" t="str">
        <f t="shared" si="51"/>
        <v>CWIP Closed</v>
      </c>
      <c r="I186" s="645" t="str">
        <f t="shared" si="51"/>
        <v>Closed to PIS</v>
      </c>
      <c r="J186" s="645" t="str">
        <f t="shared" si="51"/>
        <v>Period CWIP</v>
      </c>
      <c r="K186" s="645" t="str">
        <f>K$53</f>
        <v>Incremental CWIP</v>
      </c>
    </row>
    <row r="187" spans="1:11" s="650" customFormat="1" ht="13">
      <c r="A187" s="110">
        <f>A179+1</f>
        <v>133</v>
      </c>
      <c r="B187" s="612" t="s">
        <v>180</v>
      </c>
      <c r="C187" s="613">
        <v>2019</v>
      </c>
      <c r="D187" s="654" t="s">
        <v>76</v>
      </c>
      <c r="E187" s="654" t="s">
        <v>76</v>
      </c>
      <c r="F187" s="654" t="s">
        <v>76</v>
      </c>
      <c r="G187" s="654" t="s">
        <v>76</v>
      </c>
      <c r="H187" s="654" t="s">
        <v>76</v>
      </c>
      <c r="I187" s="654" t="s">
        <v>76</v>
      </c>
      <c r="J187" s="63">
        <f>H25</f>
        <v>468121962.68000001</v>
      </c>
      <c r="K187" s="654" t="s">
        <v>76</v>
      </c>
    </row>
    <row r="188" spans="1:11" s="650" customFormat="1" ht="13">
      <c r="A188" s="110">
        <f>A187+1</f>
        <v>134</v>
      </c>
      <c r="B188" s="612" t="s">
        <v>181</v>
      </c>
      <c r="C188" s="613">
        <v>2020</v>
      </c>
      <c r="D188" s="995">
        <v>13509524.999999998</v>
      </c>
      <c r="E188" s="63">
        <f>D188*'16-PlantAdditions'!$E$103</f>
        <v>1013214.3749999998</v>
      </c>
      <c r="F188" s="63">
        <f>E188+D188</f>
        <v>14522739.374999998</v>
      </c>
      <c r="G188" s="995">
        <v>95089</v>
      </c>
      <c r="H188" s="995">
        <v>0</v>
      </c>
      <c r="I188" s="63">
        <f>(G188-H188)*'16-PlantAdditions'!$E$103</f>
        <v>7131.6750000000002</v>
      </c>
      <c r="J188" s="63">
        <f>J187+F188-G188-I188</f>
        <v>482542481.38</v>
      </c>
      <c r="K188" s="63">
        <f>J188-$J$187</f>
        <v>14420518.699999988</v>
      </c>
    </row>
    <row r="189" spans="1:11" s="650" customFormat="1" ht="13">
      <c r="A189" s="110">
        <f t="shared" ref="A189:A212" si="52">A188+1</f>
        <v>135</v>
      </c>
      <c r="B189" s="615" t="s">
        <v>182</v>
      </c>
      <c r="C189" s="613">
        <v>2020</v>
      </c>
      <c r="D189" s="995">
        <v>17958037</v>
      </c>
      <c r="E189" s="63">
        <f>D189*'16-PlantAdditions'!$E$103</f>
        <v>1346852.7749999999</v>
      </c>
      <c r="F189" s="63">
        <f t="shared" ref="F189:F208" si="53">E189+D189</f>
        <v>19304889.774999999</v>
      </c>
      <c r="G189" s="995">
        <v>299847.00000000006</v>
      </c>
      <c r="H189" s="995">
        <v>0</v>
      </c>
      <c r="I189" s="63">
        <f>(G189-H189)*'16-PlantAdditions'!$E$103</f>
        <v>22488.525000000005</v>
      </c>
      <c r="J189" s="63">
        <f t="shared" ref="J189:J208" si="54">J188+F189-G189-I189</f>
        <v>501525035.63</v>
      </c>
      <c r="K189" s="63">
        <f t="shared" ref="K189:K211" si="55">J189-$J$187</f>
        <v>33403072.949999988</v>
      </c>
    </row>
    <row r="190" spans="1:11" s="650" customFormat="1" ht="13">
      <c r="A190" s="110">
        <f t="shared" si="52"/>
        <v>136</v>
      </c>
      <c r="B190" s="615" t="s">
        <v>195</v>
      </c>
      <c r="C190" s="613">
        <v>2020</v>
      </c>
      <c r="D190" s="995">
        <v>11893100.999999998</v>
      </c>
      <c r="E190" s="63">
        <f>D190*'16-PlantAdditions'!$E$103</f>
        <v>891982.57499999984</v>
      </c>
      <c r="F190" s="63">
        <f t="shared" si="53"/>
        <v>12785083.574999997</v>
      </c>
      <c r="G190" s="995">
        <v>45416.000000000007</v>
      </c>
      <c r="H190" s="995">
        <v>0</v>
      </c>
      <c r="I190" s="63">
        <f>(G190-H190)*'16-PlantAdditions'!$E$103</f>
        <v>3406.2000000000003</v>
      </c>
      <c r="J190" s="63">
        <f t="shared" si="54"/>
        <v>514261297.005</v>
      </c>
      <c r="K190" s="63">
        <f t="shared" si="55"/>
        <v>46139334.324999988</v>
      </c>
    </row>
    <row r="191" spans="1:11" s="650" customFormat="1" ht="13">
      <c r="A191" s="110">
        <f t="shared" si="52"/>
        <v>137</v>
      </c>
      <c r="B191" s="612" t="s">
        <v>183</v>
      </c>
      <c r="C191" s="613">
        <v>2020</v>
      </c>
      <c r="D191" s="995">
        <v>14402052</v>
      </c>
      <c r="E191" s="63">
        <f>D191*'16-PlantAdditions'!$E$103</f>
        <v>1080153.8999999999</v>
      </c>
      <c r="F191" s="63">
        <f t="shared" si="53"/>
        <v>15482205.9</v>
      </c>
      <c r="G191" s="995">
        <v>46000</v>
      </c>
      <c r="H191" s="995">
        <v>0</v>
      </c>
      <c r="I191" s="63">
        <f>(G191-H191)*'16-PlantAdditions'!$E$103</f>
        <v>3450</v>
      </c>
      <c r="J191" s="63">
        <f t="shared" si="54"/>
        <v>529694052.90499997</v>
      </c>
      <c r="K191" s="63">
        <f t="shared" si="55"/>
        <v>61572090.224999964</v>
      </c>
    </row>
    <row r="192" spans="1:11" s="650" customFormat="1" ht="13">
      <c r="A192" s="110">
        <f t="shared" si="52"/>
        <v>138</v>
      </c>
      <c r="B192" s="615" t="s">
        <v>184</v>
      </c>
      <c r="C192" s="613">
        <v>2020</v>
      </c>
      <c r="D192" s="995">
        <v>13406000</v>
      </c>
      <c r="E192" s="63">
        <f>D192*'16-PlantAdditions'!$E$103</f>
        <v>1005450</v>
      </c>
      <c r="F192" s="63">
        <f t="shared" si="53"/>
        <v>14411450</v>
      </c>
      <c r="G192" s="995">
        <v>46000</v>
      </c>
      <c r="H192" s="995">
        <v>0</v>
      </c>
      <c r="I192" s="63">
        <f>(G192-H192)*'16-PlantAdditions'!$E$103</f>
        <v>3450</v>
      </c>
      <c r="J192" s="63">
        <f t="shared" si="54"/>
        <v>544056052.90499997</v>
      </c>
      <c r="K192" s="63">
        <f t="shared" si="55"/>
        <v>75934090.224999964</v>
      </c>
    </row>
    <row r="193" spans="1:11" s="650" customFormat="1" ht="13">
      <c r="A193" s="110">
        <f t="shared" si="52"/>
        <v>139</v>
      </c>
      <c r="B193" s="615" t="s">
        <v>1460</v>
      </c>
      <c r="C193" s="613">
        <v>2020</v>
      </c>
      <c r="D193" s="995">
        <v>12894044</v>
      </c>
      <c r="E193" s="63">
        <f>D193*'16-PlantAdditions'!$E$103</f>
        <v>967053.29999999993</v>
      </c>
      <c r="F193" s="63">
        <f t="shared" si="53"/>
        <v>13861097.300000001</v>
      </c>
      <c r="G193" s="995">
        <v>34044</v>
      </c>
      <c r="H193" s="995">
        <v>0</v>
      </c>
      <c r="I193" s="63">
        <f>(G193-H193)*'16-PlantAdditions'!$E$103</f>
        <v>2553.2999999999997</v>
      </c>
      <c r="J193" s="63">
        <f t="shared" si="54"/>
        <v>557880552.90499997</v>
      </c>
      <c r="K193" s="63">
        <f t="shared" si="55"/>
        <v>89758590.224999964</v>
      </c>
    </row>
    <row r="194" spans="1:11" s="650" customFormat="1" ht="13">
      <c r="A194" s="110">
        <f t="shared" si="52"/>
        <v>140</v>
      </c>
      <c r="B194" s="612" t="s">
        <v>186</v>
      </c>
      <c r="C194" s="613">
        <v>2020</v>
      </c>
      <c r="D194" s="995">
        <v>13176000</v>
      </c>
      <c r="E194" s="63">
        <f>D194*'16-PlantAdditions'!$E$103</f>
        <v>988200</v>
      </c>
      <c r="F194" s="63">
        <f t="shared" si="53"/>
        <v>14164200</v>
      </c>
      <c r="G194" s="995">
        <v>16000</v>
      </c>
      <c r="H194" s="995">
        <v>0</v>
      </c>
      <c r="I194" s="63">
        <f>(G194-H194)*'16-PlantAdditions'!$E$103</f>
        <v>1200</v>
      </c>
      <c r="J194" s="63">
        <f t="shared" si="54"/>
        <v>572027552.90499997</v>
      </c>
      <c r="K194" s="63">
        <f t="shared" si="55"/>
        <v>103905590.22499996</v>
      </c>
    </row>
    <row r="195" spans="1:11" s="650" customFormat="1" ht="13">
      <c r="A195" s="110">
        <f t="shared" si="52"/>
        <v>141</v>
      </c>
      <c r="B195" s="615" t="s">
        <v>187</v>
      </c>
      <c r="C195" s="613">
        <v>2020</v>
      </c>
      <c r="D195" s="995">
        <v>13176000</v>
      </c>
      <c r="E195" s="63">
        <f>D195*'16-PlantAdditions'!$E$103</f>
        <v>988200</v>
      </c>
      <c r="F195" s="63">
        <f t="shared" si="53"/>
        <v>14164200</v>
      </c>
      <c r="G195" s="995">
        <v>16000</v>
      </c>
      <c r="H195" s="995">
        <v>0</v>
      </c>
      <c r="I195" s="63">
        <f>(G195-H195)*'16-PlantAdditions'!$E$103</f>
        <v>1200</v>
      </c>
      <c r="J195" s="63">
        <f t="shared" si="54"/>
        <v>586174552.90499997</v>
      </c>
      <c r="K195" s="63">
        <f t="shared" si="55"/>
        <v>118052590.22499996</v>
      </c>
    </row>
    <row r="196" spans="1:11" s="650" customFormat="1" ht="13">
      <c r="A196" s="110">
        <f t="shared" si="52"/>
        <v>142</v>
      </c>
      <c r="B196" s="615" t="s">
        <v>188</v>
      </c>
      <c r="C196" s="613">
        <v>2020</v>
      </c>
      <c r="D196" s="995">
        <v>12666000</v>
      </c>
      <c r="E196" s="63">
        <f>D196*'16-PlantAdditions'!$E$103</f>
        <v>949950</v>
      </c>
      <c r="F196" s="63">
        <f t="shared" si="53"/>
        <v>13615950</v>
      </c>
      <c r="G196" s="995">
        <v>16000</v>
      </c>
      <c r="H196" s="995">
        <v>0</v>
      </c>
      <c r="I196" s="63">
        <f>(G196-H196)*'16-PlantAdditions'!$E$103</f>
        <v>1200</v>
      </c>
      <c r="J196" s="63">
        <f t="shared" si="54"/>
        <v>599773302.90499997</v>
      </c>
      <c r="K196" s="63">
        <f t="shared" si="55"/>
        <v>131651340.22499996</v>
      </c>
    </row>
    <row r="197" spans="1:11" s="650" customFormat="1" ht="13">
      <c r="A197" s="110">
        <f t="shared" si="52"/>
        <v>143</v>
      </c>
      <c r="B197" s="612" t="s">
        <v>191</v>
      </c>
      <c r="C197" s="613">
        <v>2020</v>
      </c>
      <c r="D197" s="995">
        <v>12746769</v>
      </c>
      <c r="E197" s="63">
        <f>D197*'16-PlantAdditions'!$E$103</f>
        <v>956007.67499999993</v>
      </c>
      <c r="F197" s="63">
        <f t="shared" si="53"/>
        <v>13702776.675000001</v>
      </c>
      <c r="G197" s="995">
        <v>16000</v>
      </c>
      <c r="H197" s="995">
        <v>0</v>
      </c>
      <c r="I197" s="63">
        <f>(G197-H197)*'16-PlantAdditions'!$E$103</f>
        <v>1200</v>
      </c>
      <c r="J197" s="63">
        <f t="shared" si="54"/>
        <v>613458879.57999992</v>
      </c>
      <c r="K197" s="63">
        <f t="shared" si="55"/>
        <v>145336916.89999992</v>
      </c>
    </row>
    <row r="198" spans="1:11" s="650" customFormat="1" ht="13">
      <c r="A198" s="110">
        <f t="shared" si="52"/>
        <v>144</v>
      </c>
      <c r="B198" s="612" t="s">
        <v>190</v>
      </c>
      <c r="C198" s="613">
        <v>2020</v>
      </c>
      <c r="D198" s="995">
        <v>9112310</v>
      </c>
      <c r="E198" s="63">
        <f>D198*'16-PlantAdditions'!$E$103</f>
        <v>683423.25</v>
      </c>
      <c r="F198" s="63">
        <f t="shared" si="53"/>
        <v>9795733.25</v>
      </c>
      <c r="G198" s="995">
        <v>16000</v>
      </c>
      <c r="H198" s="995">
        <v>0</v>
      </c>
      <c r="I198" s="63">
        <f>(G198-H198)*'16-PlantAdditions'!$E$103</f>
        <v>1200</v>
      </c>
      <c r="J198" s="63">
        <f t="shared" si="54"/>
        <v>623237412.82999992</v>
      </c>
      <c r="K198" s="63">
        <f t="shared" si="55"/>
        <v>155115450.14999992</v>
      </c>
    </row>
    <row r="199" spans="1:11" s="650" customFormat="1" ht="13">
      <c r="A199" s="110">
        <f t="shared" si="52"/>
        <v>145</v>
      </c>
      <c r="B199" s="612" t="s">
        <v>180</v>
      </c>
      <c r="C199" s="613">
        <v>2020</v>
      </c>
      <c r="D199" s="995">
        <v>9083762</v>
      </c>
      <c r="E199" s="63">
        <f>D199*'16-PlantAdditions'!$E$103</f>
        <v>681282.15</v>
      </c>
      <c r="F199" s="63">
        <f t="shared" si="53"/>
        <v>9765044.1500000004</v>
      </c>
      <c r="G199" s="995">
        <v>528372696.69999999</v>
      </c>
      <c r="H199" s="995">
        <v>378879722.69999999</v>
      </c>
      <c r="I199" s="63">
        <f>(G199-H199)*'16-PlantAdditions'!$E$103</f>
        <v>11211973.049999999</v>
      </c>
      <c r="J199" s="63">
        <f t="shared" si="54"/>
        <v>93417787.229999915</v>
      </c>
      <c r="K199" s="63">
        <f t="shared" si="55"/>
        <v>-374704175.45000011</v>
      </c>
    </row>
    <row r="200" spans="1:11" s="650" customFormat="1" ht="13">
      <c r="A200" s="110">
        <f t="shared" si="52"/>
        <v>146</v>
      </c>
      <c r="B200" s="612" t="s">
        <v>181</v>
      </c>
      <c r="C200" s="613">
        <v>2021</v>
      </c>
      <c r="D200" s="995">
        <v>4708000</v>
      </c>
      <c r="E200" s="63">
        <f>D200*'16-PlantAdditions'!$E$103</f>
        <v>353100</v>
      </c>
      <c r="F200" s="63">
        <f t="shared" si="53"/>
        <v>5061100</v>
      </c>
      <c r="G200" s="995">
        <v>4508000</v>
      </c>
      <c r="H200" s="995">
        <v>0</v>
      </c>
      <c r="I200" s="63">
        <f>(G200-H200)*'16-PlantAdditions'!$E$103</f>
        <v>338100</v>
      </c>
      <c r="J200" s="63">
        <f t="shared" si="54"/>
        <v>93632787.229999915</v>
      </c>
      <c r="K200" s="63">
        <f t="shared" si="55"/>
        <v>-374489175.45000011</v>
      </c>
    </row>
    <row r="201" spans="1:11" s="650" customFormat="1" ht="13">
      <c r="A201" s="110">
        <f t="shared" si="52"/>
        <v>147</v>
      </c>
      <c r="B201" s="615" t="s">
        <v>182</v>
      </c>
      <c r="C201" s="613">
        <v>2021</v>
      </c>
      <c r="D201" s="995">
        <v>5510000</v>
      </c>
      <c r="E201" s="63">
        <f>D201*'16-PlantAdditions'!$E$103</f>
        <v>413250</v>
      </c>
      <c r="F201" s="63">
        <f t="shared" si="53"/>
        <v>5923250</v>
      </c>
      <c r="G201" s="995">
        <v>5210000</v>
      </c>
      <c r="H201" s="995">
        <v>0</v>
      </c>
      <c r="I201" s="63">
        <f>(G201-H201)*'16-PlantAdditions'!$E$103</f>
        <v>390750</v>
      </c>
      <c r="J201" s="63">
        <f t="shared" si="54"/>
        <v>93955287.229999915</v>
      </c>
      <c r="K201" s="63">
        <f t="shared" si="55"/>
        <v>-374166675.45000011</v>
      </c>
    </row>
    <row r="202" spans="1:11" s="650" customFormat="1" ht="13">
      <c r="A202" s="110">
        <f t="shared" si="52"/>
        <v>148</v>
      </c>
      <c r="B202" s="615" t="s">
        <v>195</v>
      </c>
      <c r="C202" s="613">
        <v>2021</v>
      </c>
      <c r="D202" s="995">
        <v>6510000</v>
      </c>
      <c r="E202" s="63">
        <f>D202*'16-PlantAdditions'!$E$103</f>
        <v>488250</v>
      </c>
      <c r="F202" s="63">
        <f t="shared" si="53"/>
        <v>6998250</v>
      </c>
      <c r="G202" s="995">
        <v>6210000</v>
      </c>
      <c r="H202" s="995">
        <v>0</v>
      </c>
      <c r="I202" s="63">
        <f>(G202-H202)*'16-PlantAdditions'!$E$103</f>
        <v>465750</v>
      </c>
      <c r="J202" s="63">
        <f t="shared" si="54"/>
        <v>94277787.229999915</v>
      </c>
      <c r="K202" s="63">
        <f t="shared" si="55"/>
        <v>-373844175.45000011</v>
      </c>
    </row>
    <row r="203" spans="1:11" s="650" customFormat="1" ht="13">
      <c r="A203" s="110">
        <f t="shared" si="52"/>
        <v>149</v>
      </c>
      <c r="B203" s="612" t="s">
        <v>183</v>
      </c>
      <c r="C203" s="613">
        <v>2021</v>
      </c>
      <c r="D203" s="995">
        <v>6510000</v>
      </c>
      <c r="E203" s="63">
        <f>D203*'16-PlantAdditions'!$E$103</f>
        <v>488250</v>
      </c>
      <c r="F203" s="63">
        <f t="shared" si="53"/>
        <v>6998250</v>
      </c>
      <c r="G203" s="995">
        <v>6210000</v>
      </c>
      <c r="H203" s="995">
        <v>0</v>
      </c>
      <c r="I203" s="63">
        <f>(G203-H203)*'16-PlantAdditions'!$E$103</f>
        <v>465750</v>
      </c>
      <c r="J203" s="63">
        <f t="shared" si="54"/>
        <v>94600287.229999915</v>
      </c>
      <c r="K203" s="63">
        <f t="shared" si="55"/>
        <v>-373521675.45000011</v>
      </c>
    </row>
    <row r="204" spans="1:11" s="650" customFormat="1" ht="13">
      <c r="A204" s="110">
        <f t="shared" si="52"/>
        <v>150</v>
      </c>
      <c r="B204" s="615" t="s">
        <v>184</v>
      </c>
      <c r="C204" s="613">
        <v>2021</v>
      </c>
      <c r="D204" s="995">
        <v>6510000</v>
      </c>
      <c r="E204" s="63">
        <f>D204*'16-PlantAdditions'!$E$103</f>
        <v>488250</v>
      </c>
      <c r="F204" s="63">
        <f t="shared" si="53"/>
        <v>6998250</v>
      </c>
      <c r="G204" s="995">
        <v>72332577</v>
      </c>
      <c r="H204" s="995">
        <v>66122577.000000007</v>
      </c>
      <c r="I204" s="63">
        <f>(G204-H204)*'16-PlantAdditions'!$E$103</f>
        <v>465749.99999999942</v>
      </c>
      <c r="J204" s="63">
        <f t="shared" si="54"/>
        <v>28800210.229999915</v>
      </c>
      <c r="K204" s="63">
        <f t="shared" si="55"/>
        <v>-439321752.45000011</v>
      </c>
    </row>
    <row r="205" spans="1:11" s="650" customFormat="1" ht="13">
      <c r="A205" s="110">
        <f t="shared" si="52"/>
        <v>151</v>
      </c>
      <c r="B205" s="615" t="s">
        <v>1460</v>
      </c>
      <c r="C205" s="613">
        <v>2021</v>
      </c>
      <c r="D205" s="995">
        <v>6400000</v>
      </c>
      <c r="E205" s="63">
        <f>D205*'16-PlantAdditions'!$E$103</f>
        <v>480000</v>
      </c>
      <c r="F205" s="63">
        <f t="shared" si="53"/>
        <v>6880000</v>
      </c>
      <c r="G205" s="995">
        <v>6200000</v>
      </c>
      <c r="H205" s="995">
        <v>0</v>
      </c>
      <c r="I205" s="63">
        <f>(G205-H205)*'16-PlantAdditions'!$E$103</f>
        <v>465000</v>
      </c>
      <c r="J205" s="63">
        <f t="shared" si="54"/>
        <v>29015210.229999915</v>
      </c>
      <c r="K205" s="63">
        <f t="shared" si="55"/>
        <v>-439106752.45000011</v>
      </c>
    </row>
    <row r="206" spans="1:11" s="650" customFormat="1" ht="13">
      <c r="A206" s="110">
        <f t="shared" si="52"/>
        <v>152</v>
      </c>
      <c r="B206" s="612" t="s">
        <v>186</v>
      </c>
      <c r="C206" s="613">
        <v>2021</v>
      </c>
      <c r="D206" s="995">
        <v>4100000</v>
      </c>
      <c r="E206" s="63">
        <f>D206*'16-PlantAdditions'!$E$103</f>
        <v>307500</v>
      </c>
      <c r="F206" s="63">
        <f t="shared" si="53"/>
        <v>4407500</v>
      </c>
      <c r="G206" s="995">
        <v>4000000</v>
      </c>
      <c r="H206" s="995">
        <v>0</v>
      </c>
      <c r="I206" s="63">
        <f>(G206-H206)*'16-PlantAdditions'!$E$103</f>
        <v>300000</v>
      </c>
      <c r="J206" s="63">
        <f t="shared" si="54"/>
        <v>29122710.229999915</v>
      </c>
      <c r="K206" s="63">
        <f t="shared" si="55"/>
        <v>-438999252.45000011</v>
      </c>
    </row>
    <row r="207" spans="1:11" s="650" customFormat="1" ht="13">
      <c r="A207" s="110">
        <f t="shared" si="52"/>
        <v>153</v>
      </c>
      <c r="B207" s="615" t="s">
        <v>187</v>
      </c>
      <c r="C207" s="613">
        <v>2021</v>
      </c>
      <c r="D207" s="995">
        <v>4100000</v>
      </c>
      <c r="E207" s="63">
        <f>D207*'16-PlantAdditions'!$E$103</f>
        <v>307500</v>
      </c>
      <c r="F207" s="63">
        <f t="shared" si="53"/>
        <v>4407500</v>
      </c>
      <c r="G207" s="995">
        <v>11727887.75</v>
      </c>
      <c r="H207" s="995">
        <v>6252887.75</v>
      </c>
      <c r="I207" s="63">
        <f>(G207-H207)*'16-PlantAdditions'!$E$103</f>
        <v>410625</v>
      </c>
      <c r="J207" s="63">
        <f t="shared" si="54"/>
        <v>21391697.479999915</v>
      </c>
      <c r="K207" s="63">
        <f t="shared" si="55"/>
        <v>-446730265.20000011</v>
      </c>
    </row>
    <row r="208" spans="1:11" s="650" customFormat="1" ht="13">
      <c r="A208" s="110">
        <f t="shared" si="52"/>
        <v>154</v>
      </c>
      <c r="B208" s="615" t="s">
        <v>188</v>
      </c>
      <c r="C208" s="613">
        <v>2021</v>
      </c>
      <c r="D208" s="995">
        <v>3000000</v>
      </c>
      <c r="E208" s="63">
        <f>D208*'16-PlantAdditions'!$E$103</f>
        <v>225000</v>
      </c>
      <c r="F208" s="63">
        <f t="shared" si="53"/>
        <v>3225000</v>
      </c>
      <c r="G208" s="995">
        <v>3000000</v>
      </c>
      <c r="H208" s="995">
        <v>0</v>
      </c>
      <c r="I208" s="63">
        <f>(G208-H208)*'16-PlantAdditions'!$E$103</f>
        <v>225000</v>
      </c>
      <c r="J208" s="63">
        <f t="shared" si="54"/>
        <v>21391697.479999915</v>
      </c>
      <c r="K208" s="63">
        <f t="shared" si="55"/>
        <v>-446730265.20000011</v>
      </c>
    </row>
    <row r="209" spans="1:11" s="650" customFormat="1" ht="13">
      <c r="A209" s="110">
        <f t="shared" si="52"/>
        <v>155</v>
      </c>
      <c r="B209" s="615" t="s">
        <v>191</v>
      </c>
      <c r="C209" s="613">
        <v>2021</v>
      </c>
      <c r="D209" s="995">
        <v>3000000</v>
      </c>
      <c r="E209" s="63">
        <f>D209*'16-PlantAdditions'!$E$103</f>
        <v>225000</v>
      </c>
      <c r="F209" s="63">
        <f t="shared" ref="F209:F211" si="56">E209+D209</f>
        <v>3225000</v>
      </c>
      <c r="G209" s="995">
        <v>8674312.6100000013</v>
      </c>
      <c r="H209" s="995">
        <v>4965082.6100000003</v>
      </c>
      <c r="I209" s="63">
        <f>(G209-H209)*'16-PlantAdditions'!$E$103</f>
        <v>278192.25000000006</v>
      </c>
      <c r="J209" s="63">
        <f t="shared" ref="J209:J211" si="57">J208+F209-G209-I209</f>
        <v>15664192.619999913</v>
      </c>
      <c r="K209" s="63">
        <f t="shared" si="55"/>
        <v>-452457770.06000012</v>
      </c>
    </row>
    <row r="210" spans="1:11" s="650" customFormat="1" ht="13">
      <c r="A210" s="110">
        <f t="shared" si="52"/>
        <v>156</v>
      </c>
      <c r="B210" s="615" t="s">
        <v>190</v>
      </c>
      <c r="C210" s="613">
        <v>2021</v>
      </c>
      <c r="D210" s="995">
        <v>3000000</v>
      </c>
      <c r="E210" s="63">
        <f>D210*'16-PlantAdditions'!$E$103</f>
        <v>225000</v>
      </c>
      <c r="F210" s="63">
        <f t="shared" si="56"/>
        <v>3225000</v>
      </c>
      <c r="G210" s="995">
        <v>3000000</v>
      </c>
      <c r="H210" s="995">
        <v>0</v>
      </c>
      <c r="I210" s="63">
        <f>(G210-H210)*'16-PlantAdditions'!$E$103</f>
        <v>225000</v>
      </c>
      <c r="J210" s="63">
        <f t="shared" si="57"/>
        <v>15664192.619999915</v>
      </c>
      <c r="K210" s="63">
        <f t="shared" si="55"/>
        <v>-452457770.06000006</v>
      </c>
    </row>
    <row r="211" spans="1:11" s="650" customFormat="1" ht="13">
      <c r="A211" s="110">
        <f t="shared" si="52"/>
        <v>157</v>
      </c>
      <c r="B211" s="615" t="s">
        <v>180</v>
      </c>
      <c r="C211" s="613">
        <v>2021</v>
      </c>
      <c r="D211" s="995">
        <v>2316078.9999999995</v>
      </c>
      <c r="E211" s="63">
        <f>D211*'16-PlantAdditions'!$E$103</f>
        <v>173705.92499999996</v>
      </c>
      <c r="F211" s="63">
        <f t="shared" si="56"/>
        <v>2489784.9249999993</v>
      </c>
      <c r="G211" s="995">
        <v>12447277.51</v>
      </c>
      <c r="H211" s="995">
        <v>6631198.5099999998</v>
      </c>
      <c r="I211" s="63">
        <f>(G211-H211)*'16-PlantAdditions'!$E$103</f>
        <v>436205.92499999999</v>
      </c>
      <c r="J211" s="63">
        <f t="shared" si="57"/>
        <v>5270494.1099999165</v>
      </c>
      <c r="K211" s="111">
        <f t="shared" si="55"/>
        <v>-462851468.57000011</v>
      </c>
    </row>
    <row r="212" spans="1:11" s="650" customFormat="1" ht="13">
      <c r="A212" s="110">
        <f t="shared" si="52"/>
        <v>158</v>
      </c>
      <c r="B212"/>
      <c r="C212" s="649" t="s">
        <v>1605</v>
      </c>
      <c r="D212"/>
      <c r="E212"/>
      <c r="F212"/>
      <c r="G212"/>
      <c r="H212"/>
      <c r="I212"/>
      <c r="J212"/>
      <c r="K212" s="73">
        <f>AVERAGE(K199:K211)</f>
        <v>-419183167.20692325</v>
      </c>
    </row>
    <row r="213" spans="1:11" s="650" customFormat="1" ht="13">
      <c r="A213" s="110"/>
      <c r="B213"/>
      <c r="C213" s="649"/>
      <c r="D213"/>
      <c r="E213"/>
      <c r="F213"/>
      <c r="G213"/>
      <c r="H213"/>
      <c r="I213"/>
      <c r="J213"/>
      <c r="K213" s="73"/>
    </row>
    <row r="214" spans="1:11" s="650" customFormat="1" ht="13">
      <c r="B214" s="651" t="s">
        <v>1935</v>
      </c>
      <c r="D214" s="1468" t="s">
        <v>538</v>
      </c>
      <c r="E214" s="1468"/>
    </row>
    <row r="215" spans="1:11" s="650" customFormat="1" ht="13">
      <c r="B215" s="651"/>
      <c r="D215" s="645" t="s">
        <v>358</v>
      </c>
      <c r="E215" s="645" t="s">
        <v>342</v>
      </c>
      <c r="F215" s="645" t="s">
        <v>343</v>
      </c>
      <c r="G215" s="645" t="s">
        <v>344</v>
      </c>
      <c r="H215" s="645" t="s">
        <v>345</v>
      </c>
      <c r="I215" s="645" t="s">
        <v>346</v>
      </c>
      <c r="J215" s="645" t="s">
        <v>347</v>
      </c>
      <c r="K215" s="645" t="s">
        <v>534</v>
      </c>
    </row>
    <row r="216" spans="1:11" s="650" customFormat="1" ht="25.5">
      <c r="B216" s="651"/>
      <c r="D216" s="652"/>
      <c r="E216" s="653" t="s">
        <v>2064</v>
      </c>
      <c r="F216" s="654" t="s">
        <v>1929</v>
      </c>
      <c r="G216" s="529"/>
      <c r="H216" s="652"/>
      <c r="I216" s="653" t="s">
        <v>2065</v>
      </c>
      <c r="J216" s="653" t="s">
        <v>1930</v>
      </c>
      <c r="K216" s="653" t="s">
        <v>1931</v>
      </c>
    </row>
    <row r="217" spans="1:11" s="650" customFormat="1" ht="13">
      <c r="D217" s="652"/>
      <c r="E217" s="652"/>
      <c r="F217" s="652"/>
      <c r="G217" s="553" t="str">
        <f>G51</f>
        <v>Unloaded</v>
      </c>
      <c r="H217" s="652"/>
      <c r="I217" s="652"/>
    </row>
    <row r="218" spans="1:11" s="650" customFormat="1" ht="13">
      <c r="A218" s="647"/>
      <c r="B218" s="647"/>
      <c r="C218" s="647"/>
      <c r="D218" s="647" t="str">
        <f>D$52</f>
        <v>Forecast</v>
      </c>
      <c r="E218" s="647" t="str">
        <f t="shared" ref="E218:J218" si="58">E$52</f>
        <v>Corporate</v>
      </c>
      <c r="F218" s="647" t="str">
        <f t="shared" si="58"/>
        <v xml:space="preserve">Total </v>
      </c>
      <c r="G218" s="553" t="str">
        <f>G52</f>
        <v>Total</v>
      </c>
      <c r="H218" s="647" t="str">
        <f t="shared" si="58"/>
        <v>Prior Period</v>
      </c>
      <c r="I218" s="647" t="str">
        <f t="shared" si="58"/>
        <v>Over Heads</v>
      </c>
      <c r="J218" s="647" t="str">
        <f t="shared" si="58"/>
        <v>Forecast</v>
      </c>
      <c r="K218" s="553" t="str">
        <f>K$52</f>
        <v>Forecast Period</v>
      </c>
    </row>
    <row r="219" spans="1:11" s="650" customFormat="1" ht="13">
      <c r="A219" s="840" t="s">
        <v>329</v>
      </c>
      <c r="B219" s="611" t="s">
        <v>192</v>
      </c>
      <c r="C219" s="611" t="s">
        <v>193</v>
      </c>
      <c r="D219" s="645" t="str">
        <f>D$53</f>
        <v>Expenditures</v>
      </c>
      <c r="E219" s="645" t="str">
        <f t="shared" ref="E219:J219" si="59">E$53</f>
        <v>Overheads</v>
      </c>
      <c r="F219" s="645" t="str">
        <f t="shared" si="59"/>
        <v>CWIP Exp</v>
      </c>
      <c r="G219" s="123" t="str">
        <f>G53</f>
        <v>Plant Adds</v>
      </c>
      <c r="H219" s="645" t="str">
        <f t="shared" si="59"/>
        <v>CWIP Closed</v>
      </c>
      <c r="I219" s="645" t="str">
        <f t="shared" si="59"/>
        <v>Closed to PIS</v>
      </c>
      <c r="J219" s="645" t="str">
        <f t="shared" si="59"/>
        <v>Period CWIP</v>
      </c>
      <c r="K219" s="645" t="str">
        <f>K$53</f>
        <v>Incremental CWIP</v>
      </c>
    </row>
    <row r="220" spans="1:11" s="650" customFormat="1" ht="13">
      <c r="A220" s="110">
        <f>A212+1</f>
        <v>159</v>
      </c>
      <c r="B220" s="612" t="s">
        <v>180</v>
      </c>
      <c r="C220" s="613">
        <v>2019</v>
      </c>
      <c r="D220" s="654" t="s">
        <v>76</v>
      </c>
      <c r="E220" s="654" t="s">
        <v>76</v>
      </c>
      <c r="F220" s="654" t="s">
        <v>76</v>
      </c>
      <c r="G220" s="654" t="s">
        <v>76</v>
      </c>
      <c r="H220" s="654" t="s">
        <v>76</v>
      </c>
      <c r="I220" s="654" t="s">
        <v>76</v>
      </c>
      <c r="J220" s="63">
        <f>I25</f>
        <v>0</v>
      </c>
      <c r="K220" s="654" t="s">
        <v>76</v>
      </c>
    </row>
    <row r="221" spans="1:11" s="650" customFormat="1" ht="13">
      <c r="A221" s="110">
        <f>A220+1</f>
        <v>160</v>
      </c>
      <c r="B221" s="612" t="s">
        <v>181</v>
      </c>
      <c r="C221" s="613">
        <v>2020</v>
      </c>
      <c r="D221" s="995">
        <v>0</v>
      </c>
      <c r="E221" s="63">
        <f>D221*'16-PlantAdditions'!$E$103</f>
        <v>0</v>
      </c>
      <c r="F221" s="63">
        <f>E221+D221</f>
        <v>0</v>
      </c>
      <c r="G221" s="995">
        <v>0</v>
      </c>
      <c r="H221" s="995">
        <v>0</v>
      </c>
      <c r="I221" s="63">
        <f>(G221-H221)*'16-PlantAdditions'!$E$103</f>
        <v>0</v>
      </c>
      <c r="J221" s="63">
        <f>J220+F221-G221-I221</f>
        <v>0</v>
      </c>
      <c r="K221" s="63">
        <f>J221-$J$220</f>
        <v>0</v>
      </c>
    </row>
    <row r="222" spans="1:11" s="650" customFormat="1" ht="13">
      <c r="A222" s="110">
        <f t="shared" ref="A222:A245" si="60">A221+1</f>
        <v>161</v>
      </c>
      <c r="B222" s="615" t="s">
        <v>182</v>
      </c>
      <c r="C222" s="613">
        <v>2020</v>
      </c>
      <c r="D222" s="995">
        <v>0</v>
      </c>
      <c r="E222" s="63">
        <f>D222*'16-PlantAdditions'!$E$103</f>
        <v>0</v>
      </c>
      <c r="F222" s="63">
        <f t="shared" ref="F222:F241" si="61">E222+D222</f>
        <v>0</v>
      </c>
      <c r="G222" s="995">
        <v>0</v>
      </c>
      <c r="H222" s="995">
        <v>0</v>
      </c>
      <c r="I222" s="63">
        <f>(G222-H222)*'16-PlantAdditions'!$E$103</f>
        <v>0</v>
      </c>
      <c r="J222" s="63">
        <f t="shared" ref="J222:J241" si="62">J221+F222-G222-I222</f>
        <v>0</v>
      </c>
      <c r="K222" s="63">
        <f t="shared" ref="K222:K244" si="63">J222-$J$220</f>
        <v>0</v>
      </c>
    </row>
    <row r="223" spans="1:11" s="650" customFormat="1" ht="13">
      <c r="A223" s="110">
        <f t="shared" si="60"/>
        <v>162</v>
      </c>
      <c r="B223" s="615" t="s">
        <v>195</v>
      </c>
      <c r="C223" s="613">
        <v>2020</v>
      </c>
      <c r="D223" s="995">
        <v>0</v>
      </c>
      <c r="E223" s="63">
        <f>D223*'16-PlantAdditions'!$E$103</f>
        <v>0</v>
      </c>
      <c r="F223" s="63">
        <f t="shared" si="61"/>
        <v>0</v>
      </c>
      <c r="G223" s="995">
        <v>0</v>
      </c>
      <c r="H223" s="995">
        <v>0</v>
      </c>
      <c r="I223" s="63">
        <f>(G223-H223)*'16-PlantAdditions'!$E$103</f>
        <v>0</v>
      </c>
      <c r="J223" s="63">
        <f t="shared" si="62"/>
        <v>0</v>
      </c>
      <c r="K223" s="63">
        <f t="shared" si="63"/>
        <v>0</v>
      </c>
    </row>
    <row r="224" spans="1:11" s="650" customFormat="1" ht="13">
      <c r="A224" s="110">
        <f t="shared" si="60"/>
        <v>163</v>
      </c>
      <c r="B224" s="612" t="s">
        <v>183</v>
      </c>
      <c r="C224" s="613">
        <v>2020</v>
      </c>
      <c r="D224" s="995">
        <v>0</v>
      </c>
      <c r="E224" s="63">
        <f>D224*'16-PlantAdditions'!$E$103</f>
        <v>0</v>
      </c>
      <c r="F224" s="63">
        <f t="shared" si="61"/>
        <v>0</v>
      </c>
      <c r="G224" s="995">
        <v>0</v>
      </c>
      <c r="H224" s="995">
        <v>0</v>
      </c>
      <c r="I224" s="63">
        <f>(G224-H224)*'16-PlantAdditions'!$E$103</f>
        <v>0</v>
      </c>
      <c r="J224" s="63">
        <f t="shared" si="62"/>
        <v>0</v>
      </c>
      <c r="K224" s="63">
        <f t="shared" si="63"/>
        <v>0</v>
      </c>
    </row>
    <row r="225" spans="1:11" s="650" customFormat="1" ht="13">
      <c r="A225" s="110">
        <f t="shared" si="60"/>
        <v>164</v>
      </c>
      <c r="B225" s="615" t="s">
        <v>184</v>
      </c>
      <c r="C225" s="613">
        <v>2020</v>
      </c>
      <c r="D225" s="995">
        <v>0</v>
      </c>
      <c r="E225" s="63">
        <f>D225*'16-PlantAdditions'!$E$103</f>
        <v>0</v>
      </c>
      <c r="F225" s="63">
        <f t="shared" si="61"/>
        <v>0</v>
      </c>
      <c r="G225" s="995">
        <v>0</v>
      </c>
      <c r="H225" s="995">
        <v>0</v>
      </c>
      <c r="I225" s="63">
        <f>(G225-H225)*'16-PlantAdditions'!$E$103</f>
        <v>0</v>
      </c>
      <c r="J225" s="63">
        <f t="shared" si="62"/>
        <v>0</v>
      </c>
      <c r="K225" s="63">
        <f t="shared" si="63"/>
        <v>0</v>
      </c>
    </row>
    <row r="226" spans="1:11" s="650" customFormat="1" ht="13">
      <c r="A226" s="110">
        <f t="shared" si="60"/>
        <v>165</v>
      </c>
      <c r="B226" s="615" t="s">
        <v>1460</v>
      </c>
      <c r="C226" s="613">
        <v>2020</v>
      </c>
      <c r="D226" s="995">
        <v>0</v>
      </c>
      <c r="E226" s="63">
        <f>D226*'16-PlantAdditions'!$E$103</f>
        <v>0</v>
      </c>
      <c r="F226" s="63">
        <f t="shared" si="61"/>
        <v>0</v>
      </c>
      <c r="G226" s="995">
        <v>0</v>
      </c>
      <c r="H226" s="995">
        <v>0</v>
      </c>
      <c r="I226" s="63">
        <f>(G226-H226)*'16-PlantAdditions'!$E$103</f>
        <v>0</v>
      </c>
      <c r="J226" s="63">
        <f t="shared" si="62"/>
        <v>0</v>
      </c>
      <c r="K226" s="63">
        <f t="shared" si="63"/>
        <v>0</v>
      </c>
    </row>
    <row r="227" spans="1:11" s="650" customFormat="1" ht="13">
      <c r="A227" s="110">
        <f t="shared" si="60"/>
        <v>166</v>
      </c>
      <c r="B227" s="612" t="s">
        <v>186</v>
      </c>
      <c r="C227" s="613">
        <v>2020</v>
      </c>
      <c r="D227" s="995">
        <v>0</v>
      </c>
      <c r="E227" s="63">
        <f>D227*'16-PlantAdditions'!$E$103</f>
        <v>0</v>
      </c>
      <c r="F227" s="63">
        <f t="shared" si="61"/>
        <v>0</v>
      </c>
      <c r="G227" s="995">
        <v>0</v>
      </c>
      <c r="H227" s="995">
        <v>0</v>
      </c>
      <c r="I227" s="63">
        <f>(G227-H227)*'16-PlantAdditions'!$E$103</f>
        <v>0</v>
      </c>
      <c r="J227" s="63">
        <f t="shared" si="62"/>
        <v>0</v>
      </c>
      <c r="K227" s="63">
        <f t="shared" si="63"/>
        <v>0</v>
      </c>
    </row>
    <row r="228" spans="1:11" s="650" customFormat="1" ht="13">
      <c r="A228" s="110">
        <f t="shared" si="60"/>
        <v>167</v>
      </c>
      <c r="B228" s="615" t="s">
        <v>187</v>
      </c>
      <c r="C228" s="613">
        <v>2020</v>
      </c>
      <c r="D228" s="995">
        <v>0</v>
      </c>
      <c r="E228" s="63">
        <f>D228*'16-PlantAdditions'!$E$103</f>
        <v>0</v>
      </c>
      <c r="F228" s="63">
        <f t="shared" si="61"/>
        <v>0</v>
      </c>
      <c r="G228" s="995">
        <v>0</v>
      </c>
      <c r="H228" s="995">
        <v>0</v>
      </c>
      <c r="I228" s="63">
        <f>(G228-H228)*'16-PlantAdditions'!$E$103</f>
        <v>0</v>
      </c>
      <c r="J228" s="63">
        <f t="shared" si="62"/>
        <v>0</v>
      </c>
      <c r="K228" s="63">
        <f t="shared" si="63"/>
        <v>0</v>
      </c>
    </row>
    <row r="229" spans="1:11" s="650" customFormat="1" ht="13">
      <c r="A229" s="110">
        <f t="shared" si="60"/>
        <v>168</v>
      </c>
      <c r="B229" s="615" t="s">
        <v>188</v>
      </c>
      <c r="C229" s="613">
        <v>2020</v>
      </c>
      <c r="D229" s="995">
        <v>0</v>
      </c>
      <c r="E229" s="63">
        <f>D229*'16-PlantAdditions'!$E$103</f>
        <v>0</v>
      </c>
      <c r="F229" s="63">
        <f t="shared" si="61"/>
        <v>0</v>
      </c>
      <c r="G229" s="995">
        <v>0</v>
      </c>
      <c r="H229" s="995">
        <v>0</v>
      </c>
      <c r="I229" s="63">
        <f>(G229-H229)*'16-PlantAdditions'!$E$103</f>
        <v>0</v>
      </c>
      <c r="J229" s="63">
        <f t="shared" si="62"/>
        <v>0</v>
      </c>
      <c r="K229" s="63">
        <f t="shared" si="63"/>
        <v>0</v>
      </c>
    </row>
    <row r="230" spans="1:11" s="650" customFormat="1" ht="13">
      <c r="A230" s="110">
        <f t="shared" si="60"/>
        <v>169</v>
      </c>
      <c r="B230" s="612" t="s">
        <v>191</v>
      </c>
      <c r="C230" s="613">
        <v>2020</v>
      </c>
      <c r="D230" s="995">
        <v>0</v>
      </c>
      <c r="E230" s="63">
        <f>D230*'16-PlantAdditions'!$E$103</f>
        <v>0</v>
      </c>
      <c r="F230" s="63">
        <f t="shared" si="61"/>
        <v>0</v>
      </c>
      <c r="G230" s="995">
        <v>0</v>
      </c>
      <c r="H230" s="995">
        <v>0</v>
      </c>
      <c r="I230" s="63">
        <f>(G230-H230)*'16-PlantAdditions'!$E$103</f>
        <v>0</v>
      </c>
      <c r="J230" s="63">
        <f t="shared" si="62"/>
        <v>0</v>
      </c>
      <c r="K230" s="63">
        <f t="shared" si="63"/>
        <v>0</v>
      </c>
    </row>
    <row r="231" spans="1:11" s="650" customFormat="1" ht="13">
      <c r="A231" s="110">
        <f t="shared" si="60"/>
        <v>170</v>
      </c>
      <c r="B231" s="612" t="s">
        <v>190</v>
      </c>
      <c r="C231" s="613">
        <v>2020</v>
      </c>
      <c r="D231" s="995">
        <v>0</v>
      </c>
      <c r="E231" s="63">
        <f>D231*'16-PlantAdditions'!$E$103</f>
        <v>0</v>
      </c>
      <c r="F231" s="63">
        <f t="shared" si="61"/>
        <v>0</v>
      </c>
      <c r="G231" s="995">
        <v>0</v>
      </c>
      <c r="H231" s="995">
        <v>0</v>
      </c>
      <c r="I231" s="63">
        <f>(G231-H231)*'16-PlantAdditions'!$E$103</f>
        <v>0</v>
      </c>
      <c r="J231" s="63">
        <f t="shared" si="62"/>
        <v>0</v>
      </c>
      <c r="K231" s="63">
        <f t="shared" si="63"/>
        <v>0</v>
      </c>
    </row>
    <row r="232" spans="1:11" s="650" customFormat="1" ht="13">
      <c r="A232" s="110">
        <f t="shared" si="60"/>
        <v>171</v>
      </c>
      <c r="B232" s="612" t="s">
        <v>180</v>
      </c>
      <c r="C232" s="613">
        <v>2020</v>
      </c>
      <c r="D232" s="995">
        <v>0</v>
      </c>
      <c r="E232" s="63">
        <f>D232*'16-PlantAdditions'!$E$103</f>
        <v>0</v>
      </c>
      <c r="F232" s="63">
        <f t="shared" si="61"/>
        <v>0</v>
      </c>
      <c r="G232" s="995">
        <v>0</v>
      </c>
      <c r="H232" s="995">
        <v>0</v>
      </c>
      <c r="I232" s="63">
        <f>(G232-H232)*'16-PlantAdditions'!$E$103</f>
        <v>0</v>
      </c>
      <c r="J232" s="63">
        <f t="shared" si="62"/>
        <v>0</v>
      </c>
      <c r="K232" s="63">
        <f t="shared" si="63"/>
        <v>0</v>
      </c>
    </row>
    <row r="233" spans="1:11" s="650" customFormat="1" ht="13">
      <c r="A233" s="110">
        <f t="shared" si="60"/>
        <v>172</v>
      </c>
      <c r="B233" s="612" t="s">
        <v>181</v>
      </c>
      <c r="C233" s="613">
        <v>2021</v>
      </c>
      <c r="D233" s="995">
        <v>0</v>
      </c>
      <c r="E233" s="63">
        <f>D233*'16-PlantAdditions'!$E$103</f>
        <v>0</v>
      </c>
      <c r="F233" s="63">
        <f t="shared" si="61"/>
        <v>0</v>
      </c>
      <c r="G233" s="995">
        <v>0</v>
      </c>
      <c r="H233" s="995">
        <v>0</v>
      </c>
      <c r="I233" s="63">
        <f>(G233-H233)*'16-PlantAdditions'!$E$103</f>
        <v>0</v>
      </c>
      <c r="J233" s="63">
        <f t="shared" si="62"/>
        <v>0</v>
      </c>
      <c r="K233" s="63">
        <f t="shared" si="63"/>
        <v>0</v>
      </c>
    </row>
    <row r="234" spans="1:11" s="650" customFormat="1" ht="13">
      <c r="A234" s="110">
        <f t="shared" si="60"/>
        <v>173</v>
      </c>
      <c r="B234" s="615" t="s">
        <v>182</v>
      </c>
      <c r="C234" s="613">
        <v>2021</v>
      </c>
      <c r="D234" s="995">
        <v>0</v>
      </c>
      <c r="E234" s="63">
        <f>D234*'16-PlantAdditions'!$E$103</f>
        <v>0</v>
      </c>
      <c r="F234" s="63">
        <f t="shared" si="61"/>
        <v>0</v>
      </c>
      <c r="G234" s="995">
        <v>0</v>
      </c>
      <c r="H234" s="995">
        <v>0</v>
      </c>
      <c r="I234" s="63">
        <f>(G234-H234)*'16-PlantAdditions'!$E$103</f>
        <v>0</v>
      </c>
      <c r="J234" s="63">
        <f t="shared" si="62"/>
        <v>0</v>
      </c>
      <c r="K234" s="63">
        <f t="shared" si="63"/>
        <v>0</v>
      </c>
    </row>
    <row r="235" spans="1:11" s="650" customFormat="1" ht="13">
      <c r="A235" s="110">
        <f t="shared" si="60"/>
        <v>174</v>
      </c>
      <c r="B235" s="615" t="s">
        <v>195</v>
      </c>
      <c r="C235" s="613">
        <v>2021</v>
      </c>
      <c r="D235" s="995">
        <v>0</v>
      </c>
      <c r="E235" s="63">
        <f>D235*'16-PlantAdditions'!$E$103</f>
        <v>0</v>
      </c>
      <c r="F235" s="63">
        <f t="shared" si="61"/>
        <v>0</v>
      </c>
      <c r="G235" s="995">
        <v>0</v>
      </c>
      <c r="H235" s="995">
        <v>0</v>
      </c>
      <c r="I235" s="63">
        <f>(G235-H235)*'16-PlantAdditions'!$E$103</f>
        <v>0</v>
      </c>
      <c r="J235" s="63">
        <f t="shared" si="62"/>
        <v>0</v>
      </c>
      <c r="K235" s="63">
        <f t="shared" si="63"/>
        <v>0</v>
      </c>
    </row>
    <row r="236" spans="1:11" s="650" customFormat="1" ht="13">
      <c r="A236" s="110">
        <f t="shared" si="60"/>
        <v>175</v>
      </c>
      <c r="B236" s="612" t="s">
        <v>183</v>
      </c>
      <c r="C236" s="613">
        <v>2021</v>
      </c>
      <c r="D236" s="995">
        <v>0</v>
      </c>
      <c r="E236" s="63">
        <f>D236*'16-PlantAdditions'!$E$103</f>
        <v>0</v>
      </c>
      <c r="F236" s="63">
        <f t="shared" si="61"/>
        <v>0</v>
      </c>
      <c r="G236" s="995">
        <v>0</v>
      </c>
      <c r="H236" s="995">
        <v>0</v>
      </c>
      <c r="I236" s="63">
        <f>(G236-H236)*'16-PlantAdditions'!$E$103</f>
        <v>0</v>
      </c>
      <c r="J236" s="63">
        <f t="shared" si="62"/>
        <v>0</v>
      </c>
      <c r="K236" s="63">
        <f t="shared" si="63"/>
        <v>0</v>
      </c>
    </row>
    <row r="237" spans="1:11" s="650" customFormat="1" ht="13">
      <c r="A237" s="110">
        <f t="shared" si="60"/>
        <v>176</v>
      </c>
      <c r="B237" s="615" t="s">
        <v>184</v>
      </c>
      <c r="C237" s="613">
        <v>2021</v>
      </c>
      <c r="D237" s="995">
        <v>0</v>
      </c>
      <c r="E237" s="63">
        <f>D237*'16-PlantAdditions'!$E$103</f>
        <v>0</v>
      </c>
      <c r="F237" s="63">
        <f t="shared" si="61"/>
        <v>0</v>
      </c>
      <c r="G237" s="995">
        <v>0</v>
      </c>
      <c r="H237" s="995">
        <v>0</v>
      </c>
      <c r="I237" s="63">
        <f>(G237-H237)*'16-PlantAdditions'!$E$103</f>
        <v>0</v>
      </c>
      <c r="J237" s="63">
        <f t="shared" si="62"/>
        <v>0</v>
      </c>
      <c r="K237" s="63">
        <f t="shared" si="63"/>
        <v>0</v>
      </c>
    </row>
    <row r="238" spans="1:11" s="650" customFormat="1" ht="13">
      <c r="A238" s="110">
        <f t="shared" si="60"/>
        <v>177</v>
      </c>
      <c r="B238" s="615" t="s">
        <v>1460</v>
      </c>
      <c r="C238" s="613">
        <v>2021</v>
      </c>
      <c r="D238" s="995">
        <v>0</v>
      </c>
      <c r="E238" s="63">
        <f>D238*'16-PlantAdditions'!$E$103</f>
        <v>0</v>
      </c>
      <c r="F238" s="63">
        <f t="shared" si="61"/>
        <v>0</v>
      </c>
      <c r="G238" s="995">
        <v>0</v>
      </c>
      <c r="H238" s="995">
        <v>0</v>
      </c>
      <c r="I238" s="63">
        <f>(G238-H238)*'16-PlantAdditions'!$E$103</f>
        <v>0</v>
      </c>
      <c r="J238" s="63">
        <f t="shared" si="62"/>
        <v>0</v>
      </c>
      <c r="K238" s="63">
        <f t="shared" si="63"/>
        <v>0</v>
      </c>
    </row>
    <row r="239" spans="1:11" s="650" customFormat="1" ht="13">
      <c r="A239" s="110">
        <f t="shared" si="60"/>
        <v>178</v>
      </c>
      <c r="B239" s="612" t="s">
        <v>186</v>
      </c>
      <c r="C239" s="613">
        <v>2021</v>
      </c>
      <c r="D239" s="995">
        <v>0</v>
      </c>
      <c r="E239" s="63">
        <f>D239*'16-PlantAdditions'!$E$103</f>
        <v>0</v>
      </c>
      <c r="F239" s="63">
        <f t="shared" si="61"/>
        <v>0</v>
      </c>
      <c r="G239" s="995">
        <v>0</v>
      </c>
      <c r="H239" s="995">
        <v>0</v>
      </c>
      <c r="I239" s="63">
        <f>(G239-H239)*'16-PlantAdditions'!$E$103</f>
        <v>0</v>
      </c>
      <c r="J239" s="63">
        <f t="shared" si="62"/>
        <v>0</v>
      </c>
      <c r="K239" s="63">
        <f t="shared" si="63"/>
        <v>0</v>
      </c>
    </row>
    <row r="240" spans="1:11" s="650" customFormat="1" ht="13">
      <c r="A240" s="110">
        <f t="shared" si="60"/>
        <v>179</v>
      </c>
      <c r="B240" s="615" t="s">
        <v>187</v>
      </c>
      <c r="C240" s="613">
        <v>2021</v>
      </c>
      <c r="D240" s="995">
        <v>0</v>
      </c>
      <c r="E240" s="63">
        <f>D240*'16-PlantAdditions'!$E$103</f>
        <v>0</v>
      </c>
      <c r="F240" s="63">
        <f t="shared" si="61"/>
        <v>0</v>
      </c>
      <c r="G240" s="995">
        <v>0</v>
      </c>
      <c r="H240" s="995">
        <v>0</v>
      </c>
      <c r="I240" s="63">
        <f>(G240-H240)*'16-PlantAdditions'!$E$103</f>
        <v>0</v>
      </c>
      <c r="J240" s="63">
        <f t="shared" si="62"/>
        <v>0</v>
      </c>
      <c r="K240" s="63">
        <f t="shared" si="63"/>
        <v>0</v>
      </c>
    </row>
    <row r="241" spans="1:11" s="650" customFormat="1" ht="13">
      <c r="A241" s="110">
        <f t="shared" si="60"/>
        <v>180</v>
      </c>
      <c r="B241" s="615" t="s">
        <v>188</v>
      </c>
      <c r="C241" s="613">
        <v>2021</v>
      </c>
      <c r="D241" s="995">
        <v>0</v>
      </c>
      <c r="E241" s="63">
        <f>D241*'16-PlantAdditions'!$E$103</f>
        <v>0</v>
      </c>
      <c r="F241" s="63">
        <f t="shared" si="61"/>
        <v>0</v>
      </c>
      <c r="G241" s="995">
        <v>0</v>
      </c>
      <c r="H241" s="995">
        <v>0</v>
      </c>
      <c r="I241" s="63">
        <f>(G241-H241)*'16-PlantAdditions'!$E$103</f>
        <v>0</v>
      </c>
      <c r="J241" s="63">
        <f t="shared" si="62"/>
        <v>0</v>
      </c>
      <c r="K241" s="63">
        <f t="shared" si="63"/>
        <v>0</v>
      </c>
    </row>
    <row r="242" spans="1:11" s="650" customFormat="1" ht="13">
      <c r="A242" s="110">
        <f t="shared" si="60"/>
        <v>181</v>
      </c>
      <c r="B242" s="615" t="s">
        <v>191</v>
      </c>
      <c r="C242" s="613">
        <v>2021</v>
      </c>
      <c r="D242" s="995">
        <v>0</v>
      </c>
      <c r="E242" s="63">
        <f>D242*'16-PlantAdditions'!$E$103</f>
        <v>0</v>
      </c>
      <c r="F242" s="63">
        <f t="shared" ref="F242:F244" si="64">E242+D242</f>
        <v>0</v>
      </c>
      <c r="G242" s="995">
        <v>0</v>
      </c>
      <c r="H242" s="995">
        <v>0</v>
      </c>
      <c r="I242" s="63">
        <f>(G242-H242)*'16-PlantAdditions'!$E$103</f>
        <v>0</v>
      </c>
      <c r="J242" s="63">
        <f t="shared" ref="J242:J244" si="65">J241+F242-G242-I242</f>
        <v>0</v>
      </c>
      <c r="K242" s="63">
        <f t="shared" si="63"/>
        <v>0</v>
      </c>
    </row>
    <row r="243" spans="1:11" s="650" customFormat="1" ht="13">
      <c r="A243" s="110">
        <f t="shared" si="60"/>
        <v>182</v>
      </c>
      <c r="B243" s="615" t="s">
        <v>190</v>
      </c>
      <c r="C243" s="613">
        <v>2021</v>
      </c>
      <c r="D243" s="995">
        <v>0</v>
      </c>
      <c r="E243" s="63">
        <f>D243*'16-PlantAdditions'!$E$103</f>
        <v>0</v>
      </c>
      <c r="F243" s="63">
        <f t="shared" si="64"/>
        <v>0</v>
      </c>
      <c r="G243" s="995">
        <v>0</v>
      </c>
      <c r="H243" s="995">
        <v>0</v>
      </c>
      <c r="I243" s="63">
        <f>(G243-H243)*'16-PlantAdditions'!$E$103</f>
        <v>0</v>
      </c>
      <c r="J243" s="63">
        <f t="shared" si="65"/>
        <v>0</v>
      </c>
      <c r="K243" s="63">
        <f t="shared" si="63"/>
        <v>0</v>
      </c>
    </row>
    <row r="244" spans="1:11" s="650" customFormat="1" ht="13">
      <c r="A244" s="110">
        <f t="shared" si="60"/>
        <v>183</v>
      </c>
      <c r="B244" s="615" t="s">
        <v>180</v>
      </c>
      <c r="C244" s="613">
        <v>2021</v>
      </c>
      <c r="D244" s="995">
        <v>0</v>
      </c>
      <c r="E244" s="63">
        <f>D244*'16-PlantAdditions'!$E$103</f>
        <v>0</v>
      </c>
      <c r="F244" s="63">
        <f t="shared" si="64"/>
        <v>0</v>
      </c>
      <c r="G244" s="995">
        <v>0</v>
      </c>
      <c r="H244" s="995">
        <v>0</v>
      </c>
      <c r="I244" s="63">
        <f>(G244-H244)*'16-PlantAdditions'!$E$103</f>
        <v>0</v>
      </c>
      <c r="J244" s="63">
        <f t="shared" si="65"/>
        <v>0</v>
      </c>
      <c r="K244" s="111">
        <f t="shared" si="63"/>
        <v>0</v>
      </c>
    </row>
    <row r="245" spans="1:11" s="650" customFormat="1" ht="13">
      <c r="A245" s="110">
        <f t="shared" si="60"/>
        <v>184</v>
      </c>
      <c r="B245"/>
      <c r="C245" s="649" t="s">
        <v>1605</v>
      </c>
      <c r="D245"/>
      <c r="E245"/>
      <c r="F245"/>
      <c r="G245"/>
      <c r="H245"/>
      <c r="I245"/>
      <c r="J245"/>
      <c r="K245" s="73">
        <f>AVERAGE(K232:K244)</f>
        <v>0</v>
      </c>
    </row>
    <row r="246" spans="1:11" s="650" customFormat="1" ht="13">
      <c r="A246" s="110"/>
      <c r="B246"/>
      <c r="C246" s="649"/>
      <c r="D246"/>
      <c r="E246"/>
      <c r="F246"/>
      <c r="G246"/>
      <c r="H246"/>
      <c r="I246"/>
      <c r="J246"/>
      <c r="K246" s="73"/>
    </row>
    <row r="247" spans="1:11" s="650" customFormat="1" ht="13">
      <c r="B247" s="651" t="s">
        <v>1936</v>
      </c>
      <c r="D247" s="1468" t="s">
        <v>2797</v>
      </c>
      <c r="E247" s="1468"/>
    </row>
    <row r="248" spans="1:11" s="650" customFormat="1" ht="13">
      <c r="A248" s="645"/>
      <c r="B248" s="645"/>
      <c r="C248" s="645"/>
      <c r="D248" s="645" t="s">
        <v>358</v>
      </c>
      <c r="E248" s="645" t="s">
        <v>342</v>
      </c>
      <c r="F248" s="645" t="s">
        <v>343</v>
      </c>
      <c r="G248" s="645" t="s">
        <v>344</v>
      </c>
      <c r="H248" s="645" t="s">
        <v>345</v>
      </c>
      <c r="I248" s="645" t="s">
        <v>346</v>
      </c>
      <c r="J248" s="645" t="s">
        <v>347</v>
      </c>
      <c r="K248" s="645" t="s">
        <v>534</v>
      </c>
    </row>
    <row r="249" spans="1:11" s="650" customFormat="1" ht="25.5">
      <c r="D249" s="652"/>
      <c r="E249" s="653" t="s">
        <v>2064</v>
      </c>
      <c r="F249" s="654" t="s">
        <v>1929</v>
      </c>
      <c r="G249" s="529"/>
      <c r="H249" s="652"/>
      <c r="I249" s="653" t="s">
        <v>2065</v>
      </c>
      <c r="J249" s="653" t="s">
        <v>1930</v>
      </c>
      <c r="K249" s="653" t="s">
        <v>1931</v>
      </c>
    </row>
    <row r="250" spans="1:11" s="650" customFormat="1" ht="13">
      <c r="D250" s="652"/>
      <c r="E250" s="652"/>
      <c r="F250" s="652"/>
      <c r="G250" s="553" t="s">
        <v>1937</v>
      </c>
      <c r="H250" s="652"/>
      <c r="I250" s="652"/>
    </row>
    <row r="251" spans="1:11" s="650" customFormat="1" ht="13">
      <c r="A251" s="647"/>
      <c r="B251" s="647"/>
      <c r="C251" s="647"/>
      <c r="D251" s="647" t="str">
        <f>D$52</f>
        <v>Forecast</v>
      </c>
      <c r="E251" s="647" t="str">
        <f t="shared" ref="E251:J251" si="66">E$52</f>
        <v>Corporate</v>
      </c>
      <c r="F251" s="647" t="str">
        <f t="shared" si="66"/>
        <v xml:space="preserve">Total </v>
      </c>
      <c r="G251" s="647" t="s">
        <v>196</v>
      </c>
      <c r="H251" s="647" t="str">
        <f t="shared" si="66"/>
        <v>Prior Period</v>
      </c>
      <c r="I251" s="647" t="str">
        <f t="shared" si="66"/>
        <v>Over Heads</v>
      </c>
      <c r="J251" s="647" t="str">
        <f t="shared" si="66"/>
        <v>Forecast</v>
      </c>
      <c r="K251" s="553" t="str">
        <f>K$52</f>
        <v>Forecast Period</v>
      </c>
    </row>
    <row r="252" spans="1:11" s="650" customFormat="1" ht="13">
      <c r="A252" s="840" t="s">
        <v>329</v>
      </c>
      <c r="B252" s="611" t="s">
        <v>192</v>
      </c>
      <c r="C252" s="611" t="s">
        <v>193</v>
      </c>
      <c r="D252" s="645" t="str">
        <f>D$53</f>
        <v>Expenditures</v>
      </c>
      <c r="E252" s="645" t="str">
        <f t="shared" ref="E252:J252" si="67">E$53</f>
        <v>Overheads</v>
      </c>
      <c r="F252" s="645" t="str">
        <f t="shared" si="67"/>
        <v>CWIP Exp</v>
      </c>
      <c r="G252" s="645" t="s">
        <v>1922</v>
      </c>
      <c r="H252" s="645" t="str">
        <f t="shared" si="67"/>
        <v>CWIP Closed</v>
      </c>
      <c r="I252" s="645" t="str">
        <f t="shared" si="67"/>
        <v>Closed to PIS</v>
      </c>
      <c r="J252" s="645" t="str">
        <f t="shared" si="67"/>
        <v>Period CWIP</v>
      </c>
      <c r="K252" s="645" t="str">
        <f>K$53</f>
        <v>Incremental CWIP</v>
      </c>
    </row>
    <row r="253" spans="1:11" s="650" customFormat="1" ht="13">
      <c r="A253" s="110">
        <f>A245+1</f>
        <v>185</v>
      </c>
      <c r="B253" s="612" t="s">
        <v>180</v>
      </c>
      <c r="C253" s="613">
        <v>2019</v>
      </c>
      <c r="D253" s="654" t="s">
        <v>76</v>
      </c>
      <c r="E253" s="654" t="s">
        <v>76</v>
      </c>
      <c r="F253" s="654" t="s">
        <v>76</v>
      </c>
      <c r="G253" s="654" t="s">
        <v>76</v>
      </c>
      <c r="H253" s="654" t="s">
        <v>76</v>
      </c>
      <c r="I253" s="654" t="s">
        <v>76</v>
      </c>
      <c r="J253" s="63">
        <f>D45</f>
        <v>0</v>
      </c>
      <c r="K253" s="654" t="s">
        <v>76</v>
      </c>
    </row>
    <row r="254" spans="1:11" s="650" customFormat="1" ht="13">
      <c r="A254" s="110">
        <f>A253+1</f>
        <v>186</v>
      </c>
      <c r="B254" s="612" t="s">
        <v>181</v>
      </c>
      <c r="C254" s="613">
        <v>2020</v>
      </c>
      <c r="D254" s="995">
        <v>-1942</v>
      </c>
      <c r="E254" s="63">
        <f>D254*'16-PlantAdditions'!$E$103</f>
        <v>-145.65</v>
      </c>
      <c r="F254" s="63">
        <f>E254+D254</f>
        <v>-2087.65</v>
      </c>
      <c r="G254" s="995">
        <v>-1942</v>
      </c>
      <c r="H254" s="995">
        <v>0</v>
      </c>
      <c r="I254" s="63">
        <f>(G254-H254)*'16-PlantAdditions'!$E$103</f>
        <v>-145.65</v>
      </c>
      <c r="J254" s="63">
        <f>J253+F254-G254-I254</f>
        <v>0</v>
      </c>
      <c r="K254" s="63">
        <f>J254-$J$253</f>
        <v>0</v>
      </c>
    </row>
    <row r="255" spans="1:11" s="650" customFormat="1" ht="13">
      <c r="A255" s="110">
        <f t="shared" ref="A255:A278" si="68">A254+1</f>
        <v>187</v>
      </c>
      <c r="B255" s="615" t="s">
        <v>182</v>
      </c>
      <c r="C255" s="613">
        <v>2020</v>
      </c>
      <c r="D255" s="995">
        <v>0</v>
      </c>
      <c r="E255" s="63">
        <f>D255*'16-PlantAdditions'!$E$103</f>
        <v>0</v>
      </c>
      <c r="F255" s="63">
        <f t="shared" ref="F255:F274" si="69">E255+D255</f>
        <v>0</v>
      </c>
      <c r="G255" s="995">
        <v>0</v>
      </c>
      <c r="H255" s="995">
        <v>0</v>
      </c>
      <c r="I255" s="63">
        <f>(G255-H255)*'16-PlantAdditions'!$E$103</f>
        <v>0</v>
      </c>
      <c r="J255" s="63">
        <f t="shared" ref="J255:J274" si="70">J254+F255-G255-I255</f>
        <v>0</v>
      </c>
      <c r="K255" s="63">
        <f t="shared" ref="K255:K277" si="71">J255-$J$253</f>
        <v>0</v>
      </c>
    </row>
    <row r="256" spans="1:11" s="650" customFormat="1" ht="13">
      <c r="A256" s="110">
        <f t="shared" si="68"/>
        <v>188</v>
      </c>
      <c r="B256" s="615" t="s">
        <v>195</v>
      </c>
      <c r="C256" s="613">
        <v>2020</v>
      </c>
      <c r="D256" s="995">
        <v>0</v>
      </c>
      <c r="E256" s="63">
        <f>D256*'16-PlantAdditions'!$E$103</f>
        <v>0</v>
      </c>
      <c r="F256" s="63">
        <f t="shared" si="69"/>
        <v>0</v>
      </c>
      <c r="G256" s="995">
        <v>0</v>
      </c>
      <c r="H256" s="995">
        <v>0</v>
      </c>
      <c r="I256" s="63">
        <f>(G256-H256)*'16-PlantAdditions'!$E$103</f>
        <v>0</v>
      </c>
      <c r="J256" s="63">
        <f t="shared" si="70"/>
        <v>0</v>
      </c>
      <c r="K256" s="63">
        <f t="shared" si="71"/>
        <v>0</v>
      </c>
    </row>
    <row r="257" spans="1:11" s="650" customFormat="1" ht="13">
      <c r="A257" s="110">
        <f t="shared" si="68"/>
        <v>189</v>
      </c>
      <c r="B257" s="612" t="s">
        <v>183</v>
      </c>
      <c r="C257" s="613">
        <v>2020</v>
      </c>
      <c r="D257" s="995">
        <v>0</v>
      </c>
      <c r="E257" s="63">
        <f>D257*'16-PlantAdditions'!$E$103</f>
        <v>0</v>
      </c>
      <c r="F257" s="63">
        <f t="shared" si="69"/>
        <v>0</v>
      </c>
      <c r="G257" s="995">
        <v>0</v>
      </c>
      <c r="H257" s="995">
        <v>0</v>
      </c>
      <c r="I257" s="63">
        <f>(G257-H257)*'16-PlantAdditions'!$E$103</f>
        <v>0</v>
      </c>
      <c r="J257" s="63">
        <f t="shared" si="70"/>
        <v>0</v>
      </c>
      <c r="K257" s="63">
        <f t="shared" si="71"/>
        <v>0</v>
      </c>
    </row>
    <row r="258" spans="1:11" s="650" customFormat="1" ht="13">
      <c r="A258" s="110">
        <f t="shared" si="68"/>
        <v>190</v>
      </c>
      <c r="B258" s="615" t="s">
        <v>184</v>
      </c>
      <c r="C258" s="613">
        <v>2020</v>
      </c>
      <c r="D258" s="995">
        <v>0</v>
      </c>
      <c r="E258" s="63">
        <f>D258*'16-PlantAdditions'!$E$103</f>
        <v>0</v>
      </c>
      <c r="F258" s="63">
        <f t="shared" si="69"/>
        <v>0</v>
      </c>
      <c r="G258" s="995">
        <v>0</v>
      </c>
      <c r="H258" s="995">
        <v>0</v>
      </c>
      <c r="I258" s="63">
        <f>(G258-H258)*'16-PlantAdditions'!$E$103</f>
        <v>0</v>
      </c>
      <c r="J258" s="63">
        <f t="shared" si="70"/>
        <v>0</v>
      </c>
      <c r="K258" s="63">
        <f t="shared" si="71"/>
        <v>0</v>
      </c>
    </row>
    <row r="259" spans="1:11" s="650" customFormat="1" ht="13">
      <c r="A259" s="110">
        <f t="shared" si="68"/>
        <v>191</v>
      </c>
      <c r="B259" s="615" t="s">
        <v>1460</v>
      </c>
      <c r="C259" s="613">
        <v>2020</v>
      </c>
      <c r="D259" s="995">
        <v>0</v>
      </c>
      <c r="E259" s="63">
        <f>D259*'16-PlantAdditions'!$E$103</f>
        <v>0</v>
      </c>
      <c r="F259" s="63">
        <f t="shared" si="69"/>
        <v>0</v>
      </c>
      <c r="G259" s="995">
        <v>0</v>
      </c>
      <c r="H259" s="995">
        <v>0</v>
      </c>
      <c r="I259" s="63">
        <f>(G259-H259)*'16-PlantAdditions'!$E$103</f>
        <v>0</v>
      </c>
      <c r="J259" s="63">
        <f>J258+F259-G259-I259</f>
        <v>0</v>
      </c>
      <c r="K259" s="63">
        <f t="shared" si="71"/>
        <v>0</v>
      </c>
    </row>
    <row r="260" spans="1:11" s="650" customFormat="1" ht="13">
      <c r="A260" s="110">
        <f t="shared" si="68"/>
        <v>192</v>
      </c>
      <c r="B260" s="612" t="s">
        <v>186</v>
      </c>
      <c r="C260" s="613">
        <v>2020</v>
      </c>
      <c r="D260" s="995">
        <v>0</v>
      </c>
      <c r="E260" s="63">
        <f>D260*'16-PlantAdditions'!$E$103</f>
        <v>0</v>
      </c>
      <c r="F260" s="63">
        <f t="shared" si="69"/>
        <v>0</v>
      </c>
      <c r="G260" s="995">
        <v>0</v>
      </c>
      <c r="H260" s="995">
        <v>0</v>
      </c>
      <c r="I260" s="63">
        <f>(G260-H260)*'16-PlantAdditions'!$E$103</f>
        <v>0</v>
      </c>
      <c r="J260" s="63">
        <f t="shared" si="70"/>
        <v>0</v>
      </c>
      <c r="K260" s="63">
        <f t="shared" si="71"/>
        <v>0</v>
      </c>
    </row>
    <row r="261" spans="1:11" s="650" customFormat="1" ht="13">
      <c r="A261" s="110">
        <f t="shared" si="68"/>
        <v>193</v>
      </c>
      <c r="B261" s="615" t="s">
        <v>187</v>
      </c>
      <c r="C261" s="613">
        <v>2020</v>
      </c>
      <c r="D261" s="995">
        <v>0</v>
      </c>
      <c r="E261" s="63">
        <f>D261*'16-PlantAdditions'!$E$103</f>
        <v>0</v>
      </c>
      <c r="F261" s="63">
        <f t="shared" si="69"/>
        <v>0</v>
      </c>
      <c r="G261" s="995">
        <v>0</v>
      </c>
      <c r="H261" s="995">
        <v>0</v>
      </c>
      <c r="I261" s="63">
        <f>(G261-H261)*'16-PlantAdditions'!$E$103</f>
        <v>0</v>
      </c>
      <c r="J261" s="63">
        <f t="shared" si="70"/>
        <v>0</v>
      </c>
      <c r="K261" s="63">
        <f t="shared" si="71"/>
        <v>0</v>
      </c>
    </row>
    <row r="262" spans="1:11" s="650" customFormat="1" ht="13">
      <c r="A262" s="110">
        <f t="shared" si="68"/>
        <v>194</v>
      </c>
      <c r="B262" s="615" t="s">
        <v>188</v>
      </c>
      <c r="C262" s="613">
        <v>2020</v>
      </c>
      <c r="D262" s="995">
        <v>0</v>
      </c>
      <c r="E262" s="63">
        <f>D262*'16-PlantAdditions'!$E$103</f>
        <v>0</v>
      </c>
      <c r="F262" s="63">
        <f t="shared" si="69"/>
        <v>0</v>
      </c>
      <c r="G262" s="995">
        <v>0</v>
      </c>
      <c r="H262" s="995">
        <v>0</v>
      </c>
      <c r="I262" s="63">
        <f>(G262-H262)*'16-PlantAdditions'!$E$103</f>
        <v>0</v>
      </c>
      <c r="J262" s="63">
        <f t="shared" si="70"/>
        <v>0</v>
      </c>
      <c r="K262" s="63">
        <f t="shared" si="71"/>
        <v>0</v>
      </c>
    </row>
    <row r="263" spans="1:11" s="650" customFormat="1" ht="13">
      <c r="A263" s="110">
        <f t="shared" si="68"/>
        <v>195</v>
      </c>
      <c r="B263" s="612" t="s">
        <v>191</v>
      </c>
      <c r="C263" s="613">
        <v>2020</v>
      </c>
      <c r="D263" s="995">
        <v>0</v>
      </c>
      <c r="E263" s="63">
        <f>D263*'16-PlantAdditions'!$E$103</f>
        <v>0</v>
      </c>
      <c r="F263" s="63">
        <f t="shared" si="69"/>
        <v>0</v>
      </c>
      <c r="G263" s="995">
        <v>0</v>
      </c>
      <c r="H263" s="995">
        <v>0</v>
      </c>
      <c r="I263" s="63">
        <f>(G263-H263)*'16-PlantAdditions'!$E$103</f>
        <v>0</v>
      </c>
      <c r="J263" s="63">
        <f t="shared" si="70"/>
        <v>0</v>
      </c>
      <c r="K263" s="63">
        <f t="shared" si="71"/>
        <v>0</v>
      </c>
    </row>
    <row r="264" spans="1:11" s="650" customFormat="1" ht="13">
      <c r="A264" s="110">
        <f t="shared" si="68"/>
        <v>196</v>
      </c>
      <c r="B264" s="612" t="s">
        <v>190</v>
      </c>
      <c r="C264" s="613">
        <v>2020</v>
      </c>
      <c r="D264" s="995">
        <v>0</v>
      </c>
      <c r="E264" s="63">
        <f>D264*'16-PlantAdditions'!$E$103</f>
        <v>0</v>
      </c>
      <c r="F264" s="63">
        <f t="shared" si="69"/>
        <v>0</v>
      </c>
      <c r="G264" s="995">
        <v>0</v>
      </c>
      <c r="H264" s="995">
        <v>0</v>
      </c>
      <c r="I264" s="63">
        <f>(G264-H264)*'16-PlantAdditions'!$E$103</f>
        <v>0</v>
      </c>
      <c r="J264" s="63">
        <f t="shared" si="70"/>
        <v>0</v>
      </c>
      <c r="K264" s="63">
        <f t="shared" si="71"/>
        <v>0</v>
      </c>
    </row>
    <row r="265" spans="1:11" s="650" customFormat="1" ht="13">
      <c r="A265" s="110">
        <f t="shared" si="68"/>
        <v>197</v>
      </c>
      <c r="B265" s="612" t="s">
        <v>180</v>
      </c>
      <c r="C265" s="613">
        <v>2020</v>
      </c>
      <c r="D265" s="995">
        <v>0</v>
      </c>
      <c r="E265" s="63">
        <f>D265*'16-PlantAdditions'!$E$103</f>
        <v>0</v>
      </c>
      <c r="F265" s="63">
        <f t="shared" si="69"/>
        <v>0</v>
      </c>
      <c r="G265" s="995">
        <v>0</v>
      </c>
      <c r="H265" s="995">
        <v>0</v>
      </c>
      <c r="I265" s="63">
        <f>(G265-H265)*'16-PlantAdditions'!$E$103</f>
        <v>0</v>
      </c>
      <c r="J265" s="63">
        <f t="shared" si="70"/>
        <v>0</v>
      </c>
      <c r="K265" s="63">
        <f t="shared" si="71"/>
        <v>0</v>
      </c>
    </row>
    <row r="266" spans="1:11" s="650" customFormat="1" ht="13">
      <c r="A266" s="110">
        <f t="shared" si="68"/>
        <v>198</v>
      </c>
      <c r="B266" s="612" t="s">
        <v>181</v>
      </c>
      <c r="C266" s="613">
        <v>2021</v>
      </c>
      <c r="D266" s="995">
        <v>0</v>
      </c>
      <c r="E266" s="63">
        <f>D266*'16-PlantAdditions'!$E$103</f>
        <v>0</v>
      </c>
      <c r="F266" s="63">
        <f t="shared" si="69"/>
        <v>0</v>
      </c>
      <c r="G266" s="995">
        <v>0</v>
      </c>
      <c r="H266" s="995">
        <v>0</v>
      </c>
      <c r="I266" s="63">
        <f>(G266-H266)*'16-PlantAdditions'!$E$103</f>
        <v>0</v>
      </c>
      <c r="J266" s="63">
        <f t="shared" si="70"/>
        <v>0</v>
      </c>
      <c r="K266" s="63">
        <f t="shared" si="71"/>
        <v>0</v>
      </c>
    </row>
    <row r="267" spans="1:11" s="650" customFormat="1" ht="13">
      <c r="A267" s="110">
        <f t="shared" si="68"/>
        <v>199</v>
      </c>
      <c r="B267" s="615" t="s">
        <v>182</v>
      </c>
      <c r="C267" s="613">
        <v>2021</v>
      </c>
      <c r="D267" s="995">
        <v>0</v>
      </c>
      <c r="E267" s="63">
        <f>D267*'16-PlantAdditions'!$E$103</f>
        <v>0</v>
      </c>
      <c r="F267" s="63">
        <f t="shared" si="69"/>
        <v>0</v>
      </c>
      <c r="G267" s="995">
        <v>0</v>
      </c>
      <c r="H267" s="995">
        <v>0</v>
      </c>
      <c r="I267" s="63">
        <f>(G267-H267)*'16-PlantAdditions'!$E$103</f>
        <v>0</v>
      </c>
      <c r="J267" s="63">
        <f t="shared" si="70"/>
        <v>0</v>
      </c>
      <c r="K267" s="63">
        <f t="shared" si="71"/>
        <v>0</v>
      </c>
    </row>
    <row r="268" spans="1:11" s="650" customFormat="1" ht="13">
      <c r="A268" s="110">
        <f t="shared" si="68"/>
        <v>200</v>
      </c>
      <c r="B268" s="615" t="s">
        <v>195</v>
      </c>
      <c r="C268" s="613">
        <v>2021</v>
      </c>
      <c r="D268" s="995">
        <v>0</v>
      </c>
      <c r="E268" s="63">
        <f>D268*'16-PlantAdditions'!$E$103</f>
        <v>0</v>
      </c>
      <c r="F268" s="63">
        <f t="shared" si="69"/>
        <v>0</v>
      </c>
      <c r="G268" s="995">
        <v>0</v>
      </c>
      <c r="H268" s="995">
        <v>0</v>
      </c>
      <c r="I268" s="63">
        <f>(G268-H268)*'16-PlantAdditions'!$E$103</f>
        <v>0</v>
      </c>
      <c r="J268" s="63">
        <f t="shared" si="70"/>
        <v>0</v>
      </c>
      <c r="K268" s="63">
        <f t="shared" si="71"/>
        <v>0</v>
      </c>
    </row>
    <row r="269" spans="1:11" s="650" customFormat="1" ht="13">
      <c r="A269" s="110">
        <f t="shared" si="68"/>
        <v>201</v>
      </c>
      <c r="B269" s="612" t="s">
        <v>183</v>
      </c>
      <c r="C269" s="613">
        <v>2021</v>
      </c>
      <c r="D269" s="995">
        <v>0</v>
      </c>
      <c r="E269" s="63">
        <f>D269*'16-PlantAdditions'!$E$103</f>
        <v>0</v>
      </c>
      <c r="F269" s="63">
        <f t="shared" si="69"/>
        <v>0</v>
      </c>
      <c r="G269" s="995">
        <v>0</v>
      </c>
      <c r="H269" s="995">
        <v>0</v>
      </c>
      <c r="I269" s="63">
        <f>(G269-H269)*'16-PlantAdditions'!$E$103</f>
        <v>0</v>
      </c>
      <c r="J269" s="63">
        <f t="shared" si="70"/>
        <v>0</v>
      </c>
      <c r="K269" s="63">
        <f t="shared" si="71"/>
        <v>0</v>
      </c>
    </row>
    <row r="270" spans="1:11" s="650" customFormat="1" ht="13">
      <c r="A270" s="110">
        <f t="shared" si="68"/>
        <v>202</v>
      </c>
      <c r="B270" s="615" t="s">
        <v>184</v>
      </c>
      <c r="C270" s="613">
        <v>2021</v>
      </c>
      <c r="D270" s="995">
        <v>0</v>
      </c>
      <c r="E270" s="63">
        <f>D270*'16-PlantAdditions'!$E$103</f>
        <v>0</v>
      </c>
      <c r="F270" s="63">
        <f t="shared" si="69"/>
        <v>0</v>
      </c>
      <c r="G270" s="995">
        <v>0</v>
      </c>
      <c r="H270" s="995">
        <v>0</v>
      </c>
      <c r="I270" s="63">
        <f>(G270-H270)*'16-PlantAdditions'!$E$103</f>
        <v>0</v>
      </c>
      <c r="J270" s="63">
        <f t="shared" si="70"/>
        <v>0</v>
      </c>
      <c r="K270" s="63">
        <f t="shared" si="71"/>
        <v>0</v>
      </c>
    </row>
    <row r="271" spans="1:11" s="650" customFormat="1" ht="13">
      <c r="A271" s="110">
        <f t="shared" si="68"/>
        <v>203</v>
      </c>
      <c r="B271" s="615" t="s">
        <v>1460</v>
      </c>
      <c r="C271" s="613">
        <v>2021</v>
      </c>
      <c r="D271" s="995">
        <v>0</v>
      </c>
      <c r="E271" s="63">
        <f>D271*'16-PlantAdditions'!$E$103</f>
        <v>0</v>
      </c>
      <c r="F271" s="63">
        <f t="shared" si="69"/>
        <v>0</v>
      </c>
      <c r="G271" s="995">
        <v>0</v>
      </c>
      <c r="H271" s="995">
        <v>0</v>
      </c>
      <c r="I271" s="63">
        <f>(G271-H271)*'16-PlantAdditions'!$E$103</f>
        <v>0</v>
      </c>
      <c r="J271" s="63">
        <f t="shared" si="70"/>
        <v>0</v>
      </c>
      <c r="K271" s="63">
        <f t="shared" si="71"/>
        <v>0</v>
      </c>
    </row>
    <row r="272" spans="1:11" s="650" customFormat="1" ht="13">
      <c r="A272" s="110">
        <f t="shared" si="68"/>
        <v>204</v>
      </c>
      <c r="B272" s="612" t="s">
        <v>186</v>
      </c>
      <c r="C272" s="613">
        <v>2021</v>
      </c>
      <c r="D272" s="995">
        <v>0</v>
      </c>
      <c r="E272" s="63">
        <f>D272*'16-PlantAdditions'!$E$103</f>
        <v>0</v>
      </c>
      <c r="F272" s="63">
        <f t="shared" si="69"/>
        <v>0</v>
      </c>
      <c r="G272" s="995">
        <v>0</v>
      </c>
      <c r="H272" s="995">
        <v>0</v>
      </c>
      <c r="I272" s="63">
        <f>(G272-H272)*'16-PlantAdditions'!$E$103</f>
        <v>0</v>
      </c>
      <c r="J272" s="63">
        <f t="shared" si="70"/>
        <v>0</v>
      </c>
      <c r="K272" s="63">
        <f t="shared" si="71"/>
        <v>0</v>
      </c>
    </row>
    <row r="273" spans="1:11" s="650" customFormat="1" ht="13">
      <c r="A273" s="110">
        <f t="shared" si="68"/>
        <v>205</v>
      </c>
      <c r="B273" s="615" t="s">
        <v>187</v>
      </c>
      <c r="C273" s="613">
        <v>2021</v>
      </c>
      <c r="D273" s="995">
        <v>0</v>
      </c>
      <c r="E273" s="63">
        <f>D273*'16-PlantAdditions'!$E$103</f>
        <v>0</v>
      </c>
      <c r="F273" s="63">
        <f t="shared" si="69"/>
        <v>0</v>
      </c>
      <c r="G273" s="995">
        <v>0</v>
      </c>
      <c r="H273" s="995">
        <v>0</v>
      </c>
      <c r="I273" s="63">
        <f>(G273-H273)*'16-PlantAdditions'!$E$103</f>
        <v>0</v>
      </c>
      <c r="J273" s="63">
        <f t="shared" si="70"/>
        <v>0</v>
      </c>
      <c r="K273" s="63">
        <f t="shared" si="71"/>
        <v>0</v>
      </c>
    </row>
    <row r="274" spans="1:11" s="650" customFormat="1" ht="13">
      <c r="A274" s="110">
        <f t="shared" si="68"/>
        <v>206</v>
      </c>
      <c r="B274" s="615" t="s">
        <v>188</v>
      </c>
      <c r="C274" s="613">
        <v>2021</v>
      </c>
      <c r="D274" s="995">
        <v>0</v>
      </c>
      <c r="E274" s="63">
        <f>D274*'16-PlantAdditions'!$E$103</f>
        <v>0</v>
      </c>
      <c r="F274" s="63">
        <f t="shared" si="69"/>
        <v>0</v>
      </c>
      <c r="G274" s="995">
        <v>0</v>
      </c>
      <c r="H274" s="995">
        <v>0</v>
      </c>
      <c r="I274" s="63">
        <f>(G274-H274)*'16-PlantAdditions'!$E$103</f>
        <v>0</v>
      </c>
      <c r="J274" s="63">
        <f t="shared" si="70"/>
        <v>0</v>
      </c>
      <c r="K274" s="63">
        <f t="shared" si="71"/>
        <v>0</v>
      </c>
    </row>
    <row r="275" spans="1:11" s="650" customFormat="1" ht="13">
      <c r="A275" s="110">
        <f t="shared" si="68"/>
        <v>207</v>
      </c>
      <c r="B275" s="615" t="s">
        <v>191</v>
      </c>
      <c r="C275" s="613">
        <v>2021</v>
      </c>
      <c r="D275" s="995">
        <v>0</v>
      </c>
      <c r="E275" s="63">
        <f>D275*'16-PlantAdditions'!$E$103</f>
        <v>0</v>
      </c>
      <c r="F275" s="63">
        <f t="shared" ref="F275:F277" si="72">E275+D275</f>
        <v>0</v>
      </c>
      <c r="G275" s="995">
        <v>0</v>
      </c>
      <c r="H275" s="995">
        <v>0</v>
      </c>
      <c r="I275" s="63">
        <f>(G275-H275)*'16-PlantAdditions'!$E$103</f>
        <v>0</v>
      </c>
      <c r="J275" s="63">
        <f t="shared" ref="J275:J277" si="73">J274+F275-G275-I275</f>
        <v>0</v>
      </c>
      <c r="K275" s="63">
        <f t="shared" si="71"/>
        <v>0</v>
      </c>
    </row>
    <row r="276" spans="1:11" s="650" customFormat="1" ht="13">
      <c r="A276" s="110">
        <f t="shared" si="68"/>
        <v>208</v>
      </c>
      <c r="B276" s="615" t="s">
        <v>190</v>
      </c>
      <c r="C276" s="613">
        <v>2021</v>
      </c>
      <c r="D276" s="995">
        <v>0</v>
      </c>
      <c r="E276" s="63">
        <f>D276*'16-PlantAdditions'!$E$103</f>
        <v>0</v>
      </c>
      <c r="F276" s="63">
        <f t="shared" si="72"/>
        <v>0</v>
      </c>
      <c r="G276" s="995">
        <v>0</v>
      </c>
      <c r="H276" s="995">
        <v>0</v>
      </c>
      <c r="I276" s="63">
        <f>(G276-H276)*'16-PlantAdditions'!$E$103</f>
        <v>0</v>
      </c>
      <c r="J276" s="63">
        <f t="shared" si="73"/>
        <v>0</v>
      </c>
      <c r="K276" s="63">
        <f t="shared" si="71"/>
        <v>0</v>
      </c>
    </row>
    <row r="277" spans="1:11" s="650" customFormat="1" ht="13">
      <c r="A277" s="110">
        <f t="shared" si="68"/>
        <v>209</v>
      </c>
      <c r="B277" s="615" t="s">
        <v>180</v>
      </c>
      <c r="C277" s="613">
        <v>2021</v>
      </c>
      <c r="D277" s="995">
        <v>0</v>
      </c>
      <c r="E277" s="63">
        <f>D277*'16-PlantAdditions'!$E$103</f>
        <v>0</v>
      </c>
      <c r="F277" s="63">
        <f t="shared" si="72"/>
        <v>0</v>
      </c>
      <c r="G277" s="995">
        <v>0</v>
      </c>
      <c r="H277" s="995">
        <v>0</v>
      </c>
      <c r="I277" s="63">
        <f>(G277-H277)*'16-PlantAdditions'!$E$103</f>
        <v>0</v>
      </c>
      <c r="J277" s="63">
        <f t="shared" si="73"/>
        <v>0</v>
      </c>
      <c r="K277" s="111">
        <f t="shared" si="71"/>
        <v>0</v>
      </c>
    </row>
    <row r="278" spans="1:11" s="650" customFormat="1" ht="13">
      <c r="A278" s="110">
        <f t="shared" si="68"/>
        <v>210</v>
      </c>
      <c r="B278"/>
      <c r="C278" s="649" t="s">
        <v>1605</v>
      </c>
      <c r="D278"/>
      <c r="E278"/>
      <c r="F278"/>
      <c r="G278"/>
      <c r="H278"/>
      <c r="I278"/>
      <c r="J278"/>
      <c r="K278" s="73">
        <f>AVERAGE(K265:K277)</f>
        <v>0</v>
      </c>
    </row>
    <row r="279" spans="1:11" s="650" customFormat="1" ht="12.75" customHeight="1">
      <c r="A279" s="110"/>
      <c r="B279"/>
      <c r="C279" s="649"/>
      <c r="D279"/>
      <c r="E279"/>
      <c r="F279"/>
      <c r="G279"/>
      <c r="H279"/>
      <c r="I279"/>
      <c r="J279"/>
      <c r="K279" s="73"/>
    </row>
    <row r="280" spans="1:11" s="650" customFormat="1" ht="13">
      <c r="B280" s="651" t="s">
        <v>1938</v>
      </c>
      <c r="D280" s="1468" t="s">
        <v>2798</v>
      </c>
      <c r="E280" s="1468"/>
    </row>
    <row r="281" spans="1:11" s="650" customFormat="1" ht="13">
      <c r="B281" s="651"/>
      <c r="D281" s="645" t="s">
        <v>358</v>
      </c>
      <c r="E281" s="645" t="s">
        <v>342</v>
      </c>
      <c r="F281" s="645" t="s">
        <v>343</v>
      </c>
      <c r="G281" s="645" t="s">
        <v>344</v>
      </c>
      <c r="H281" s="645" t="s">
        <v>345</v>
      </c>
      <c r="I281" s="645" t="s">
        <v>346</v>
      </c>
      <c r="J281" s="645" t="s">
        <v>347</v>
      </c>
      <c r="K281" s="645" t="s">
        <v>534</v>
      </c>
    </row>
    <row r="282" spans="1:11" s="650" customFormat="1" ht="25.5">
      <c r="B282" s="651"/>
      <c r="D282" s="652"/>
      <c r="E282" s="653" t="s">
        <v>2064</v>
      </c>
      <c r="F282" s="654" t="s">
        <v>1929</v>
      </c>
      <c r="G282" s="529"/>
      <c r="H282" s="652"/>
      <c r="I282" s="653" t="s">
        <v>2065</v>
      </c>
      <c r="J282" s="653" t="s">
        <v>1930</v>
      </c>
      <c r="K282" s="653" t="s">
        <v>1931</v>
      </c>
    </row>
    <row r="283" spans="1:11" s="650" customFormat="1" ht="13">
      <c r="D283" s="652"/>
      <c r="E283" s="653"/>
      <c r="F283" s="654"/>
      <c r="G283" s="647" t="str">
        <f>G51</f>
        <v>Unloaded</v>
      </c>
      <c r="H283" s="652"/>
      <c r="I283" s="653"/>
      <c r="J283" s="653"/>
      <c r="K283" s="653"/>
    </row>
    <row r="284" spans="1:11" s="650" customFormat="1" ht="13">
      <c r="A284" s="647"/>
      <c r="B284" s="647"/>
      <c r="C284" s="647"/>
      <c r="D284" s="647" t="str">
        <f>D$52</f>
        <v>Forecast</v>
      </c>
      <c r="E284" s="647" t="str">
        <f t="shared" ref="E284:J284" si="74">E$52</f>
        <v>Corporate</v>
      </c>
      <c r="F284" s="647" t="str">
        <f t="shared" si="74"/>
        <v xml:space="preserve">Total </v>
      </c>
      <c r="G284" s="647" t="str">
        <f>G52</f>
        <v>Total</v>
      </c>
      <c r="H284" s="647" t="str">
        <f t="shared" si="74"/>
        <v>Prior Period</v>
      </c>
      <c r="I284" s="647" t="str">
        <f t="shared" si="74"/>
        <v>Over Heads</v>
      </c>
      <c r="J284" s="647" t="str">
        <f t="shared" si="74"/>
        <v>Forecast</v>
      </c>
      <c r="K284" s="553" t="str">
        <f>K$52</f>
        <v>Forecast Period</v>
      </c>
    </row>
    <row r="285" spans="1:11" s="650" customFormat="1" ht="13">
      <c r="A285" s="840" t="s">
        <v>329</v>
      </c>
      <c r="B285" s="611" t="s">
        <v>192</v>
      </c>
      <c r="C285" s="611" t="s">
        <v>193</v>
      </c>
      <c r="D285" s="645" t="str">
        <f>D$53</f>
        <v>Expenditures</v>
      </c>
      <c r="E285" s="645" t="str">
        <f t="shared" ref="E285:J285" si="75">E$53</f>
        <v>Overheads</v>
      </c>
      <c r="F285" s="645" t="str">
        <f t="shared" si="75"/>
        <v>CWIP Exp</v>
      </c>
      <c r="G285" s="645" t="str">
        <f>G53</f>
        <v>Plant Adds</v>
      </c>
      <c r="H285" s="645" t="str">
        <f t="shared" si="75"/>
        <v>CWIP Closed</v>
      </c>
      <c r="I285" s="645" t="str">
        <f t="shared" si="75"/>
        <v>Closed to PIS</v>
      </c>
      <c r="J285" s="645" t="str">
        <f t="shared" si="75"/>
        <v>Period CWIP</v>
      </c>
      <c r="K285" s="645" t="str">
        <f>K$53</f>
        <v>Incremental CWIP</v>
      </c>
    </row>
    <row r="286" spans="1:11" s="650" customFormat="1" ht="13">
      <c r="A286" s="110">
        <f>A278+1</f>
        <v>211</v>
      </c>
      <c r="B286" s="612" t="s">
        <v>180</v>
      </c>
      <c r="C286" s="613">
        <v>2019</v>
      </c>
      <c r="D286" s="654" t="s">
        <v>76</v>
      </c>
      <c r="E286" s="654" t="s">
        <v>76</v>
      </c>
      <c r="F286" s="654" t="s">
        <v>76</v>
      </c>
      <c r="G286" s="654" t="s">
        <v>76</v>
      </c>
      <c r="H286" s="654" t="s">
        <v>76</v>
      </c>
      <c r="I286" s="654" t="s">
        <v>76</v>
      </c>
      <c r="J286" s="63">
        <f>E45</f>
        <v>301246.76</v>
      </c>
      <c r="K286" s="654" t="s">
        <v>76</v>
      </c>
    </row>
    <row r="287" spans="1:11" s="650" customFormat="1" ht="13">
      <c r="A287" s="110">
        <f>A286+1</f>
        <v>212</v>
      </c>
      <c r="B287" s="612" t="s">
        <v>181</v>
      </c>
      <c r="C287" s="613">
        <v>2020</v>
      </c>
      <c r="D287" s="995">
        <v>11020</v>
      </c>
      <c r="E287" s="63">
        <f>D287*'16-PlantAdditions'!$E$103</f>
        <v>826.5</v>
      </c>
      <c r="F287" s="63">
        <f>E287+D287</f>
        <v>11846.5</v>
      </c>
      <c r="G287" s="995">
        <v>0</v>
      </c>
      <c r="H287" s="995">
        <v>0</v>
      </c>
      <c r="I287" s="63">
        <f>(G287-H287)*'16-PlantAdditions'!$E$103</f>
        <v>0</v>
      </c>
      <c r="J287" s="63">
        <f>J286+F287-G287-I287</f>
        <v>313093.26</v>
      </c>
      <c r="K287" s="63">
        <f>J287-$J$286</f>
        <v>11846.5</v>
      </c>
    </row>
    <row r="288" spans="1:11" s="650" customFormat="1" ht="13">
      <c r="A288" s="110">
        <f t="shared" ref="A288:A311" si="76">A287+1</f>
        <v>213</v>
      </c>
      <c r="B288" s="615" t="s">
        <v>182</v>
      </c>
      <c r="C288" s="613">
        <v>2020</v>
      </c>
      <c r="D288" s="995">
        <v>8146.0000000000009</v>
      </c>
      <c r="E288" s="63">
        <f>D288*'16-PlantAdditions'!$E$103</f>
        <v>610.95000000000005</v>
      </c>
      <c r="F288" s="63">
        <f t="shared" ref="F288:F307" si="77">E288+D288</f>
        <v>8756.9500000000007</v>
      </c>
      <c r="G288" s="995">
        <v>0</v>
      </c>
      <c r="H288" s="995">
        <v>0</v>
      </c>
      <c r="I288" s="63">
        <f>(G288-H288)*'16-PlantAdditions'!$E$103</f>
        <v>0</v>
      </c>
      <c r="J288" s="63">
        <f t="shared" ref="J288:J307" si="78">J287+F288-G288-I288</f>
        <v>321850.21000000002</v>
      </c>
      <c r="K288" s="63">
        <f t="shared" ref="K288:K310" si="79">J288-$J$286</f>
        <v>20603.450000000012</v>
      </c>
    </row>
    <row r="289" spans="1:13" s="650" customFormat="1" ht="13">
      <c r="A289" s="110">
        <f t="shared" si="76"/>
        <v>214</v>
      </c>
      <c r="B289" s="615" t="s">
        <v>195</v>
      </c>
      <c r="C289" s="613">
        <v>2020</v>
      </c>
      <c r="D289" s="995">
        <v>18479</v>
      </c>
      <c r="E289" s="63">
        <f>D289*'16-PlantAdditions'!$E$103</f>
        <v>1385.925</v>
      </c>
      <c r="F289" s="63">
        <f t="shared" si="77"/>
        <v>19864.924999999999</v>
      </c>
      <c r="G289" s="995">
        <v>0</v>
      </c>
      <c r="H289" s="995">
        <v>0</v>
      </c>
      <c r="I289" s="63">
        <f>(G289-H289)*'16-PlantAdditions'!$E$103</f>
        <v>0</v>
      </c>
      <c r="J289" s="63">
        <f t="shared" si="78"/>
        <v>341715.13500000001</v>
      </c>
      <c r="K289" s="63">
        <f t="shared" si="79"/>
        <v>40468.375</v>
      </c>
    </row>
    <row r="290" spans="1:13" s="650" customFormat="1" ht="13">
      <c r="A290" s="110">
        <f t="shared" si="76"/>
        <v>215</v>
      </c>
      <c r="B290" s="612" t="s">
        <v>183</v>
      </c>
      <c r="C290" s="613">
        <v>2020</v>
      </c>
      <c r="D290" s="995">
        <v>40000</v>
      </c>
      <c r="E290" s="63">
        <f>D290*'16-PlantAdditions'!$E$103</f>
        <v>3000</v>
      </c>
      <c r="F290" s="63">
        <f t="shared" si="77"/>
        <v>43000</v>
      </c>
      <c r="G290" s="995">
        <v>0</v>
      </c>
      <c r="H290" s="995">
        <v>0</v>
      </c>
      <c r="I290" s="63">
        <f>(G290-H290)*'16-PlantAdditions'!$E$103</f>
        <v>0</v>
      </c>
      <c r="J290" s="63">
        <f t="shared" si="78"/>
        <v>384715.13500000001</v>
      </c>
      <c r="K290" s="63">
        <f t="shared" si="79"/>
        <v>83468.375</v>
      </c>
    </row>
    <row r="291" spans="1:13" s="650" customFormat="1" ht="13">
      <c r="A291" s="110">
        <f t="shared" si="76"/>
        <v>216</v>
      </c>
      <c r="B291" s="615" t="s">
        <v>184</v>
      </c>
      <c r="C291" s="613">
        <v>2020</v>
      </c>
      <c r="D291" s="995">
        <v>326231</v>
      </c>
      <c r="E291" s="63">
        <f>D291*'16-PlantAdditions'!$E$103</f>
        <v>24467.325000000001</v>
      </c>
      <c r="F291" s="63">
        <f t="shared" si="77"/>
        <v>350698.32500000001</v>
      </c>
      <c r="G291" s="995">
        <v>0</v>
      </c>
      <c r="H291" s="995">
        <v>0</v>
      </c>
      <c r="I291" s="63">
        <f>(G291-H291)*'16-PlantAdditions'!$E$103</f>
        <v>0</v>
      </c>
      <c r="J291" s="63">
        <f t="shared" si="78"/>
        <v>735413.46</v>
      </c>
      <c r="K291" s="63">
        <f t="shared" si="79"/>
        <v>434166.69999999995</v>
      </c>
      <c r="L291" s="647"/>
      <c r="M291" s="647"/>
    </row>
    <row r="292" spans="1:13" s="650" customFormat="1" ht="13">
      <c r="A292" s="110">
        <f t="shared" si="76"/>
        <v>217</v>
      </c>
      <c r="B292" s="615" t="s">
        <v>1460</v>
      </c>
      <c r="C292" s="613">
        <v>2020</v>
      </c>
      <c r="D292" s="995">
        <v>350000</v>
      </c>
      <c r="E292" s="63">
        <f>D292*'16-PlantAdditions'!$E$103</f>
        <v>26250</v>
      </c>
      <c r="F292" s="63">
        <f t="shared" si="77"/>
        <v>376250</v>
      </c>
      <c r="G292" s="995">
        <v>0</v>
      </c>
      <c r="H292" s="995">
        <v>0</v>
      </c>
      <c r="I292" s="63">
        <f>(G292-H292)*'16-PlantAdditions'!$E$103</f>
        <v>0</v>
      </c>
      <c r="J292" s="63">
        <f t="shared" si="78"/>
        <v>1111663.46</v>
      </c>
      <c r="K292" s="63">
        <f t="shared" si="79"/>
        <v>810416.7</v>
      </c>
      <c r="L292" s="645"/>
      <c r="M292" s="645"/>
    </row>
    <row r="293" spans="1:13" s="650" customFormat="1" ht="13">
      <c r="A293" s="110">
        <f t="shared" si="76"/>
        <v>218</v>
      </c>
      <c r="B293" s="612" t="s">
        <v>186</v>
      </c>
      <c r="C293" s="613">
        <v>2020</v>
      </c>
      <c r="D293" s="995">
        <v>336231</v>
      </c>
      <c r="E293" s="63">
        <f>D293*'16-PlantAdditions'!$E$103</f>
        <v>25217.325000000001</v>
      </c>
      <c r="F293" s="63">
        <f t="shared" si="77"/>
        <v>361448.32500000001</v>
      </c>
      <c r="G293" s="995">
        <v>0</v>
      </c>
      <c r="H293" s="995">
        <v>0</v>
      </c>
      <c r="I293" s="63">
        <f>(G293-H293)*'16-PlantAdditions'!$E$103</f>
        <v>0</v>
      </c>
      <c r="J293" s="63">
        <f t="shared" si="78"/>
        <v>1473111.7849999999</v>
      </c>
      <c r="K293" s="63">
        <f t="shared" si="79"/>
        <v>1171865.0249999999</v>
      </c>
    </row>
    <row r="294" spans="1:13" s="650" customFormat="1" ht="13">
      <c r="A294" s="110">
        <f t="shared" si="76"/>
        <v>219</v>
      </c>
      <c r="B294" s="615" t="s">
        <v>187</v>
      </c>
      <c r="C294" s="613">
        <v>2020</v>
      </c>
      <c r="D294" s="995">
        <v>435864</v>
      </c>
      <c r="E294" s="63">
        <f>D294*'16-PlantAdditions'!$E$103</f>
        <v>32689.8</v>
      </c>
      <c r="F294" s="63">
        <f t="shared" si="77"/>
        <v>468553.8</v>
      </c>
      <c r="G294" s="995">
        <v>0</v>
      </c>
      <c r="H294" s="995">
        <v>0</v>
      </c>
      <c r="I294" s="63">
        <f>(G294-H294)*'16-PlantAdditions'!$E$103</f>
        <v>0</v>
      </c>
      <c r="J294" s="63">
        <f t="shared" si="78"/>
        <v>1941665.585</v>
      </c>
      <c r="K294" s="63">
        <f t="shared" si="79"/>
        <v>1640418.825</v>
      </c>
    </row>
    <row r="295" spans="1:13" s="650" customFormat="1" ht="13">
      <c r="A295" s="110">
        <f t="shared" si="76"/>
        <v>220</v>
      </c>
      <c r="B295" s="615" t="s">
        <v>188</v>
      </c>
      <c r="C295" s="613">
        <v>2020</v>
      </c>
      <c r="D295" s="995">
        <v>455000</v>
      </c>
      <c r="E295" s="63">
        <f>D295*'16-PlantAdditions'!$E$103</f>
        <v>34125</v>
      </c>
      <c r="F295" s="63">
        <f t="shared" si="77"/>
        <v>489125</v>
      </c>
      <c r="G295" s="995">
        <v>0</v>
      </c>
      <c r="H295" s="995">
        <v>0</v>
      </c>
      <c r="I295" s="63">
        <f>(G295-H295)*'16-PlantAdditions'!$E$103</f>
        <v>0</v>
      </c>
      <c r="J295" s="63">
        <f t="shared" si="78"/>
        <v>2430790.585</v>
      </c>
      <c r="K295" s="63">
        <f t="shared" si="79"/>
        <v>2129543.8250000002</v>
      </c>
    </row>
    <row r="296" spans="1:13" s="650" customFormat="1" ht="13">
      <c r="A296" s="110">
        <f t="shared" si="76"/>
        <v>221</v>
      </c>
      <c r="B296" s="612" t="s">
        <v>191</v>
      </c>
      <c r="C296" s="613">
        <v>2020</v>
      </c>
      <c r="D296" s="995">
        <v>1123537</v>
      </c>
      <c r="E296" s="63">
        <f>D296*'16-PlantAdditions'!$E$103</f>
        <v>84265.274999999994</v>
      </c>
      <c r="F296" s="63">
        <f t="shared" si="77"/>
        <v>1207802.2749999999</v>
      </c>
      <c r="G296" s="995">
        <v>0</v>
      </c>
      <c r="H296" s="995">
        <v>0</v>
      </c>
      <c r="I296" s="63">
        <f>(G296-H296)*'16-PlantAdditions'!$E$103</f>
        <v>0</v>
      </c>
      <c r="J296" s="63">
        <f t="shared" si="78"/>
        <v>3638592.86</v>
      </c>
      <c r="K296" s="63">
        <f t="shared" si="79"/>
        <v>3337346.0999999996</v>
      </c>
    </row>
    <row r="297" spans="1:13" s="650" customFormat="1" ht="13">
      <c r="A297" s="110">
        <f t="shared" si="76"/>
        <v>222</v>
      </c>
      <c r="B297" s="612" t="s">
        <v>190</v>
      </c>
      <c r="C297" s="613">
        <v>2020</v>
      </c>
      <c r="D297" s="995">
        <v>1266818</v>
      </c>
      <c r="E297" s="63">
        <f>D297*'16-PlantAdditions'!$E$103</f>
        <v>95011.349999999991</v>
      </c>
      <c r="F297" s="63">
        <f t="shared" si="77"/>
        <v>1361829.35</v>
      </c>
      <c r="G297" s="995">
        <v>0</v>
      </c>
      <c r="H297" s="995">
        <v>0</v>
      </c>
      <c r="I297" s="63">
        <f>(G297-H297)*'16-PlantAdditions'!$E$103</f>
        <v>0</v>
      </c>
      <c r="J297" s="63">
        <f t="shared" si="78"/>
        <v>5000422.21</v>
      </c>
      <c r="K297" s="63">
        <f t="shared" si="79"/>
        <v>4699175.45</v>
      </c>
    </row>
    <row r="298" spans="1:13" s="650" customFormat="1" ht="13">
      <c r="A298" s="110">
        <f t="shared" si="76"/>
        <v>223</v>
      </c>
      <c r="B298" s="612" t="s">
        <v>180</v>
      </c>
      <c r="C298" s="613">
        <v>2020</v>
      </c>
      <c r="D298" s="995">
        <v>669293</v>
      </c>
      <c r="E298" s="63">
        <f>D298*'16-PlantAdditions'!$E$103</f>
        <v>50196.974999999999</v>
      </c>
      <c r="F298" s="63">
        <f t="shared" si="77"/>
        <v>719489.97499999998</v>
      </c>
      <c r="G298" s="995">
        <v>0</v>
      </c>
      <c r="H298" s="995">
        <v>0</v>
      </c>
      <c r="I298" s="63">
        <f>(G298-H298)*'16-PlantAdditions'!$E$103</f>
        <v>0</v>
      </c>
      <c r="J298" s="63">
        <f t="shared" si="78"/>
        <v>5719912.1849999996</v>
      </c>
      <c r="K298" s="63">
        <f t="shared" si="79"/>
        <v>5418665.4249999998</v>
      </c>
    </row>
    <row r="299" spans="1:13" s="650" customFormat="1" ht="13">
      <c r="A299" s="110">
        <f t="shared" si="76"/>
        <v>224</v>
      </c>
      <c r="B299" s="612" t="s">
        <v>181</v>
      </c>
      <c r="C299" s="613">
        <v>2021</v>
      </c>
      <c r="D299" s="995">
        <v>370000</v>
      </c>
      <c r="E299" s="63">
        <f>D299*'16-PlantAdditions'!$E$103</f>
        <v>27750</v>
      </c>
      <c r="F299" s="63">
        <f t="shared" si="77"/>
        <v>397750</v>
      </c>
      <c r="G299" s="995">
        <v>0</v>
      </c>
      <c r="H299" s="995">
        <v>0</v>
      </c>
      <c r="I299" s="63">
        <f>(G299-H299)*'16-PlantAdditions'!$E$103</f>
        <v>0</v>
      </c>
      <c r="J299" s="63">
        <f t="shared" si="78"/>
        <v>6117662.1849999996</v>
      </c>
      <c r="K299" s="63">
        <f t="shared" si="79"/>
        <v>5816415.4249999998</v>
      </c>
    </row>
    <row r="300" spans="1:13" s="650" customFormat="1" ht="13">
      <c r="A300" s="110">
        <f t="shared" si="76"/>
        <v>225</v>
      </c>
      <c r="B300" s="615" t="s">
        <v>182</v>
      </c>
      <c r="C300" s="613">
        <v>2021</v>
      </c>
      <c r="D300" s="995">
        <v>370000</v>
      </c>
      <c r="E300" s="63">
        <f>D300*'16-PlantAdditions'!$E$103</f>
        <v>27750</v>
      </c>
      <c r="F300" s="63">
        <f t="shared" si="77"/>
        <v>397750</v>
      </c>
      <c r="G300" s="995">
        <v>0</v>
      </c>
      <c r="H300" s="995">
        <v>0</v>
      </c>
      <c r="I300" s="63">
        <f>(G300-H300)*'16-PlantAdditions'!$E$103</f>
        <v>0</v>
      </c>
      <c r="J300" s="63">
        <f t="shared" si="78"/>
        <v>6515412.1849999996</v>
      </c>
      <c r="K300" s="63">
        <f t="shared" si="79"/>
        <v>6214165.4249999998</v>
      </c>
    </row>
    <row r="301" spans="1:13" s="650" customFormat="1" ht="13">
      <c r="A301" s="110">
        <f t="shared" si="76"/>
        <v>226</v>
      </c>
      <c r="B301" s="615" t="s">
        <v>195</v>
      </c>
      <c r="C301" s="613">
        <v>2021</v>
      </c>
      <c r="D301" s="995">
        <v>370000</v>
      </c>
      <c r="E301" s="63">
        <f>D301*'16-PlantAdditions'!$E$103</f>
        <v>27750</v>
      </c>
      <c r="F301" s="63">
        <f t="shared" si="77"/>
        <v>397750</v>
      </c>
      <c r="G301" s="995">
        <v>0</v>
      </c>
      <c r="H301" s="995">
        <v>0</v>
      </c>
      <c r="I301" s="63">
        <f>(G301-H301)*'16-PlantAdditions'!$E$103</f>
        <v>0</v>
      </c>
      <c r="J301" s="63">
        <f t="shared" si="78"/>
        <v>6913162.1849999996</v>
      </c>
      <c r="K301" s="63">
        <f t="shared" si="79"/>
        <v>6611915.4249999998</v>
      </c>
    </row>
    <row r="302" spans="1:13" s="650" customFormat="1" ht="13">
      <c r="A302" s="110">
        <f t="shared" si="76"/>
        <v>227</v>
      </c>
      <c r="B302" s="612" t="s">
        <v>183</v>
      </c>
      <c r="C302" s="613">
        <v>2021</v>
      </c>
      <c r="D302" s="995">
        <v>370000</v>
      </c>
      <c r="E302" s="63">
        <f>D302*'16-PlantAdditions'!$E$103</f>
        <v>27750</v>
      </c>
      <c r="F302" s="63">
        <f t="shared" si="77"/>
        <v>397750</v>
      </c>
      <c r="G302" s="995">
        <v>0</v>
      </c>
      <c r="H302" s="995">
        <v>0</v>
      </c>
      <c r="I302" s="63">
        <f>(G302-H302)*'16-PlantAdditions'!$E$103</f>
        <v>0</v>
      </c>
      <c r="J302" s="63">
        <f t="shared" si="78"/>
        <v>7310912.1849999996</v>
      </c>
      <c r="K302" s="63">
        <f t="shared" si="79"/>
        <v>7009665.4249999998</v>
      </c>
    </row>
    <row r="303" spans="1:13" s="650" customFormat="1" ht="13">
      <c r="A303" s="110">
        <f t="shared" si="76"/>
        <v>228</v>
      </c>
      <c r="B303" s="615" t="s">
        <v>184</v>
      </c>
      <c r="C303" s="613">
        <v>2021</v>
      </c>
      <c r="D303" s="995">
        <v>370000</v>
      </c>
      <c r="E303" s="63">
        <f>D303*'16-PlantAdditions'!$E$103</f>
        <v>27750</v>
      </c>
      <c r="F303" s="63">
        <f t="shared" si="77"/>
        <v>397750</v>
      </c>
      <c r="G303" s="995">
        <v>0</v>
      </c>
      <c r="H303" s="995">
        <v>0</v>
      </c>
      <c r="I303" s="63">
        <f>(G303-H303)*'16-PlantAdditions'!$E$103</f>
        <v>0</v>
      </c>
      <c r="J303" s="63">
        <f t="shared" si="78"/>
        <v>7708662.1849999996</v>
      </c>
      <c r="K303" s="63">
        <f t="shared" si="79"/>
        <v>7407415.4249999998</v>
      </c>
    </row>
    <row r="304" spans="1:13" s="650" customFormat="1" ht="13">
      <c r="A304" s="110">
        <f t="shared" si="76"/>
        <v>229</v>
      </c>
      <c r="B304" s="615" t="s">
        <v>1460</v>
      </c>
      <c r="C304" s="613">
        <v>2021</v>
      </c>
      <c r="D304" s="995">
        <v>370000</v>
      </c>
      <c r="E304" s="63">
        <f>D304*'16-PlantAdditions'!$E$103</f>
        <v>27750</v>
      </c>
      <c r="F304" s="63">
        <f t="shared" si="77"/>
        <v>397750</v>
      </c>
      <c r="G304" s="995">
        <v>0</v>
      </c>
      <c r="H304" s="995">
        <v>0</v>
      </c>
      <c r="I304" s="63">
        <f>(G304-H304)*'16-PlantAdditions'!$E$103</f>
        <v>0</v>
      </c>
      <c r="J304" s="63">
        <f t="shared" si="78"/>
        <v>8106412.1849999996</v>
      </c>
      <c r="K304" s="63">
        <f t="shared" si="79"/>
        <v>7805165.4249999998</v>
      </c>
    </row>
    <row r="305" spans="1:12" s="650" customFormat="1" ht="13">
      <c r="A305" s="110">
        <f t="shared" si="76"/>
        <v>230</v>
      </c>
      <c r="B305" s="612" t="s">
        <v>186</v>
      </c>
      <c r="C305" s="613">
        <v>2021</v>
      </c>
      <c r="D305" s="995">
        <v>370000</v>
      </c>
      <c r="E305" s="63">
        <f>D305*'16-PlantAdditions'!$E$103</f>
        <v>27750</v>
      </c>
      <c r="F305" s="63">
        <f t="shared" si="77"/>
        <v>397750</v>
      </c>
      <c r="G305" s="995">
        <v>0</v>
      </c>
      <c r="H305" s="995">
        <v>0</v>
      </c>
      <c r="I305" s="63">
        <f>(G305-H305)*'16-PlantAdditions'!$E$103</f>
        <v>0</v>
      </c>
      <c r="J305" s="63">
        <f t="shared" si="78"/>
        <v>8504162.1849999987</v>
      </c>
      <c r="K305" s="63">
        <f t="shared" si="79"/>
        <v>8202915.4249999989</v>
      </c>
    </row>
    <row r="306" spans="1:12" s="650" customFormat="1" ht="13">
      <c r="A306" s="110">
        <f t="shared" si="76"/>
        <v>231</v>
      </c>
      <c r="B306" s="615" t="s">
        <v>187</v>
      </c>
      <c r="C306" s="613">
        <v>2021</v>
      </c>
      <c r="D306" s="995">
        <v>370000</v>
      </c>
      <c r="E306" s="63">
        <f>D306*'16-PlantAdditions'!$E$103</f>
        <v>27750</v>
      </c>
      <c r="F306" s="63">
        <f t="shared" si="77"/>
        <v>397750</v>
      </c>
      <c r="G306" s="995">
        <v>0</v>
      </c>
      <c r="H306" s="995">
        <v>0</v>
      </c>
      <c r="I306" s="63">
        <f>(G306-H306)*'16-PlantAdditions'!$E$103</f>
        <v>0</v>
      </c>
      <c r="J306" s="63">
        <f t="shared" si="78"/>
        <v>8901912.1849999987</v>
      </c>
      <c r="K306" s="63">
        <f t="shared" si="79"/>
        <v>8600665.4249999989</v>
      </c>
    </row>
    <row r="307" spans="1:12" s="650" customFormat="1" ht="13">
      <c r="A307" s="110">
        <f t="shared" si="76"/>
        <v>232</v>
      </c>
      <c r="B307" s="615" t="s">
        <v>188</v>
      </c>
      <c r="C307" s="613">
        <v>2021</v>
      </c>
      <c r="D307" s="995">
        <v>370000</v>
      </c>
      <c r="E307" s="63">
        <f>D307*'16-PlantAdditions'!$E$103</f>
        <v>27750</v>
      </c>
      <c r="F307" s="63">
        <f t="shared" si="77"/>
        <v>397750</v>
      </c>
      <c r="G307" s="995">
        <v>8671865.7599999979</v>
      </c>
      <c r="H307" s="995">
        <v>301246.76</v>
      </c>
      <c r="I307" s="63">
        <f>(G307-H307)*'16-PlantAdditions'!$E$103</f>
        <v>627796.42499999981</v>
      </c>
      <c r="J307" s="63">
        <f t="shared" si="78"/>
        <v>9.3132257461547852E-10</v>
      </c>
      <c r="K307" s="63">
        <f t="shared" si="79"/>
        <v>-301246.75999999908</v>
      </c>
    </row>
    <row r="308" spans="1:12" s="650" customFormat="1" ht="13">
      <c r="A308" s="110">
        <f t="shared" si="76"/>
        <v>233</v>
      </c>
      <c r="B308" s="615" t="s">
        <v>191</v>
      </c>
      <c r="C308" s="613">
        <v>2021</v>
      </c>
      <c r="D308" s="995">
        <v>370000</v>
      </c>
      <c r="E308" s="63">
        <f>D308*'16-PlantAdditions'!$E$103</f>
        <v>27750</v>
      </c>
      <c r="F308" s="63">
        <f t="shared" ref="F308:F310" si="80">E308+D308</f>
        <v>397750</v>
      </c>
      <c r="G308" s="995">
        <v>370000</v>
      </c>
      <c r="H308" s="995">
        <v>0</v>
      </c>
      <c r="I308" s="63">
        <f>(G308-H308)*'16-PlantAdditions'!$E$103</f>
        <v>27750</v>
      </c>
      <c r="J308" s="63">
        <f t="shared" ref="J308:J310" si="81">J307+F308-G308-I308</f>
        <v>9.3132257461547852E-10</v>
      </c>
      <c r="K308" s="63">
        <f t="shared" si="79"/>
        <v>-301246.75999999908</v>
      </c>
    </row>
    <row r="309" spans="1:12" s="650" customFormat="1" ht="13">
      <c r="A309" s="110">
        <f t="shared" si="76"/>
        <v>234</v>
      </c>
      <c r="B309" s="615" t="s">
        <v>190</v>
      </c>
      <c r="C309" s="613">
        <v>2021</v>
      </c>
      <c r="D309" s="995">
        <v>370000</v>
      </c>
      <c r="E309" s="63">
        <f>D309*'16-PlantAdditions'!$E$103</f>
        <v>27750</v>
      </c>
      <c r="F309" s="63">
        <f t="shared" si="80"/>
        <v>397750</v>
      </c>
      <c r="G309" s="995">
        <v>370000</v>
      </c>
      <c r="H309" s="995">
        <v>0</v>
      </c>
      <c r="I309" s="63">
        <f>(G309-H309)*'16-PlantAdditions'!$E$103</f>
        <v>27750</v>
      </c>
      <c r="J309" s="63">
        <f t="shared" si="81"/>
        <v>9.3132257461547852E-10</v>
      </c>
      <c r="K309" s="63">
        <f t="shared" si="79"/>
        <v>-301246.75999999908</v>
      </c>
    </row>
    <row r="310" spans="1:12" s="650" customFormat="1" ht="13">
      <c r="A310" s="110">
        <f t="shared" si="76"/>
        <v>235</v>
      </c>
      <c r="B310" s="615" t="s">
        <v>180</v>
      </c>
      <c r="C310" s="613">
        <v>2021</v>
      </c>
      <c r="D310" s="995">
        <v>369733</v>
      </c>
      <c r="E310" s="63">
        <f>D310*'16-PlantAdditions'!$E$103</f>
        <v>27729.974999999999</v>
      </c>
      <c r="F310" s="63">
        <f t="shared" si="80"/>
        <v>397462.97499999998</v>
      </c>
      <c r="G310" s="995">
        <v>369733</v>
      </c>
      <c r="H310" s="995">
        <v>0</v>
      </c>
      <c r="I310" s="63">
        <f>(G310-H310)*'16-PlantAdditions'!$E$103</f>
        <v>27729.974999999999</v>
      </c>
      <c r="J310" s="63">
        <f t="shared" si="81"/>
        <v>9.0949470177292824E-10</v>
      </c>
      <c r="K310" s="111">
        <f t="shared" si="79"/>
        <v>-301246.75999999908</v>
      </c>
    </row>
    <row r="311" spans="1:12" s="650" customFormat="1" ht="13">
      <c r="A311" s="110">
        <f t="shared" si="76"/>
        <v>236</v>
      </c>
      <c r="B311"/>
      <c r="C311" s="649" t="s">
        <v>1605</v>
      </c>
      <c r="D311"/>
      <c r="E311"/>
      <c r="F311"/>
      <c r="G311"/>
      <c r="H311"/>
      <c r="I311"/>
      <c r="J311"/>
      <c r="K311" s="73">
        <f>AVERAGE(K298:K310)</f>
        <v>4760153.9834615383</v>
      </c>
    </row>
    <row r="312" spans="1:12" s="650" customFormat="1" ht="13">
      <c r="A312" s="110"/>
      <c r="B312"/>
      <c r="C312" s="649"/>
      <c r="D312"/>
      <c r="E312"/>
      <c r="F312"/>
      <c r="G312"/>
      <c r="H312"/>
      <c r="I312"/>
      <c r="J312"/>
      <c r="K312" s="73"/>
    </row>
    <row r="313" spans="1:12" s="650" customFormat="1" ht="13">
      <c r="B313" s="651" t="s">
        <v>1939</v>
      </c>
      <c r="D313" s="1468" t="s">
        <v>2422</v>
      </c>
      <c r="E313" s="1468"/>
    </row>
    <row r="314" spans="1:12" s="650" customFormat="1" ht="13">
      <c r="A314" s="645"/>
      <c r="B314" s="645"/>
      <c r="C314" s="645"/>
      <c r="D314" s="645" t="s">
        <v>358</v>
      </c>
      <c r="E314" s="645" t="s">
        <v>342</v>
      </c>
      <c r="F314" s="645" t="s">
        <v>343</v>
      </c>
      <c r="G314" s="645" t="s">
        <v>344</v>
      </c>
      <c r="H314" s="645" t="s">
        <v>345</v>
      </c>
      <c r="I314" s="645" t="s">
        <v>346</v>
      </c>
      <c r="J314" s="645" t="s">
        <v>347</v>
      </c>
      <c r="K314" s="645" t="s">
        <v>534</v>
      </c>
    </row>
    <row r="315" spans="1:12" s="650" customFormat="1" ht="25.5">
      <c r="D315" s="652"/>
      <c r="E315" s="653" t="s">
        <v>2064</v>
      </c>
      <c r="F315" s="654" t="s">
        <v>1929</v>
      </c>
      <c r="G315" s="529"/>
      <c r="H315" s="652"/>
      <c r="I315" s="653" t="s">
        <v>2065</v>
      </c>
      <c r="J315" s="653" t="s">
        <v>1930</v>
      </c>
      <c r="K315" s="653" t="s">
        <v>1931</v>
      </c>
    </row>
    <row r="316" spans="1:12" s="650" customFormat="1" ht="13">
      <c r="D316" s="652"/>
      <c r="E316" s="652"/>
      <c r="F316" s="652"/>
      <c r="G316" s="553" t="str">
        <f>G51</f>
        <v>Unloaded</v>
      </c>
      <c r="H316" s="652"/>
      <c r="I316" s="652"/>
    </row>
    <row r="317" spans="1:12" s="650" customFormat="1" ht="13">
      <c r="A317" s="647"/>
      <c r="B317" s="647"/>
      <c r="C317" s="647"/>
      <c r="D317" s="647" t="str">
        <f>D$52</f>
        <v>Forecast</v>
      </c>
      <c r="E317" s="647" t="str">
        <f t="shared" ref="E317:J317" si="82">E$52</f>
        <v>Corporate</v>
      </c>
      <c r="F317" s="647" t="str">
        <f t="shared" si="82"/>
        <v xml:space="preserve">Total </v>
      </c>
      <c r="G317" s="553" t="str">
        <f>G52</f>
        <v>Total</v>
      </c>
      <c r="H317" s="647" t="str">
        <f t="shared" si="82"/>
        <v>Prior Period</v>
      </c>
      <c r="I317" s="647" t="str">
        <f t="shared" si="82"/>
        <v>Over Heads</v>
      </c>
      <c r="J317" s="647" t="str">
        <f t="shared" si="82"/>
        <v>Forecast</v>
      </c>
      <c r="K317" s="553" t="str">
        <f>K$52</f>
        <v>Forecast Period</v>
      </c>
    </row>
    <row r="318" spans="1:12" s="650" customFormat="1" ht="13">
      <c r="A318" s="840" t="s">
        <v>329</v>
      </c>
      <c r="B318" s="611" t="s">
        <v>192</v>
      </c>
      <c r="C318" s="611" t="s">
        <v>193</v>
      </c>
      <c r="D318" s="645" t="str">
        <f>D$53</f>
        <v>Expenditures</v>
      </c>
      <c r="E318" s="645" t="str">
        <f t="shared" ref="E318:J318" si="83">E$53</f>
        <v>Overheads</v>
      </c>
      <c r="F318" s="645" t="str">
        <f t="shared" si="83"/>
        <v>CWIP Exp</v>
      </c>
      <c r="G318" s="3" t="str">
        <f>G53</f>
        <v>Plant Adds</v>
      </c>
      <c r="H318" s="645" t="str">
        <f t="shared" si="83"/>
        <v>CWIP Closed</v>
      </c>
      <c r="I318" s="645" t="str">
        <f t="shared" si="83"/>
        <v>Closed to PIS</v>
      </c>
      <c r="J318" s="645" t="str">
        <f t="shared" si="83"/>
        <v>Period CWIP</v>
      </c>
      <c r="K318" s="645" t="str">
        <f>K$53</f>
        <v>Incremental CWIP</v>
      </c>
    </row>
    <row r="319" spans="1:12" s="650" customFormat="1" ht="13">
      <c r="A319" s="110">
        <f>A311+1</f>
        <v>237</v>
      </c>
      <c r="B319" s="612" t="s">
        <v>180</v>
      </c>
      <c r="C319" s="613">
        <v>2019</v>
      </c>
      <c r="D319" s="654" t="s">
        <v>76</v>
      </c>
      <c r="E319" s="654" t="s">
        <v>76</v>
      </c>
      <c r="F319" s="654" t="s">
        <v>76</v>
      </c>
      <c r="G319" s="654" t="s">
        <v>76</v>
      </c>
      <c r="H319" s="654" t="s">
        <v>76</v>
      </c>
      <c r="I319" s="654" t="s">
        <v>76</v>
      </c>
      <c r="J319" s="63">
        <f>F45</f>
        <v>49845413.409999996</v>
      </c>
      <c r="K319" s="654" t="s">
        <v>76</v>
      </c>
    </row>
    <row r="320" spans="1:12" s="650" customFormat="1" ht="13">
      <c r="A320" s="110">
        <f>A319+1</f>
        <v>238</v>
      </c>
      <c r="B320" s="612" t="s">
        <v>181</v>
      </c>
      <c r="C320" s="613">
        <v>2020</v>
      </c>
      <c r="D320" s="995">
        <v>4061738.8068000008</v>
      </c>
      <c r="E320" s="63">
        <f>D320*'16-PlantAdditions'!$E$103</f>
        <v>304630.41051000007</v>
      </c>
      <c r="F320" s="63">
        <f>E320+D320</f>
        <v>4366369.2173100011</v>
      </c>
      <c r="G320" s="995">
        <v>1498716.8068000001</v>
      </c>
      <c r="H320" s="995">
        <v>0</v>
      </c>
      <c r="I320" s="63">
        <f>(G320-H320)*'16-PlantAdditions'!$E$103</f>
        <v>112403.76051000001</v>
      </c>
      <c r="J320" s="63">
        <f>J319+F320-G320-I320</f>
        <v>52600662.060000002</v>
      </c>
      <c r="K320" s="63">
        <f>J320-$J$319</f>
        <v>2755248.650000006</v>
      </c>
      <c r="L320" s="647"/>
    </row>
    <row r="321" spans="1:12" s="650" customFormat="1" ht="13">
      <c r="A321" s="110">
        <f t="shared" ref="A321:A344" si="84">A320+1</f>
        <v>239</v>
      </c>
      <c r="B321" s="615" t="s">
        <v>182</v>
      </c>
      <c r="C321" s="613">
        <v>2020</v>
      </c>
      <c r="D321" s="995">
        <v>5880074.051</v>
      </c>
      <c r="E321" s="63">
        <f>D321*'16-PlantAdditions'!$E$103</f>
        <v>441005.55382500001</v>
      </c>
      <c r="F321" s="63">
        <f t="shared" ref="F321:F340" si="85">E321+D321</f>
        <v>6321079.6048250003</v>
      </c>
      <c r="G321" s="995">
        <v>821950.05100000021</v>
      </c>
      <c r="H321" s="995">
        <v>0</v>
      </c>
      <c r="I321" s="63">
        <f>(G321-H321)*'16-PlantAdditions'!$E$103</f>
        <v>61646.253825000014</v>
      </c>
      <c r="J321" s="63">
        <f t="shared" ref="J321:J340" si="86">J320+F321-G321-I321</f>
        <v>58038145.359999999</v>
      </c>
      <c r="K321" s="63">
        <f t="shared" ref="K321:K343" si="87">J321-$J$319</f>
        <v>8192731.950000003</v>
      </c>
      <c r="L321" s="647"/>
    </row>
    <row r="322" spans="1:12" s="650" customFormat="1" ht="13">
      <c r="A322" s="110">
        <f t="shared" si="84"/>
        <v>240</v>
      </c>
      <c r="B322" s="615" t="s">
        <v>195</v>
      </c>
      <c r="C322" s="613">
        <v>2020</v>
      </c>
      <c r="D322" s="995">
        <v>4900388.102</v>
      </c>
      <c r="E322" s="63">
        <f>D322*'16-PlantAdditions'!$E$103</f>
        <v>367529.10764999996</v>
      </c>
      <c r="F322" s="63">
        <f t="shared" si="85"/>
        <v>5267917.2096499996</v>
      </c>
      <c r="G322" s="995">
        <v>662429.10199999996</v>
      </c>
      <c r="H322" s="995">
        <v>0</v>
      </c>
      <c r="I322" s="63">
        <f>(G322-H322)*'16-PlantAdditions'!$E$103</f>
        <v>49682.182649999995</v>
      </c>
      <c r="J322" s="63">
        <f t="shared" si="86"/>
        <v>62593951.285000004</v>
      </c>
      <c r="K322" s="63">
        <f t="shared" si="87"/>
        <v>12748537.875000007</v>
      </c>
      <c r="L322" s="647"/>
    </row>
    <row r="323" spans="1:12" s="650" customFormat="1" ht="13">
      <c r="A323" s="110">
        <f t="shared" si="84"/>
        <v>241</v>
      </c>
      <c r="B323" s="612" t="s">
        <v>183</v>
      </c>
      <c r="C323" s="613">
        <v>2020</v>
      </c>
      <c r="D323" s="995">
        <v>10164324.310000001</v>
      </c>
      <c r="E323" s="63">
        <f>D323*'16-PlantAdditions'!$E$103</f>
        <v>762324.32325000002</v>
      </c>
      <c r="F323" s="63">
        <f t="shared" si="85"/>
        <v>10926648.63325</v>
      </c>
      <c r="G323" s="995">
        <v>123635.31</v>
      </c>
      <c r="H323" s="995">
        <v>0</v>
      </c>
      <c r="I323" s="63">
        <f>(G323-H323)*'16-PlantAdditions'!$E$103</f>
        <v>9272.6482500000002</v>
      </c>
      <c r="J323" s="63">
        <f t="shared" si="86"/>
        <v>73387691.960000008</v>
      </c>
      <c r="K323" s="63">
        <f t="shared" si="87"/>
        <v>23542278.550000012</v>
      </c>
      <c r="L323" s="645"/>
    </row>
    <row r="324" spans="1:12" s="650" customFormat="1" ht="13">
      <c r="A324" s="110">
        <f t="shared" si="84"/>
        <v>242</v>
      </c>
      <c r="B324" s="615" t="s">
        <v>184</v>
      </c>
      <c r="C324" s="613">
        <v>2020</v>
      </c>
      <c r="D324" s="995">
        <v>14976454.309999999</v>
      </c>
      <c r="E324" s="63">
        <f>D324*'16-PlantAdditions'!$E$103</f>
        <v>1123234.0732499999</v>
      </c>
      <c r="F324" s="63">
        <f t="shared" si="85"/>
        <v>16099688.383249998</v>
      </c>
      <c r="G324" s="995">
        <v>440868.45000000007</v>
      </c>
      <c r="H324" s="995">
        <v>344737.14</v>
      </c>
      <c r="I324" s="63">
        <f>(G324-H324)*'16-PlantAdditions'!$E$103</f>
        <v>7209.8482500000036</v>
      </c>
      <c r="J324" s="63">
        <f t="shared" si="86"/>
        <v>89039302.045000002</v>
      </c>
      <c r="K324" s="63">
        <f t="shared" si="87"/>
        <v>39193888.635000005</v>
      </c>
    </row>
    <row r="325" spans="1:12" s="650" customFormat="1" ht="13">
      <c r="A325" s="110">
        <f t="shared" si="84"/>
        <v>243</v>
      </c>
      <c r="B325" s="615" t="s">
        <v>1460</v>
      </c>
      <c r="C325" s="613">
        <v>2020</v>
      </c>
      <c r="D325" s="995">
        <v>9728852.5857999995</v>
      </c>
      <c r="E325" s="63">
        <f>D325*'16-PlantAdditions'!$E$103</f>
        <v>729663.94393499999</v>
      </c>
      <c r="F325" s="63">
        <f t="shared" si="85"/>
        <v>10458516.529734999</v>
      </c>
      <c r="G325" s="995">
        <v>541379.6057999999</v>
      </c>
      <c r="H325" s="995">
        <v>253117.02</v>
      </c>
      <c r="I325" s="63">
        <f>(G325-H325)*'16-PlantAdditions'!$E$103</f>
        <v>21619.693934999992</v>
      </c>
      <c r="J325" s="63">
        <f t="shared" si="86"/>
        <v>98934819.274999991</v>
      </c>
      <c r="K325" s="63">
        <f t="shared" si="87"/>
        <v>49089405.864999995</v>
      </c>
    </row>
    <row r="326" spans="1:12" s="650" customFormat="1" ht="13">
      <c r="A326" s="110">
        <f t="shared" si="84"/>
        <v>244</v>
      </c>
      <c r="B326" s="612" t="s">
        <v>186</v>
      </c>
      <c r="C326" s="613">
        <v>2020</v>
      </c>
      <c r="D326" s="995">
        <v>11353872.139999999</v>
      </c>
      <c r="E326" s="63">
        <f>D326*'16-PlantAdditions'!$E$103</f>
        <v>851540.41049999988</v>
      </c>
      <c r="F326" s="63">
        <f t="shared" si="85"/>
        <v>12205412.550499998</v>
      </c>
      <c r="G326" s="995">
        <v>5632.1399999999994</v>
      </c>
      <c r="H326" s="995">
        <v>0</v>
      </c>
      <c r="I326" s="63">
        <f>(G326-H326)*'16-PlantAdditions'!$E$103</f>
        <v>422.41049999999996</v>
      </c>
      <c r="J326" s="63">
        <f t="shared" si="86"/>
        <v>111134177.27499998</v>
      </c>
      <c r="K326" s="63">
        <f t="shared" si="87"/>
        <v>61288763.86499998</v>
      </c>
    </row>
    <row r="327" spans="1:12" s="650" customFormat="1" ht="13">
      <c r="A327" s="110">
        <f t="shared" si="84"/>
        <v>245</v>
      </c>
      <c r="B327" s="615" t="s">
        <v>187</v>
      </c>
      <c r="C327" s="613">
        <v>2020</v>
      </c>
      <c r="D327" s="995">
        <v>7061094.1400000006</v>
      </c>
      <c r="E327" s="63">
        <f>D327*'16-PlantAdditions'!$E$103</f>
        <v>529582.06050000002</v>
      </c>
      <c r="F327" s="63">
        <f t="shared" si="85"/>
        <v>7590676.2005000003</v>
      </c>
      <c r="G327" s="995">
        <v>5632.1399999999994</v>
      </c>
      <c r="H327" s="995">
        <v>0</v>
      </c>
      <c r="I327" s="63">
        <f>(G327-H327)*'16-PlantAdditions'!$E$103</f>
        <v>422.41049999999996</v>
      </c>
      <c r="J327" s="63">
        <f t="shared" si="86"/>
        <v>118718798.92499997</v>
      </c>
      <c r="K327" s="63">
        <f t="shared" si="87"/>
        <v>68873385.514999971</v>
      </c>
    </row>
    <row r="328" spans="1:12" s="650" customFormat="1" ht="13">
      <c r="A328" s="110">
        <f t="shared" si="84"/>
        <v>246</v>
      </c>
      <c r="B328" s="615" t="s">
        <v>188</v>
      </c>
      <c r="C328" s="613">
        <v>2020</v>
      </c>
      <c r="D328" s="995">
        <v>9451395.1399999987</v>
      </c>
      <c r="E328" s="63">
        <f>D328*'16-PlantAdditions'!$E$103</f>
        <v>708854.63549999986</v>
      </c>
      <c r="F328" s="63">
        <f t="shared" si="85"/>
        <v>10160249.7755</v>
      </c>
      <c r="G328" s="995">
        <v>5632.1399999999994</v>
      </c>
      <c r="H328" s="995">
        <v>0</v>
      </c>
      <c r="I328" s="63">
        <f>(G328-H328)*'16-PlantAdditions'!$E$103</f>
        <v>422.41049999999996</v>
      </c>
      <c r="J328" s="63">
        <f t="shared" si="86"/>
        <v>128872994.14999996</v>
      </c>
      <c r="K328" s="63">
        <f t="shared" si="87"/>
        <v>79027580.739999965</v>
      </c>
    </row>
    <row r="329" spans="1:12" s="650" customFormat="1" ht="13">
      <c r="A329" s="110">
        <f t="shared" si="84"/>
        <v>247</v>
      </c>
      <c r="B329" s="612" t="s">
        <v>191</v>
      </c>
      <c r="C329" s="613">
        <v>2020</v>
      </c>
      <c r="D329" s="995">
        <v>5025379.1399999997</v>
      </c>
      <c r="E329" s="63">
        <f>D329*'16-PlantAdditions'!$E$103</f>
        <v>376903.43549999996</v>
      </c>
      <c r="F329" s="63">
        <f t="shared" si="85"/>
        <v>5402282.5754999993</v>
      </c>
      <c r="G329" s="995">
        <v>5632.1399999999994</v>
      </c>
      <c r="H329" s="995">
        <v>0</v>
      </c>
      <c r="I329" s="63">
        <f>(G329-H329)*'16-PlantAdditions'!$E$103</f>
        <v>422.41049999999996</v>
      </c>
      <c r="J329" s="63">
        <f t="shared" si="86"/>
        <v>134269222.17499998</v>
      </c>
      <c r="K329" s="63">
        <f t="shared" si="87"/>
        <v>84423808.764999986</v>
      </c>
    </row>
    <row r="330" spans="1:12" s="650" customFormat="1" ht="13">
      <c r="A330" s="110">
        <f t="shared" si="84"/>
        <v>248</v>
      </c>
      <c r="B330" s="612" t="s">
        <v>190</v>
      </c>
      <c r="C330" s="613">
        <v>2020</v>
      </c>
      <c r="D330" s="995">
        <v>3190394.1399999997</v>
      </c>
      <c r="E330" s="63">
        <f>D330*'16-PlantAdditions'!$E$103</f>
        <v>239279.56049999996</v>
      </c>
      <c r="F330" s="63">
        <f t="shared" si="85"/>
        <v>3429673.7004999998</v>
      </c>
      <c r="G330" s="995">
        <v>5632.1399999999994</v>
      </c>
      <c r="H330" s="995">
        <v>0</v>
      </c>
      <c r="I330" s="63">
        <f>(G330-H330)*'16-PlantAdditions'!$E$103</f>
        <v>422.41049999999996</v>
      </c>
      <c r="J330" s="63">
        <f t="shared" si="86"/>
        <v>137692841.32500002</v>
      </c>
      <c r="K330" s="63">
        <f t="shared" si="87"/>
        <v>87847427.915000021</v>
      </c>
    </row>
    <row r="331" spans="1:12" s="650" customFormat="1" ht="13">
      <c r="A331" s="110">
        <f t="shared" si="84"/>
        <v>249</v>
      </c>
      <c r="B331" s="612" t="s">
        <v>180</v>
      </c>
      <c r="C331" s="613">
        <v>2020</v>
      </c>
      <c r="D331" s="995">
        <v>22425697.471199997</v>
      </c>
      <c r="E331" s="63">
        <f>D331*'16-PlantAdditions'!$E$103</f>
        <v>1681927.3103399996</v>
      </c>
      <c r="F331" s="63">
        <f t="shared" si="85"/>
        <v>24107624.781539995</v>
      </c>
      <c r="G331" s="995">
        <v>25164759.4912</v>
      </c>
      <c r="H331" s="995">
        <v>15559979.02</v>
      </c>
      <c r="I331" s="63">
        <f>(G331-H331)*'16-PlantAdditions'!$E$103</f>
        <v>720358.53534000006</v>
      </c>
      <c r="J331" s="63">
        <f t="shared" si="86"/>
        <v>135915348.08000001</v>
      </c>
      <c r="K331" s="63">
        <f t="shared" si="87"/>
        <v>86069934.670000017</v>
      </c>
    </row>
    <row r="332" spans="1:12" s="650" customFormat="1" ht="13">
      <c r="A332" s="110">
        <f t="shared" si="84"/>
        <v>250</v>
      </c>
      <c r="B332" s="612" t="s">
        <v>181</v>
      </c>
      <c r="C332" s="613">
        <v>2021</v>
      </c>
      <c r="D332" s="995">
        <v>8468791.0000000019</v>
      </c>
      <c r="E332" s="63">
        <f>D332*'16-PlantAdditions'!$E$103</f>
        <v>635159.32500000007</v>
      </c>
      <c r="F332" s="63">
        <f t="shared" si="85"/>
        <v>9103950.3250000011</v>
      </c>
      <c r="G332" s="995">
        <v>386600</v>
      </c>
      <c r="H332" s="995">
        <v>0</v>
      </c>
      <c r="I332" s="63">
        <f>(G332-H332)*'16-PlantAdditions'!$E$103</f>
        <v>28995</v>
      </c>
      <c r="J332" s="63">
        <f t="shared" si="86"/>
        <v>144603703.405</v>
      </c>
      <c r="K332" s="63">
        <f t="shared" si="87"/>
        <v>94758289.995000005</v>
      </c>
    </row>
    <row r="333" spans="1:12" s="650" customFormat="1" ht="13">
      <c r="A333" s="110">
        <f t="shared" si="84"/>
        <v>251</v>
      </c>
      <c r="B333" s="615" t="s">
        <v>182</v>
      </c>
      <c r="C333" s="613">
        <v>2021</v>
      </c>
      <c r="D333" s="995">
        <v>6702363</v>
      </c>
      <c r="E333" s="63">
        <f>D333*'16-PlantAdditions'!$E$103</f>
        <v>502677.22499999998</v>
      </c>
      <c r="F333" s="63">
        <f t="shared" si="85"/>
        <v>7205040.2249999996</v>
      </c>
      <c r="G333" s="995">
        <v>386600</v>
      </c>
      <c r="H333" s="995">
        <v>0</v>
      </c>
      <c r="I333" s="63">
        <f>(G333-H333)*'16-PlantAdditions'!$E$103</f>
        <v>28995</v>
      </c>
      <c r="J333" s="63">
        <f t="shared" si="86"/>
        <v>151393148.63</v>
      </c>
      <c r="K333" s="63">
        <f t="shared" si="87"/>
        <v>101547735.22</v>
      </c>
    </row>
    <row r="334" spans="1:12" s="650" customFormat="1" ht="13">
      <c r="A334" s="110">
        <f t="shared" si="84"/>
        <v>252</v>
      </c>
      <c r="B334" s="615" t="s">
        <v>195</v>
      </c>
      <c r="C334" s="613">
        <v>2021</v>
      </c>
      <c r="D334" s="995">
        <v>6702363</v>
      </c>
      <c r="E334" s="63">
        <f>D334*'16-PlantAdditions'!$E$103</f>
        <v>502677.22499999998</v>
      </c>
      <c r="F334" s="63">
        <f t="shared" si="85"/>
        <v>7205040.2249999996</v>
      </c>
      <c r="G334" s="995">
        <v>386600</v>
      </c>
      <c r="H334" s="995">
        <v>0</v>
      </c>
      <c r="I334" s="63">
        <f>(G334-H334)*'16-PlantAdditions'!$E$103</f>
        <v>28995</v>
      </c>
      <c r="J334" s="63">
        <f>J333+F334-G334-I334</f>
        <v>158182593.85499999</v>
      </c>
      <c r="K334" s="63">
        <f t="shared" si="87"/>
        <v>108337180.44499999</v>
      </c>
    </row>
    <row r="335" spans="1:12" s="650" customFormat="1" ht="13">
      <c r="A335" s="110">
        <f t="shared" si="84"/>
        <v>253</v>
      </c>
      <c r="B335" s="612" t="s">
        <v>183</v>
      </c>
      <c r="C335" s="613">
        <v>2021</v>
      </c>
      <c r="D335" s="995">
        <v>5742718</v>
      </c>
      <c r="E335" s="63">
        <f>D335*'16-PlantAdditions'!$E$103</f>
        <v>430703.85</v>
      </c>
      <c r="F335" s="63">
        <f t="shared" si="85"/>
        <v>6173421.8499999996</v>
      </c>
      <c r="G335" s="995">
        <v>276600</v>
      </c>
      <c r="H335" s="995">
        <v>0</v>
      </c>
      <c r="I335" s="63">
        <f>(G335-H335)*'16-PlantAdditions'!$E$103</f>
        <v>20745</v>
      </c>
      <c r="J335" s="63">
        <f t="shared" si="86"/>
        <v>164058670.70499998</v>
      </c>
      <c r="K335" s="63">
        <f t="shared" si="87"/>
        <v>114213257.29499999</v>
      </c>
    </row>
    <row r="336" spans="1:12" s="650" customFormat="1" ht="13">
      <c r="A336" s="110">
        <f t="shared" si="84"/>
        <v>254</v>
      </c>
      <c r="B336" s="615" t="s">
        <v>184</v>
      </c>
      <c r="C336" s="613">
        <v>2021</v>
      </c>
      <c r="D336" s="995">
        <v>5687218</v>
      </c>
      <c r="E336" s="63">
        <f>D336*'16-PlantAdditions'!$E$103</f>
        <v>426541.35</v>
      </c>
      <c r="F336" s="63">
        <f t="shared" si="85"/>
        <v>6113759.3499999996</v>
      </c>
      <c r="G336" s="995">
        <v>586046.6</v>
      </c>
      <c r="H336" s="995">
        <v>218065.59999999998</v>
      </c>
      <c r="I336" s="63">
        <f>(G336-H336)*'16-PlantAdditions'!$E$103</f>
        <v>27598.575000000001</v>
      </c>
      <c r="J336" s="63">
        <f t="shared" si="86"/>
        <v>169558784.88</v>
      </c>
      <c r="K336" s="63">
        <f t="shared" si="87"/>
        <v>119713371.47</v>
      </c>
    </row>
    <row r="337" spans="1:11" s="650" customFormat="1" ht="13">
      <c r="A337" s="110">
        <f t="shared" si="84"/>
        <v>255</v>
      </c>
      <c r="B337" s="615" t="s">
        <v>1460</v>
      </c>
      <c r="C337" s="613">
        <v>2021</v>
      </c>
      <c r="D337" s="995">
        <v>5687218</v>
      </c>
      <c r="E337" s="63">
        <f>D337*'16-PlantAdditions'!$E$103</f>
        <v>426541.35</v>
      </c>
      <c r="F337" s="63">
        <f t="shared" si="85"/>
        <v>6113759.3499999996</v>
      </c>
      <c r="G337" s="995">
        <v>281799.00000000006</v>
      </c>
      <c r="H337" s="995">
        <v>0</v>
      </c>
      <c r="I337" s="63">
        <f>(G337-H337)*'16-PlantAdditions'!$E$103</f>
        <v>21134.925000000003</v>
      </c>
      <c r="J337" s="63">
        <f t="shared" si="86"/>
        <v>175369610.30499998</v>
      </c>
      <c r="K337" s="63">
        <f t="shared" si="87"/>
        <v>125524196.89499998</v>
      </c>
    </row>
    <row r="338" spans="1:11" s="650" customFormat="1" ht="13">
      <c r="A338" s="110">
        <f t="shared" si="84"/>
        <v>256</v>
      </c>
      <c r="B338" s="612" t="s">
        <v>186</v>
      </c>
      <c r="C338" s="613">
        <v>2021</v>
      </c>
      <c r="D338" s="995">
        <v>5570617.9999999991</v>
      </c>
      <c r="E338" s="63">
        <f>D338*'16-PlantAdditions'!$E$103</f>
        <v>417796.34999999992</v>
      </c>
      <c r="F338" s="63">
        <f t="shared" si="85"/>
        <v>5988414.3499999987</v>
      </c>
      <c r="G338" s="995">
        <v>165199</v>
      </c>
      <c r="H338" s="995">
        <v>0</v>
      </c>
      <c r="I338" s="63">
        <f>(G338-H338)*'16-PlantAdditions'!$E$103</f>
        <v>12389.924999999999</v>
      </c>
      <c r="J338" s="63">
        <f t="shared" si="86"/>
        <v>181180435.72999996</v>
      </c>
      <c r="K338" s="63">
        <f t="shared" si="87"/>
        <v>131335022.31999996</v>
      </c>
    </row>
    <row r="339" spans="1:11" s="650" customFormat="1" ht="13">
      <c r="A339" s="110">
        <f t="shared" si="84"/>
        <v>257</v>
      </c>
      <c r="B339" s="615" t="s">
        <v>187</v>
      </c>
      <c r="C339" s="613">
        <v>2021</v>
      </c>
      <c r="D339" s="995">
        <v>5570617.9999999991</v>
      </c>
      <c r="E339" s="63">
        <f>D339*'16-PlantAdditions'!$E$103</f>
        <v>417796.34999999992</v>
      </c>
      <c r="F339" s="63">
        <f t="shared" si="85"/>
        <v>5988414.3499999987</v>
      </c>
      <c r="G339" s="995">
        <v>172165582.88999996</v>
      </c>
      <c r="H339" s="995">
        <v>29189456.889999997</v>
      </c>
      <c r="I339" s="63">
        <f>(G339-H339)*'16-PlantAdditions'!$E$103</f>
        <v>10723209.449999997</v>
      </c>
      <c r="J339" s="63">
        <f t="shared" si="86"/>
        <v>4280057.74</v>
      </c>
      <c r="K339" s="63">
        <f t="shared" si="87"/>
        <v>-45565355.669999994</v>
      </c>
    </row>
    <row r="340" spans="1:11" s="650" customFormat="1" ht="13">
      <c r="A340" s="110">
        <f t="shared" si="84"/>
        <v>258</v>
      </c>
      <c r="B340" s="615" t="s">
        <v>188</v>
      </c>
      <c r="C340" s="613">
        <v>2021</v>
      </c>
      <c r="D340" s="995">
        <v>5570617.9999999991</v>
      </c>
      <c r="E340" s="63">
        <f>D340*'16-PlantAdditions'!$E$103</f>
        <v>417796.34999999992</v>
      </c>
      <c r="F340" s="63">
        <f t="shared" si="85"/>
        <v>5988414.3499999987</v>
      </c>
      <c r="G340" s="995">
        <v>5570617.9999999991</v>
      </c>
      <c r="H340" s="995">
        <v>0</v>
      </c>
      <c r="I340" s="63">
        <f>(G340-H340)*'16-PlantAdditions'!$E$103</f>
        <v>417796.34999999992</v>
      </c>
      <c r="J340" s="63">
        <f t="shared" si="86"/>
        <v>4280057.7400000012</v>
      </c>
      <c r="K340" s="63">
        <f t="shared" si="87"/>
        <v>-45565355.669999994</v>
      </c>
    </row>
    <row r="341" spans="1:11" s="650" customFormat="1" ht="13">
      <c r="A341" s="110">
        <f t="shared" si="84"/>
        <v>259</v>
      </c>
      <c r="B341" s="615" t="s">
        <v>191</v>
      </c>
      <c r="C341" s="613">
        <v>2021</v>
      </c>
      <c r="D341" s="995">
        <v>5570617.9999999991</v>
      </c>
      <c r="E341" s="63">
        <f>D341*'16-PlantAdditions'!$E$103</f>
        <v>417796.34999999992</v>
      </c>
      <c r="F341" s="63">
        <f t="shared" ref="F341:F343" si="88">E341+D341</f>
        <v>5988414.3499999987</v>
      </c>
      <c r="G341" s="995">
        <v>5570617.9999999991</v>
      </c>
      <c r="H341" s="995">
        <v>0</v>
      </c>
      <c r="I341" s="63">
        <f>(G341-H341)*'16-PlantAdditions'!$E$103</f>
        <v>417796.34999999992</v>
      </c>
      <c r="J341" s="63">
        <f t="shared" ref="J341:J343" si="89">J340+F341-G341-I341</f>
        <v>4280057.7400000012</v>
      </c>
      <c r="K341" s="63">
        <f t="shared" si="87"/>
        <v>-45565355.669999994</v>
      </c>
    </row>
    <row r="342" spans="1:11" s="650" customFormat="1" ht="13">
      <c r="A342" s="110">
        <f t="shared" si="84"/>
        <v>260</v>
      </c>
      <c r="B342" s="615" t="s">
        <v>190</v>
      </c>
      <c r="C342" s="613">
        <v>2021</v>
      </c>
      <c r="D342" s="995">
        <v>5410617.9999999991</v>
      </c>
      <c r="E342" s="63">
        <f>D342*'16-PlantAdditions'!$E$103</f>
        <v>405796.34999999992</v>
      </c>
      <c r="F342" s="63">
        <f t="shared" si="88"/>
        <v>5816414.3499999987</v>
      </c>
      <c r="G342" s="995">
        <v>5410617.9999999991</v>
      </c>
      <c r="H342" s="995">
        <v>0</v>
      </c>
      <c r="I342" s="63">
        <f>(G342-H342)*'16-PlantAdditions'!$E$103</f>
        <v>405796.34999999992</v>
      </c>
      <c r="J342" s="63">
        <f t="shared" si="89"/>
        <v>4280057.7400000012</v>
      </c>
      <c r="K342" s="63">
        <f t="shared" si="87"/>
        <v>-45565355.669999994</v>
      </c>
    </row>
    <row r="343" spans="1:11" s="650" customFormat="1" ht="13">
      <c r="A343" s="110">
        <f t="shared" si="84"/>
        <v>261</v>
      </c>
      <c r="B343" s="615" t="s">
        <v>180</v>
      </c>
      <c r="C343" s="613">
        <v>2021</v>
      </c>
      <c r="D343" s="995">
        <v>6149090.9999999991</v>
      </c>
      <c r="E343" s="63">
        <f>D343*'16-PlantAdditions'!$E$103</f>
        <v>461181.8249999999</v>
      </c>
      <c r="F343" s="63">
        <f t="shared" si="88"/>
        <v>6610272.8249999993</v>
      </c>
      <c r="G343" s="995">
        <v>6149090.9999999991</v>
      </c>
      <c r="H343" s="995">
        <v>0</v>
      </c>
      <c r="I343" s="63">
        <f>(G343-H343)*'16-PlantAdditions'!$E$103</f>
        <v>461181.8249999999</v>
      </c>
      <c r="J343" s="63">
        <f t="shared" si="89"/>
        <v>4280057.7400000021</v>
      </c>
      <c r="K343" s="111">
        <f t="shared" si="87"/>
        <v>-45565355.669999994</v>
      </c>
    </row>
    <row r="344" spans="1:11" s="650" customFormat="1" ht="13">
      <c r="A344" s="110">
        <f t="shared" si="84"/>
        <v>262</v>
      </c>
      <c r="B344"/>
      <c r="C344" s="649" t="s">
        <v>1605</v>
      </c>
      <c r="D344"/>
      <c r="E344"/>
      <c r="F344"/>
      <c r="G344"/>
      <c r="H344"/>
      <c r="I344"/>
      <c r="J344"/>
      <c r="K344" s="73">
        <f>AVERAGE(K331:K343)</f>
        <v>50282477.689230785</v>
      </c>
    </row>
    <row r="345" spans="1:11" s="650" customFormat="1" ht="13">
      <c r="A345" s="110"/>
      <c r="B345"/>
      <c r="C345" s="649"/>
      <c r="D345"/>
      <c r="E345"/>
      <c r="F345"/>
      <c r="G345"/>
      <c r="H345"/>
      <c r="I345"/>
      <c r="J345"/>
      <c r="K345" s="73"/>
    </row>
    <row r="346" spans="1:11" s="650" customFormat="1" ht="13">
      <c r="B346" s="651" t="s">
        <v>1940</v>
      </c>
      <c r="D346" s="1468" t="s">
        <v>2423</v>
      </c>
      <c r="E346" s="1468"/>
    </row>
    <row r="347" spans="1:11" s="650" customFormat="1" ht="13">
      <c r="B347" s="651"/>
      <c r="D347" s="645" t="s">
        <v>358</v>
      </c>
      <c r="E347" s="645" t="s">
        <v>342</v>
      </c>
      <c r="F347" s="645" t="s">
        <v>343</v>
      </c>
      <c r="G347" s="645" t="s">
        <v>344</v>
      </c>
      <c r="H347" s="645" t="s">
        <v>345</v>
      </c>
      <c r="I347" s="645" t="s">
        <v>346</v>
      </c>
      <c r="J347" s="645" t="s">
        <v>347</v>
      </c>
      <c r="K347" s="645" t="s">
        <v>534</v>
      </c>
    </row>
    <row r="348" spans="1:11" s="650" customFormat="1" ht="25.5">
      <c r="B348" s="651"/>
      <c r="D348" s="652"/>
      <c r="E348" s="653" t="s">
        <v>2064</v>
      </c>
      <c r="F348" s="654" t="s">
        <v>1929</v>
      </c>
      <c r="G348" s="529"/>
      <c r="H348" s="652"/>
      <c r="I348" s="653" t="s">
        <v>2065</v>
      </c>
      <c r="J348" s="653" t="s">
        <v>1930</v>
      </c>
      <c r="K348" s="653" t="s">
        <v>1931</v>
      </c>
    </row>
    <row r="349" spans="1:11" s="650" customFormat="1" ht="13">
      <c r="D349" s="652"/>
      <c r="E349" s="652"/>
      <c r="F349" s="652"/>
      <c r="G349" s="553" t="str">
        <f>G51</f>
        <v>Unloaded</v>
      </c>
      <c r="H349" s="652"/>
      <c r="I349" s="652"/>
    </row>
    <row r="350" spans="1:11" s="650" customFormat="1" ht="13">
      <c r="A350" s="647"/>
      <c r="B350" s="647"/>
      <c r="C350" s="647"/>
      <c r="D350" s="647" t="str">
        <f>D$52</f>
        <v>Forecast</v>
      </c>
      <c r="E350" s="647" t="str">
        <f t="shared" ref="E350:J350" si="90">E$52</f>
        <v>Corporate</v>
      </c>
      <c r="F350" s="647" t="str">
        <f t="shared" si="90"/>
        <v xml:space="preserve">Total </v>
      </c>
      <c r="G350" s="553" t="str">
        <f>G52</f>
        <v>Total</v>
      </c>
      <c r="H350" s="647" t="str">
        <f t="shared" si="90"/>
        <v>Prior Period</v>
      </c>
      <c r="I350" s="647" t="str">
        <f t="shared" si="90"/>
        <v>Over Heads</v>
      </c>
      <c r="J350" s="647" t="str">
        <f t="shared" si="90"/>
        <v>Forecast</v>
      </c>
      <c r="K350" s="553" t="str">
        <f>K$52</f>
        <v>Forecast Period</v>
      </c>
    </row>
    <row r="351" spans="1:11" s="650" customFormat="1" ht="13">
      <c r="A351" s="840" t="s">
        <v>329</v>
      </c>
      <c r="B351" s="611" t="s">
        <v>192</v>
      </c>
      <c r="C351" s="611" t="s">
        <v>193</v>
      </c>
      <c r="D351" s="645" t="str">
        <f>D$53</f>
        <v>Expenditures</v>
      </c>
      <c r="E351" s="645" t="str">
        <f t="shared" ref="E351:J351" si="91">E$53</f>
        <v>Overheads</v>
      </c>
      <c r="F351" s="645" t="str">
        <f t="shared" si="91"/>
        <v>CWIP Exp</v>
      </c>
      <c r="G351" s="123" t="str">
        <f>G53</f>
        <v>Plant Adds</v>
      </c>
      <c r="H351" s="645" t="str">
        <f t="shared" si="91"/>
        <v>CWIP Closed</v>
      </c>
      <c r="I351" s="645" t="str">
        <f t="shared" si="91"/>
        <v>Closed to PIS</v>
      </c>
      <c r="J351" s="645" t="str">
        <f t="shared" si="91"/>
        <v>Period CWIP</v>
      </c>
      <c r="K351" s="645" t="str">
        <f>K$53</f>
        <v>Incremental CWIP</v>
      </c>
    </row>
    <row r="352" spans="1:11" s="650" customFormat="1" ht="13">
      <c r="A352" s="110">
        <f>A344+1</f>
        <v>263</v>
      </c>
      <c r="B352" s="612" t="s">
        <v>180</v>
      </c>
      <c r="C352" s="613">
        <v>2019</v>
      </c>
      <c r="D352" s="654" t="s">
        <v>76</v>
      </c>
      <c r="E352" s="654" t="s">
        <v>76</v>
      </c>
      <c r="F352" s="654" t="s">
        <v>76</v>
      </c>
      <c r="G352" s="654" t="s">
        <v>76</v>
      </c>
      <c r="H352" s="654" t="s">
        <v>76</v>
      </c>
      <c r="I352" s="654" t="s">
        <v>76</v>
      </c>
      <c r="J352" s="63">
        <f>G45</f>
        <v>21762814.390000001</v>
      </c>
      <c r="K352" s="654" t="s">
        <v>76</v>
      </c>
    </row>
    <row r="353" spans="1:11" s="650" customFormat="1" ht="13">
      <c r="A353" s="110">
        <f>A352+1</f>
        <v>264</v>
      </c>
      <c r="B353" s="612" t="s">
        <v>181</v>
      </c>
      <c r="C353" s="613">
        <v>2020</v>
      </c>
      <c r="D353" s="995">
        <v>129945.71200000001</v>
      </c>
      <c r="E353" s="63">
        <f>D353*'16-PlantAdditions'!$E$103</f>
        <v>9745.9284000000007</v>
      </c>
      <c r="F353" s="63">
        <f>E353+D353</f>
        <v>139691.6404</v>
      </c>
      <c r="G353" s="995">
        <v>0</v>
      </c>
      <c r="H353" s="995">
        <v>0</v>
      </c>
      <c r="I353" s="63">
        <f>(G353-H353)*'16-PlantAdditions'!$E$103</f>
        <v>0</v>
      </c>
      <c r="J353" s="63">
        <f>J352+F353-G353-I353</f>
        <v>21902506.030400001</v>
      </c>
      <c r="K353" s="63">
        <f>J353-$J$352</f>
        <v>139691.64039999992</v>
      </c>
    </row>
    <row r="354" spans="1:11" s="650" customFormat="1" ht="13">
      <c r="A354" s="110">
        <f t="shared" ref="A354:A377" si="92">A353+1</f>
        <v>265</v>
      </c>
      <c r="B354" s="615" t="s">
        <v>182</v>
      </c>
      <c r="C354" s="613">
        <v>2020</v>
      </c>
      <c r="D354" s="995">
        <v>43690.596000000005</v>
      </c>
      <c r="E354" s="63">
        <f>D354*'16-PlantAdditions'!$E$103</f>
        <v>3276.7947000000004</v>
      </c>
      <c r="F354" s="63">
        <f t="shared" ref="F354:F373" si="93">E354+D354</f>
        <v>46967.390700000004</v>
      </c>
      <c r="G354" s="995">
        <v>0</v>
      </c>
      <c r="H354" s="995">
        <v>0</v>
      </c>
      <c r="I354" s="63">
        <f>(G354-H354)*'16-PlantAdditions'!$E$103</f>
        <v>0</v>
      </c>
      <c r="J354" s="63">
        <f t="shared" ref="J354:J373" si="94">J353+F354-G354-I354</f>
        <v>21949473.421100002</v>
      </c>
      <c r="K354" s="63">
        <f t="shared" ref="K354:K376" si="95">J354-$J$352</f>
        <v>186659.03110000119</v>
      </c>
    </row>
    <row r="355" spans="1:11" s="650" customFormat="1" ht="13">
      <c r="A355" s="110">
        <f t="shared" si="92"/>
        <v>266</v>
      </c>
      <c r="B355" s="615" t="s">
        <v>195</v>
      </c>
      <c r="C355" s="613">
        <v>2020</v>
      </c>
      <c r="D355" s="995">
        <v>85275.760000000009</v>
      </c>
      <c r="E355" s="63">
        <f>D355*'16-PlantAdditions'!$E$103</f>
        <v>6395.6820000000007</v>
      </c>
      <c r="F355" s="63">
        <f t="shared" si="93"/>
        <v>91671.44200000001</v>
      </c>
      <c r="G355" s="995">
        <v>0</v>
      </c>
      <c r="H355" s="995">
        <v>0</v>
      </c>
      <c r="I355" s="63">
        <f>(G355-H355)*'16-PlantAdditions'!$E$103</f>
        <v>0</v>
      </c>
      <c r="J355" s="63">
        <f t="shared" si="94"/>
        <v>22041144.863100003</v>
      </c>
      <c r="K355" s="63">
        <f t="shared" si="95"/>
        <v>278330.47310000286</v>
      </c>
    </row>
    <row r="356" spans="1:11" s="650" customFormat="1" ht="13">
      <c r="A356" s="110">
        <f t="shared" si="92"/>
        <v>267</v>
      </c>
      <c r="B356" s="612" t="s">
        <v>183</v>
      </c>
      <c r="C356" s="613">
        <v>2020</v>
      </c>
      <c r="D356" s="995">
        <v>131000</v>
      </c>
      <c r="E356" s="63">
        <f>D356*'16-PlantAdditions'!$E$103</f>
        <v>9825</v>
      </c>
      <c r="F356" s="63">
        <f t="shared" si="93"/>
        <v>140825</v>
      </c>
      <c r="G356" s="995">
        <v>0</v>
      </c>
      <c r="H356" s="995">
        <v>0</v>
      </c>
      <c r="I356" s="63">
        <f>(G356-H356)*'16-PlantAdditions'!$E$103</f>
        <v>0</v>
      </c>
      <c r="J356" s="63">
        <f t="shared" si="94"/>
        <v>22181969.863100003</v>
      </c>
      <c r="K356" s="63">
        <f t="shared" si="95"/>
        <v>419155.47310000286</v>
      </c>
    </row>
    <row r="357" spans="1:11" s="650" customFormat="1" ht="13">
      <c r="A357" s="110">
        <f t="shared" si="92"/>
        <v>268</v>
      </c>
      <c r="B357" s="615" t="s">
        <v>184</v>
      </c>
      <c r="C357" s="613">
        <v>2020</v>
      </c>
      <c r="D357" s="995">
        <v>49654.764000000003</v>
      </c>
      <c r="E357" s="63">
        <f>D357*'16-PlantAdditions'!$E$103</f>
        <v>3724.1073000000001</v>
      </c>
      <c r="F357" s="63">
        <f t="shared" si="93"/>
        <v>53378.871300000006</v>
      </c>
      <c r="G357" s="995">
        <v>0</v>
      </c>
      <c r="H357" s="995">
        <v>0</v>
      </c>
      <c r="I357" s="63">
        <f>(G357-H357)*'16-PlantAdditions'!$E$103</f>
        <v>0</v>
      </c>
      <c r="J357" s="63">
        <f t="shared" si="94"/>
        <v>22235348.734400004</v>
      </c>
      <c r="K357" s="63">
        <f t="shared" si="95"/>
        <v>472534.34440000355</v>
      </c>
    </row>
    <row r="358" spans="1:11" s="650" customFormat="1" ht="13">
      <c r="A358" s="110">
        <f t="shared" si="92"/>
        <v>269</v>
      </c>
      <c r="B358" s="615" t="s">
        <v>1460</v>
      </c>
      <c r="C358" s="613">
        <v>2020</v>
      </c>
      <c r="D358" s="995">
        <v>49654.764000000003</v>
      </c>
      <c r="E358" s="63">
        <f>D358*'16-PlantAdditions'!$E$103</f>
        <v>3724.1073000000001</v>
      </c>
      <c r="F358" s="63">
        <f t="shared" si="93"/>
        <v>53378.871300000006</v>
      </c>
      <c r="G358" s="995">
        <v>0</v>
      </c>
      <c r="H358" s="995">
        <v>0</v>
      </c>
      <c r="I358" s="63">
        <f>(G358-H358)*'16-PlantAdditions'!$E$103</f>
        <v>0</v>
      </c>
      <c r="J358" s="63">
        <f t="shared" si="94"/>
        <v>22288727.605700005</v>
      </c>
      <c r="K358" s="63">
        <f t="shared" si="95"/>
        <v>525913.21570000425</v>
      </c>
    </row>
    <row r="359" spans="1:11" s="650" customFormat="1" ht="13">
      <c r="A359" s="110">
        <f t="shared" si="92"/>
        <v>270</v>
      </c>
      <c r="B359" s="612" t="s">
        <v>186</v>
      </c>
      <c r="C359" s="613">
        <v>2020</v>
      </c>
      <c r="D359" s="995">
        <v>49654.764000000003</v>
      </c>
      <c r="E359" s="63">
        <f>D359*'16-PlantAdditions'!$E$103</f>
        <v>3724.1073000000001</v>
      </c>
      <c r="F359" s="63">
        <f t="shared" si="93"/>
        <v>53378.871300000006</v>
      </c>
      <c r="G359" s="995">
        <v>0</v>
      </c>
      <c r="H359" s="995">
        <v>0</v>
      </c>
      <c r="I359" s="63">
        <f>(G359-H359)*'16-PlantAdditions'!$E$103</f>
        <v>0</v>
      </c>
      <c r="J359" s="63">
        <f t="shared" si="94"/>
        <v>22342106.477000006</v>
      </c>
      <c r="K359" s="63">
        <f t="shared" si="95"/>
        <v>579292.08700000495</v>
      </c>
    </row>
    <row r="360" spans="1:11" s="650" customFormat="1" ht="13">
      <c r="A360" s="110">
        <f t="shared" si="92"/>
        <v>271</v>
      </c>
      <c r="B360" s="615" t="s">
        <v>187</v>
      </c>
      <c r="C360" s="613">
        <v>2020</v>
      </c>
      <c r="D360" s="995">
        <v>33438.536</v>
      </c>
      <c r="E360" s="63">
        <f>D360*'16-PlantAdditions'!$E$103</f>
        <v>2507.8901999999998</v>
      </c>
      <c r="F360" s="63">
        <f t="shared" si="93"/>
        <v>35946.426200000002</v>
      </c>
      <c r="G360" s="995">
        <v>0</v>
      </c>
      <c r="H360" s="995">
        <v>0</v>
      </c>
      <c r="I360" s="63">
        <f>(G360-H360)*'16-PlantAdditions'!$E$103</f>
        <v>0</v>
      </c>
      <c r="J360" s="63">
        <f t="shared" si="94"/>
        <v>22378052.903200004</v>
      </c>
      <c r="K360" s="63">
        <f t="shared" si="95"/>
        <v>615238.51320000365</v>
      </c>
    </row>
    <row r="361" spans="1:11" s="650" customFormat="1" ht="13">
      <c r="A361" s="110">
        <f t="shared" si="92"/>
        <v>272</v>
      </c>
      <c r="B361" s="615" t="s">
        <v>188</v>
      </c>
      <c r="C361" s="613">
        <v>2020</v>
      </c>
      <c r="D361" s="995">
        <v>28694.764000000003</v>
      </c>
      <c r="E361" s="63">
        <f>D361*'16-PlantAdditions'!$E$103</f>
        <v>2152.1073000000001</v>
      </c>
      <c r="F361" s="63">
        <f t="shared" si="93"/>
        <v>30846.871300000003</v>
      </c>
      <c r="G361" s="995">
        <v>0</v>
      </c>
      <c r="H361" s="995">
        <v>0</v>
      </c>
      <c r="I361" s="63">
        <f>(G361-H361)*'16-PlantAdditions'!$E$103</f>
        <v>0</v>
      </c>
      <c r="J361" s="63">
        <f t="shared" si="94"/>
        <v>22408899.774500005</v>
      </c>
      <c r="K361" s="63">
        <f t="shared" si="95"/>
        <v>646085.38450000435</v>
      </c>
    </row>
    <row r="362" spans="1:11" s="650" customFormat="1" ht="13">
      <c r="A362" s="110">
        <f t="shared" si="92"/>
        <v>273</v>
      </c>
      <c r="B362" s="612" t="s">
        <v>191</v>
      </c>
      <c r="C362" s="613">
        <v>2020</v>
      </c>
      <c r="D362" s="995">
        <v>28694.764000000003</v>
      </c>
      <c r="E362" s="63">
        <f>D362*'16-PlantAdditions'!$E$103</f>
        <v>2152.1073000000001</v>
      </c>
      <c r="F362" s="63">
        <f t="shared" si="93"/>
        <v>30846.871300000003</v>
      </c>
      <c r="G362" s="995">
        <v>0</v>
      </c>
      <c r="H362" s="995">
        <v>0</v>
      </c>
      <c r="I362" s="63">
        <f>(G362-H362)*'16-PlantAdditions'!$E$103</f>
        <v>0</v>
      </c>
      <c r="J362" s="63">
        <f t="shared" si="94"/>
        <v>22439746.645800006</v>
      </c>
      <c r="K362" s="63">
        <f t="shared" si="95"/>
        <v>676932.25580000505</v>
      </c>
    </row>
    <row r="363" spans="1:11" s="650" customFormat="1" ht="13">
      <c r="A363" s="110">
        <f t="shared" si="92"/>
        <v>274</v>
      </c>
      <c r="B363" s="612" t="s">
        <v>190</v>
      </c>
      <c r="C363" s="613">
        <v>2020</v>
      </c>
      <c r="D363" s="995">
        <v>23501.4</v>
      </c>
      <c r="E363" s="63">
        <f>D363*'16-PlantAdditions'!$E$103</f>
        <v>1762.605</v>
      </c>
      <c r="F363" s="63">
        <f t="shared" si="93"/>
        <v>25264.005000000001</v>
      </c>
      <c r="G363" s="995">
        <v>0</v>
      </c>
      <c r="H363" s="995">
        <v>0</v>
      </c>
      <c r="I363" s="63">
        <f>(G363-H363)*'16-PlantAdditions'!$E$103</f>
        <v>0</v>
      </c>
      <c r="J363" s="63">
        <f t="shared" si="94"/>
        <v>22465010.650800005</v>
      </c>
      <c r="K363" s="63">
        <f t="shared" si="95"/>
        <v>702196.26080000401</v>
      </c>
    </row>
    <row r="364" spans="1:11" s="650" customFormat="1" ht="13">
      <c r="A364" s="110">
        <f t="shared" si="92"/>
        <v>275</v>
      </c>
      <c r="B364" s="612" t="s">
        <v>180</v>
      </c>
      <c r="C364" s="613">
        <v>2020</v>
      </c>
      <c r="D364" s="995">
        <v>26121.4</v>
      </c>
      <c r="E364" s="63">
        <f>D364*'16-PlantAdditions'!$E$103</f>
        <v>1959.105</v>
      </c>
      <c r="F364" s="63">
        <f t="shared" si="93"/>
        <v>28080.505000000001</v>
      </c>
      <c r="G364" s="995">
        <v>405712.10000000003</v>
      </c>
      <c r="H364" s="995">
        <v>405712.10000000003</v>
      </c>
      <c r="I364" s="63">
        <f>(G364-H364)*'16-PlantAdditions'!$E$103</f>
        <v>0</v>
      </c>
      <c r="J364" s="63">
        <f t="shared" si="94"/>
        <v>22087379.055800002</v>
      </c>
      <c r="K364" s="63">
        <f t="shared" si="95"/>
        <v>324564.66580000147</v>
      </c>
    </row>
    <row r="365" spans="1:11" s="650" customFormat="1" ht="13">
      <c r="A365" s="110">
        <f t="shared" si="92"/>
        <v>276</v>
      </c>
      <c r="B365" s="612" t="s">
        <v>181</v>
      </c>
      <c r="C365" s="613">
        <v>2021</v>
      </c>
      <c r="D365" s="995">
        <v>78600.000000000015</v>
      </c>
      <c r="E365" s="63">
        <f>D365*'16-PlantAdditions'!$E$103</f>
        <v>5895.0000000000009</v>
      </c>
      <c r="F365" s="63">
        <f t="shared" si="93"/>
        <v>84495.000000000015</v>
      </c>
      <c r="G365" s="995">
        <v>0</v>
      </c>
      <c r="H365" s="995">
        <v>0</v>
      </c>
      <c r="I365" s="63">
        <f>(G365-H365)*'16-PlantAdditions'!$E$103</f>
        <v>0</v>
      </c>
      <c r="J365" s="63">
        <f t="shared" si="94"/>
        <v>22171874.055800002</v>
      </c>
      <c r="K365" s="63">
        <f t="shared" si="95"/>
        <v>409059.66580000147</v>
      </c>
    </row>
    <row r="366" spans="1:11" s="650" customFormat="1" ht="13">
      <c r="A366" s="110">
        <f t="shared" si="92"/>
        <v>277</v>
      </c>
      <c r="B366" s="615" t="s">
        <v>182</v>
      </c>
      <c r="C366" s="613">
        <v>2021</v>
      </c>
      <c r="D366" s="995">
        <v>78600.000000000015</v>
      </c>
      <c r="E366" s="63">
        <f>D366*'16-PlantAdditions'!$E$103</f>
        <v>5895.0000000000009</v>
      </c>
      <c r="F366" s="63">
        <f t="shared" si="93"/>
        <v>84495.000000000015</v>
      </c>
      <c r="G366" s="995">
        <v>0</v>
      </c>
      <c r="H366" s="995">
        <v>0</v>
      </c>
      <c r="I366" s="63">
        <f>(G366-H366)*'16-PlantAdditions'!$E$103</f>
        <v>0</v>
      </c>
      <c r="J366" s="63">
        <f t="shared" si="94"/>
        <v>22256369.055800002</v>
      </c>
      <c r="K366" s="63">
        <f t="shared" si="95"/>
        <v>493554.66580000147</v>
      </c>
    </row>
    <row r="367" spans="1:11" s="650" customFormat="1" ht="13">
      <c r="A367" s="110">
        <f t="shared" si="92"/>
        <v>278</v>
      </c>
      <c r="B367" s="615" t="s">
        <v>195</v>
      </c>
      <c r="C367" s="613">
        <v>2021</v>
      </c>
      <c r="D367" s="995">
        <v>78600.000000000015</v>
      </c>
      <c r="E367" s="63">
        <f>D367*'16-PlantAdditions'!$E$103</f>
        <v>5895.0000000000009</v>
      </c>
      <c r="F367" s="63">
        <f t="shared" si="93"/>
        <v>84495.000000000015</v>
      </c>
      <c r="G367" s="995">
        <v>0</v>
      </c>
      <c r="H367" s="995">
        <v>0</v>
      </c>
      <c r="I367" s="63">
        <f>(G367-H367)*'16-PlantAdditions'!$E$103</f>
        <v>0</v>
      </c>
      <c r="J367" s="63">
        <f t="shared" si="94"/>
        <v>22340864.055800002</v>
      </c>
      <c r="K367" s="63">
        <f t="shared" si="95"/>
        <v>578049.66580000147</v>
      </c>
    </row>
    <row r="368" spans="1:11" s="650" customFormat="1" ht="13">
      <c r="A368" s="110">
        <f t="shared" si="92"/>
        <v>279</v>
      </c>
      <c r="B368" s="612" t="s">
        <v>183</v>
      </c>
      <c r="C368" s="613">
        <v>2021</v>
      </c>
      <c r="D368" s="995">
        <v>78600.000000000015</v>
      </c>
      <c r="E368" s="63">
        <f>D368*'16-PlantAdditions'!$E$103</f>
        <v>5895.0000000000009</v>
      </c>
      <c r="F368" s="63">
        <f t="shared" si="93"/>
        <v>84495.000000000015</v>
      </c>
      <c r="G368" s="995">
        <v>0</v>
      </c>
      <c r="H368" s="995">
        <v>0</v>
      </c>
      <c r="I368" s="63">
        <f>(G368-H368)*'16-PlantAdditions'!$E$103</f>
        <v>0</v>
      </c>
      <c r="J368" s="63">
        <f t="shared" si="94"/>
        <v>22425359.055800002</v>
      </c>
      <c r="K368" s="63">
        <f t="shared" si="95"/>
        <v>662544.66580000147</v>
      </c>
    </row>
    <row r="369" spans="1:11" s="650" customFormat="1" ht="13">
      <c r="A369" s="110">
        <f t="shared" si="92"/>
        <v>280</v>
      </c>
      <c r="B369" s="615" t="s">
        <v>184</v>
      </c>
      <c r="C369" s="613">
        <v>2021</v>
      </c>
      <c r="D369" s="995">
        <v>78600.000000000015</v>
      </c>
      <c r="E369" s="63">
        <f>D369*'16-PlantAdditions'!$E$103</f>
        <v>5895.0000000000009</v>
      </c>
      <c r="F369" s="63">
        <f t="shared" si="93"/>
        <v>84495.000000000015</v>
      </c>
      <c r="G369" s="995">
        <v>0</v>
      </c>
      <c r="H369" s="995">
        <v>0</v>
      </c>
      <c r="I369" s="63">
        <f>(G369-H369)*'16-PlantAdditions'!$E$103</f>
        <v>0</v>
      </c>
      <c r="J369" s="63">
        <f t="shared" si="94"/>
        <v>22509854.055800002</v>
      </c>
      <c r="K369" s="63">
        <f t="shared" si="95"/>
        <v>747039.66580000147</v>
      </c>
    </row>
    <row r="370" spans="1:11" s="650" customFormat="1" ht="13">
      <c r="A370" s="110">
        <f t="shared" si="92"/>
        <v>281</v>
      </c>
      <c r="B370" s="615" t="s">
        <v>1460</v>
      </c>
      <c r="C370" s="613">
        <v>2021</v>
      </c>
      <c r="D370" s="995">
        <v>78600.000000000015</v>
      </c>
      <c r="E370" s="63">
        <f>D370*'16-PlantAdditions'!$E$103</f>
        <v>5895.0000000000009</v>
      </c>
      <c r="F370" s="63">
        <f t="shared" si="93"/>
        <v>84495.000000000015</v>
      </c>
      <c r="G370" s="995">
        <v>0</v>
      </c>
      <c r="H370" s="995">
        <v>0</v>
      </c>
      <c r="I370" s="63">
        <f>(G370-H370)*'16-PlantAdditions'!$E$103</f>
        <v>0</v>
      </c>
      <c r="J370" s="63">
        <f t="shared" si="94"/>
        <v>22594349.055800002</v>
      </c>
      <c r="K370" s="63">
        <f t="shared" si="95"/>
        <v>831534.66580000147</v>
      </c>
    </row>
    <row r="371" spans="1:11" s="650" customFormat="1" ht="13">
      <c r="A371" s="110">
        <f t="shared" si="92"/>
        <v>282</v>
      </c>
      <c r="B371" s="612" t="s">
        <v>186</v>
      </c>
      <c r="C371" s="613">
        <v>2021</v>
      </c>
      <c r="D371" s="995">
        <v>78600.000000000015</v>
      </c>
      <c r="E371" s="63">
        <f>D371*'16-PlantAdditions'!$E$103</f>
        <v>5895.0000000000009</v>
      </c>
      <c r="F371" s="63">
        <f t="shared" si="93"/>
        <v>84495.000000000015</v>
      </c>
      <c r="G371" s="995">
        <v>0</v>
      </c>
      <c r="H371" s="995">
        <v>0</v>
      </c>
      <c r="I371" s="63">
        <f>(G371-H371)*'16-PlantAdditions'!$E$103</f>
        <v>0</v>
      </c>
      <c r="J371" s="63">
        <f t="shared" si="94"/>
        <v>22678844.055800002</v>
      </c>
      <c r="K371" s="63">
        <f t="shared" si="95"/>
        <v>916029.66580000147</v>
      </c>
    </row>
    <row r="372" spans="1:11" s="650" customFormat="1" ht="13">
      <c r="A372" s="110">
        <f t="shared" si="92"/>
        <v>283</v>
      </c>
      <c r="B372" s="615" t="s">
        <v>187</v>
      </c>
      <c r="C372" s="613">
        <v>2021</v>
      </c>
      <c r="D372" s="995">
        <v>78600.000000000015</v>
      </c>
      <c r="E372" s="63">
        <f>D372*'16-PlantAdditions'!$E$103</f>
        <v>5895.0000000000009</v>
      </c>
      <c r="F372" s="63">
        <f t="shared" si="93"/>
        <v>84495.000000000015</v>
      </c>
      <c r="G372" s="995">
        <v>0</v>
      </c>
      <c r="H372" s="995">
        <v>0</v>
      </c>
      <c r="I372" s="63">
        <f>(G372-H372)*'16-PlantAdditions'!$E$103</f>
        <v>0</v>
      </c>
      <c r="J372" s="63">
        <f t="shared" si="94"/>
        <v>22763339.055800002</v>
      </c>
      <c r="K372" s="63">
        <f t="shared" si="95"/>
        <v>1000524.6658000015</v>
      </c>
    </row>
    <row r="373" spans="1:11" s="650" customFormat="1" ht="13">
      <c r="A373" s="110">
        <f t="shared" si="92"/>
        <v>284</v>
      </c>
      <c r="B373" s="615" t="s">
        <v>188</v>
      </c>
      <c r="C373" s="613">
        <v>2021</v>
      </c>
      <c r="D373" s="995">
        <v>78600.000000000015</v>
      </c>
      <c r="E373" s="63">
        <f>D373*'16-PlantAdditions'!$E$103</f>
        <v>5895.0000000000009</v>
      </c>
      <c r="F373" s="63">
        <f t="shared" si="93"/>
        <v>84495.000000000015</v>
      </c>
      <c r="G373" s="995">
        <v>0</v>
      </c>
      <c r="H373" s="995">
        <v>0</v>
      </c>
      <c r="I373" s="63">
        <f>(G373-H373)*'16-PlantAdditions'!$E$103</f>
        <v>0</v>
      </c>
      <c r="J373" s="63">
        <f t="shared" si="94"/>
        <v>22847834.055800002</v>
      </c>
      <c r="K373" s="63">
        <f t="shared" si="95"/>
        <v>1085019.6658000015</v>
      </c>
    </row>
    <row r="374" spans="1:11" s="650" customFormat="1" ht="13">
      <c r="A374" s="110">
        <f t="shared" si="92"/>
        <v>285</v>
      </c>
      <c r="B374" s="615" t="s">
        <v>191</v>
      </c>
      <c r="C374" s="613">
        <v>2021</v>
      </c>
      <c r="D374" s="995">
        <v>78600.000000000015</v>
      </c>
      <c r="E374" s="63">
        <f>D374*'16-PlantAdditions'!$E$103</f>
        <v>5895.0000000000009</v>
      </c>
      <c r="F374" s="63">
        <f t="shared" ref="F374:F376" si="96">E374+D374</f>
        <v>84495.000000000015</v>
      </c>
      <c r="G374" s="995">
        <v>0</v>
      </c>
      <c r="H374" s="995">
        <v>0</v>
      </c>
      <c r="I374" s="63">
        <f>(G374-H374)*'16-PlantAdditions'!$E$103</f>
        <v>0</v>
      </c>
      <c r="J374" s="63">
        <f t="shared" ref="J374:J376" si="97">J373+F374-G374-I374</f>
        <v>22932329.055800002</v>
      </c>
      <c r="K374" s="63">
        <f t="shared" si="95"/>
        <v>1169514.6658000015</v>
      </c>
    </row>
    <row r="375" spans="1:11" s="650" customFormat="1" ht="13">
      <c r="A375" s="110">
        <f t="shared" si="92"/>
        <v>286</v>
      </c>
      <c r="B375" s="615" t="s">
        <v>190</v>
      </c>
      <c r="C375" s="613">
        <v>2021</v>
      </c>
      <c r="D375" s="995">
        <v>78600.000000000015</v>
      </c>
      <c r="E375" s="63">
        <f>D375*'16-PlantAdditions'!$E$103</f>
        <v>5895.0000000000009</v>
      </c>
      <c r="F375" s="63">
        <f t="shared" si="96"/>
        <v>84495.000000000015</v>
      </c>
      <c r="G375" s="995">
        <v>0</v>
      </c>
      <c r="H375" s="995">
        <v>0</v>
      </c>
      <c r="I375" s="63">
        <f>(G375-H375)*'16-PlantAdditions'!$E$103</f>
        <v>0</v>
      </c>
      <c r="J375" s="63">
        <f t="shared" si="97"/>
        <v>23016824.055800002</v>
      </c>
      <c r="K375" s="63">
        <f t="shared" si="95"/>
        <v>1254009.6658000015</v>
      </c>
    </row>
    <row r="376" spans="1:11" s="650" customFormat="1" ht="13">
      <c r="A376" s="110">
        <f t="shared" si="92"/>
        <v>287</v>
      </c>
      <c r="B376" s="615" t="s">
        <v>180</v>
      </c>
      <c r="C376" s="613">
        <v>2021</v>
      </c>
      <c r="D376" s="995">
        <v>78600.000000000015</v>
      </c>
      <c r="E376" s="63">
        <f>D376*'16-PlantAdditions'!$E$103</f>
        <v>5895.0000000000009</v>
      </c>
      <c r="F376" s="63">
        <f t="shared" si="96"/>
        <v>84495.000000000015</v>
      </c>
      <c r="G376" s="995">
        <v>0</v>
      </c>
      <c r="H376" s="995">
        <v>0</v>
      </c>
      <c r="I376" s="63">
        <f>(G376-H376)*'16-PlantAdditions'!$E$103</f>
        <v>0</v>
      </c>
      <c r="J376" s="63">
        <f t="shared" si="97"/>
        <v>23101319.055800002</v>
      </c>
      <c r="K376" s="784">
        <f t="shared" si="95"/>
        <v>1338504.6658000015</v>
      </c>
    </row>
    <row r="377" spans="1:11" s="650" customFormat="1" ht="13">
      <c r="A377" s="110">
        <f t="shared" si="92"/>
        <v>288</v>
      </c>
      <c r="B377"/>
      <c r="C377" s="649" t="s">
        <v>1605</v>
      </c>
      <c r="D377"/>
      <c r="E377"/>
      <c r="F377"/>
      <c r="G377"/>
      <c r="H377"/>
      <c r="I377"/>
      <c r="J377"/>
      <c r="K377" s="73">
        <f>AVERAGE(K364:K376)</f>
        <v>831534.66580000147</v>
      </c>
    </row>
    <row r="378" spans="1:11" s="650" customFormat="1" ht="13">
      <c r="A378" s="110"/>
      <c r="B378"/>
      <c r="C378" s="649"/>
      <c r="D378"/>
      <c r="E378"/>
      <c r="F378"/>
      <c r="G378"/>
      <c r="H378"/>
      <c r="I378"/>
      <c r="J378"/>
      <c r="K378" s="73"/>
    </row>
    <row r="379" spans="1:11" s="650" customFormat="1" ht="13">
      <c r="B379" s="651" t="s">
        <v>1941</v>
      </c>
      <c r="D379" s="1469" t="s">
        <v>2427</v>
      </c>
      <c r="E379" s="1469"/>
      <c r="F379" s="1467"/>
      <c r="G379" s="1467"/>
    </row>
    <row r="380" spans="1:11" s="650" customFormat="1" ht="13">
      <c r="A380" s="645"/>
      <c r="B380" s="645"/>
      <c r="C380" s="645"/>
      <c r="D380" s="645" t="s">
        <v>358</v>
      </c>
      <c r="E380" s="645" t="s">
        <v>342</v>
      </c>
      <c r="F380" s="645" t="s">
        <v>343</v>
      </c>
      <c r="G380" s="645" t="s">
        <v>344</v>
      </c>
      <c r="H380" s="645" t="s">
        <v>345</v>
      </c>
      <c r="I380" s="645" t="s">
        <v>346</v>
      </c>
      <c r="J380" s="645" t="s">
        <v>347</v>
      </c>
      <c r="K380" s="645" t="s">
        <v>534</v>
      </c>
    </row>
    <row r="381" spans="1:11" s="650" customFormat="1" ht="25.5">
      <c r="D381" s="652"/>
      <c r="E381" s="653" t="s">
        <v>2064</v>
      </c>
      <c r="F381" s="654" t="s">
        <v>1929</v>
      </c>
      <c r="G381" s="529"/>
      <c r="H381" s="652"/>
      <c r="I381" s="653" t="s">
        <v>2065</v>
      </c>
      <c r="J381" s="653" t="s">
        <v>1930</v>
      </c>
      <c r="K381" s="653" t="s">
        <v>1931</v>
      </c>
    </row>
    <row r="382" spans="1:11" s="650" customFormat="1" ht="13">
      <c r="D382" s="652"/>
      <c r="E382" s="653"/>
      <c r="F382" s="654"/>
      <c r="G382" s="861" t="str">
        <f>G51</f>
        <v>Unloaded</v>
      </c>
      <c r="H382" s="652"/>
      <c r="I382" s="653"/>
      <c r="J382" s="653"/>
      <c r="K382" s="653"/>
    </row>
    <row r="383" spans="1:11" s="650" customFormat="1" ht="13">
      <c r="A383" s="647"/>
      <c r="B383" s="647"/>
      <c r="C383" s="647"/>
      <c r="D383" s="647" t="str">
        <f>D$52</f>
        <v>Forecast</v>
      </c>
      <c r="E383" s="647" t="str">
        <f t="shared" ref="E383:J383" si="98">E$52</f>
        <v>Corporate</v>
      </c>
      <c r="F383" s="647" t="str">
        <f t="shared" si="98"/>
        <v xml:space="preserve">Total </v>
      </c>
      <c r="G383" s="4" t="str">
        <f>G52</f>
        <v>Total</v>
      </c>
      <c r="H383" s="647" t="str">
        <f t="shared" si="98"/>
        <v>Prior Period</v>
      </c>
      <c r="I383" s="647" t="str">
        <f t="shared" si="98"/>
        <v>Over Heads</v>
      </c>
      <c r="J383" s="647" t="str">
        <f t="shared" si="98"/>
        <v>Forecast</v>
      </c>
      <c r="K383" s="647" t="str">
        <f>K$52</f>
        <v>Forecast Period</v>
      </c>
    </row>
    <row r="384" spans="1:11" s="650" customFormat="1" ht="13">
      <c r="A384" s="840" t="s">
        <v>329</v>
      </c>
      <c r="B384" s="611" t="s">
        <v>192</v>
      </c>
      <c r="C384" s="611" t="s">
        <v>193</v>
      </c>
      <c r="D384" s="645" t="str">
        <f>D$53</f>
        <v>Expenditures</v>
      </c>
      <c r="E384" s="645" t="str">
        <f t="shared" ref="E384:J384" si="99">E$53</f>
        <v>Overheads</v>
      </c>
      <c r="F384" s="645" t="str">
        <f t="shared" si="99"/>
        <v>CWIP Exp</v>
      </c>
      <c r="G384" s="84" t="str">
        <f>G53</f>
        <v>Plant Adds</v>
      </c>
      <c r="H384" s="645" t="str">
        <f t="shared" si="99"/>
        <v>CWIP Closed</v>
      </c>
      <c r="I384" s="645" t="str">
        <f t="shared" si="99"/>
        <v>Closed to PIS</v>
      </c>
      <c r="J384" s="645" t="str">
        <f t="shared" si="99"/>
        <v>Period CWIP</v>
      </c>
      <c r="K384" s="645" t="str">
        <f>K$53</f>
        <v>Incremental CWIP</v>
      </c>
    </row>
    <row r="385" spans="1:11" s="650" customFormat="1" ht="13">
      <c r="A385" s="110">
        <f>A377+1</f>
        <v>289</v>
      </c>
      <c r="B385" s="612" t="s">
        <v>180</v>
      </c>
      <c r="C385" s="613">
        <v>2019</v>
      </c>
      <c r="D385" s="654" t="s">
        <v>76</v>
      </c>
      <c r="E385" s="654" t="s">
        <v>76</v>
      </c>
      <c r="F385" s="654" t="s">
        <v>76</v>
      </c>
      <c r="G385" s="654" t="s">
        <v>76</v>
      </c>
      <c r="H385" s="654" t="s">
        <v>76</v>
      </c>
      <c r="I385" s="654" t="s">
        <v>76</v>
      </c>
      <c r="J385" s="63">
        <f>H45</f>
        <v>101708198.75</v>
      </c>
      <c r="K385" s="654" t="s">
        <v>76</v>
      </c>
    </row>
    <row r="386" spans="1:11" s="650" customFormat="1" ht="13">
      <c r="A386" s="110">
        <f>A385+1</f>
        <v>290</v>
      </c>
      <c r="B386" s="612" t="s">
        <v>181</v>
      </c>
      <c r="C386" s="613">
        <v>2020</v>
      </c>
      <c r="D386" s="107">
        <v>1661503</v>
      </c>
      <c r="E386" s="63">
        <f>D386*'16-PlantAdditions'!$E$103</f>
        <v>124612.72499999999</v>
      </c>
      <c r="F386" s="63">
        <f>E386+D386</f>
        <v>1786115.7250000001</v>
      </c>
      <c r="G386" s="995">
        <v>0</v>
      </c>
      <c r="H386" s="995">
        <v>0</v>
      </c>
      <c r="I386" s="63">
        <f>(G386-H386)*'16-PlantAdditions'!$E$103</f>
        <v>0</v>
      </c>
      <c r="J386" s="63">
        <f>J385+F386-G386-I386</f>
        <v>103494314.47499999</v>
      </c>
      <c r="K386" s="63">
        <f>J386-$J$385</f>
        <v>1786115.724999994</v>
      </c>
    </row>
    <row r="387" spans="1:11" s="650" customFormat="1" ht="13">
      <c r="A387" s="110">
        <f t="shared" ref="A387:A410" si="100">A386+1</f>
        <v>291</v>
      </c>
      <c r="B387" s="615" t="s">
        <v>182</v>
      </c>
      <c r="C387" s="613">
        <v>2020</v>
      </c>
      <c r="D387" s="995">
        <v>1061915</v>
      </c>
      <c r="E387" s="63">
        <f>D387*'16-PlantAdditions'!$E$103</f>
        <v>79643.625</v>
      </c>
      <c r="F387" s="63">
        <f>E387+D387</f>
        <v>1141558.625</v>
      </c>
      <c r="G387" s="995">
        <v>0</v>
      </c>
      <c r="H387" s="995">
        <v>0</v>
      </c>
      <c r="I387" s="63">
        <f>(G387-H387)*'16-PlantAdditions'!$E$103</f>
        <v>0</v>
      </c>
      <c r="J387" s="63">
        <f t="shared" ref="J387:J406" si="101">J386+F387-G387-I387</f>
        <v>104635873.09999999</v>
      </c>
      <c r="K387" s="63">
        <f t="shared" ref="K387:K409" si="102">J387-$J$385</f>
        <v>2927674.349999994</v>
      </c>
    </row>
    <row r="388" spans="1:11" s="650" customFormat="1" ht="13">
      <c r="A388" s="110">
        <f t="shared" si="100"/>
        <v>292</v>
      </c>
      <c r="B388" s="615" t="s">
        <v>195</v>
      </c>
      <c r="C388" s="613">
        <v>2020</v>
      </c>
      <c r="D388" s="995">
        <v>670728</v>
      </c>
      <c r="E388" s="63">
        <f>D388*'16-PlantAdditions'!$E$103</f>
        <v>50304.6</v>
      </c>
      <c r="F388" s="63">
        <f t="shared" ref="F388:F406" si="103">E388+D388</f>
        <v>721032.6</v>
      </c>
      <c r="G388" s="995">
        <v>0</v>
      </c>
      <c r="H388" s="995">
        <v>0</v>
      </c>
      <c r="I388" s="63">
        <f>(G388-H388)*'16-PlantAdditions'!$E$103</f>
        <v>0</v>
      </c>
      <c r="J388" s="63">
        <f t="shared" si="101"/>
        <v>105356905.69999999</v>
      </c>
      <c r="K388" s="63">
        <f t="shared" si="102"/>
        <v>3648706.9499999881</v>
      </c>
    </row>
    <row r="389" spans="1:11" s="650" customFormat="1" ht="13">
      <c r="A389" s="110">
        <f t="shared" si="100"/>
        <v>293</v>
      </c>
      <c r="B389" s="612" t="s">
        <v>183</v>
      </c>
      <c r="C389" s="613">
        <v>2020</v>
      </c>
      <c r="D389" s="995">
        <v>2266628</v>
      </c>
      <c r="E389" s="63">
        <f>D389*'16-PlantAdditions'!$E$103</f>
        <v>169997.1</v>
      </c>
      <c r="F389" s="63">
        <f t="shared" si="103"/>
        <v>2436625.1</v>
      </c>
      <c r="G389" s="995">
        <v>0</v>
      </c>
      <c r="H389" s="995">
        <v>0</v>
      </c>
      <c r="I389" s="63">
        <f>(G389-H389)*'16-PlantAdditions'!$E$103</f>
        <v>0</v>
      </c>
      <c r="J389" s="63">
        <f t="shared" si="101"/>
        <v>107793530.79999998</v>
      </c>
      <c r="K389" s="63">
        <f t="shared" si="102"/>
        <v>6085332.0499999821</v>
      </c>
    </row>
    <row r="390" spans="1:11" s="650" customFormat="1" ht="13">
      <c r="A390" s="110">
        <f t="shared" si="100"/>
        <v>294</v>
      </c>
      <c r="B390" s="615" t="s">
        <v>184</v>
      </c>
      <c r="C390" s="613">
        <v>2020</v>
      </c>
      <c r="D390" s="995">
        <v>2758756.9999999995</v>
      </c>
      <c r="E390" s="63">
        <f>D390*'16-PlantAdditions'!$E$103</f>
        <v>206906.77499999997</v>
      </c>
      <c r="F390" s="63">
        <f t="shared" si="103"/>
        <v>2965663.7749999994</v>
      </c>
      <c r="G390" s="995">
        <v>0</v>
      </c>
      <c r="H390" s="995">
        <v>0</v>
      </c>
      <c r="I390" s="63">
        <f>(G390-H390)*'16-PlantAdditions'!$E$103</f>
        <v>0</v>
      </c>
      <c r="J390" s="63">
        <f t="shared" si="101"/>
        <v>110759194.57499999</v>
      </c>
      <c r="K390" s="63">
        <f t="shared" si="102"/>
        <v>9050995.8249999881</v>
      </c>
    </row>
    <row r="391" spans="1:11" s="650" customFormat="1" ht="13">
      <c r="A391" s="110">
        <f t="shared" si="100"/>
        <v>295</v>
      </c>
      <c r="B391" s="615" t="s">
        <v>1460</v>
      </c>
      <c r="C391" s="613">
        <v>2020</v>
      </c>
      <c r="D391" s="995">
        <v>2092027</v>
      </c>
      <c r="E391" s="63">
        <f>D391*'16-PlantAdditions'!$E$103</f>
        <v>156902.02499999999</v>
      </c>
      <c r="F391" s="63">
        <f t="shared" si="103"/>
        <v>2248929.0249999999</v>
      </c>
      <c r="G391" s="995">
        <v>0</v>
      </c>
      <c r="H391" s="995">
        <v>0</v>
      </c>
      <c r="I391" s="63">
        <f>(G391-H391)*'16-PlantAdditions'!$E$103</f>
        <v>0</v>
      </c>
      <c r="J391" s="63">
        <f t="shared" si="101"/>
        <v>113008123.59999999</v>
      </c>
      <c r="K391" s="63">
        <f t="shared" si="102"/>
        <v>11299924.849999994</v>
      </c>
    </row>
    <row r="392" spans="1:11" s="650" customFormat="1" ht="13">
      <c r="A392" s="110">
        <f t="shared" si="100"/>
        <v>296</v>
      </c>
      <c r="B392" s="612" t="s">
        <v>186</v>
      </c>
      <c r="C392" s="613">
        <v>2020</v>
      </c>
      <c r="D392" s="995">
        <v>4568940.0000000009</v>
      </c>
      <c r="E392" s="63">
        <f>D392*'16-PlantAdditions'!$E$103</f>
        <v>342670.50000000006</v>
      </c>
      <c r="F392" s="63">
        <f t="shared" si="103"/>
        <v>4911610.5000000009</v>
      </c>
      <c r="G392" s="995">
        <v>0</v>
      </c>
      <c r="H392" s="995">
        <v>0</v>
      </c>
      <c r="I392" s="63">
        <f>(G392-H392)*'16-PlantAdditions'!$E$103</f>
        <v>0</v>
      </c>
      <c r="J392" s="63">
        <f t="shared" si="101"/>
        <v>117919734.09999999</v>
      </c>
      <c r="K392" s="63">
        <f t="shared" si="102"/>
        <v>16211535.349999994</v>
      </c>
    </row>
    <row r="393" spans="1:11" s="650" customFormat="1" ht="13">
      <c r="A393" s="110">
        <f t="shared" si="100"/>
        <v>297</v>
      </c>
      <c r="B393" s="615" t="s">
        <v>187</v>
      </c>
      <c r="C393" s="613">
        <v>2020</v>
      </c>
      <c r="D393" s="995">
        <v>6102128.0000000009</v>
      </c>
      <c r="E393" s="63">
        <f>D393*'16-PlantAdditions'!$E$103</f>
        <v>457659.60000000003</v>
      </c>
      <c r="F393" s="63">
        <f t="shared" si="103"/>
        <v>6559787.6000000006</v>
      </c>
      <c r="G393" s="995">
        <v>0</v>
      </c>
      <c r="H393" s="995">
        <v>0</v>
      </c>
      <c r="I393" s="63">
        <f>(G393-H393)*'16-PlantAdditions'!$E$103</f>
        <v>0</v>
      </c>
      <c r="J393" s="63">
        <f t="shared" si="101"/>
        <v>124479521.69999999</v>
      </c>
      <c r="K393" s="63">
        <f t="shared" si="102"/>
        <v>22771322.949999988</v>
      </c>
    </row>
    <row r="394" spans="1:11" s="650" customFormat="1" ht="13">
      <c r="A394" s="110">
        <f t="shared" si="100"/>
        <v>298</v>
      </c>
      <c r="B394" s="615" t="s">
        <v>188</v>
      </c>
      <c r="C394" s="613">
        <v>2020</v>
      </c>
      <c r="D394" s="995">
        <v>1871455</v>
      </c>
      <c r="E394" s="63">
        <f>D394*'16-PlantAdditions'!$E$103</f>
        <v>140359.125</v>
      </c>
      <c r="F394" s="63">
        <f t="shared" si="103"/>
        <v>2011814.125</v>
      </c>
      <c r="G394" s="995">
        <v>0</v>
      </c>
      <c r="H394" s="995">
        <v>0</v>
      </c>
      <c r="I394" s="63">
        <f>(G394-H394)*'16-PlantAdditions'!$E$103</f>
        <v>0</v>
      </c>
      <c r="J394" s="63">
        <f t="shared" si="101"/>
        <v>126491335.82499999</v>
      </c>
      <c r="K394" s="63">
        <f t="shared" si="102"/>
        <v>24783137.074999988</v>
      </c>
    </row>
    <row r="395" spans="1:11" s="650" customFormat="1" ht="13">
      <c r="A395" s="110">
        <f t="shared" si="100"/>
        <v>299</v>
      </c>
      <c r="B395" s="612" t="s">
        <v>191</v>
      </c>
      <c r="C395" s="613">
        <v>2020</v>
      </c>
      <c r="D395" s="995">
        <v>5341555.0000000009</v>
      </c>
      <c r="E395" s="63">
        <f>D395*'16-PlantAdditions'!$E$103</f>
        <v>400616.62500000006</v>
      </c>
      <c r="F395" s="63">
        <f t="shared" si="103"/>
        <v>5742171.6250000009</v>
      </c>
      <c r="G395" s="995">
        <v>20943698.879999995</v>
      </c>
      <c r="H395" s="995">
        <v>17136385.879999999</v>
      </c>
      <c r="I395" s="63">
        <f>(G395-H395)*'16-PlantAdditions'!$E$103</f>
        <v>285548.47499999969</v>
      </c>
      <c r="J395" s="63">
        <f t="shared" si="101"/>
        <v>111004260.095</v>
      </c>
      <c r="K395" s="63">
        <f t="shared" si="102"/>
        <v>9296061.3449999988</v>
      </c>
    </row>
    <row r="396" spans="1:11" s="650" customFormat="1" ht="13">
      <c r="A396" s="110">
        <f t="shared" si="100"/>
        <v>300</v>
      </c>
      <c r="B396" s="612" t="s">
        <v>190</v>
      </c>
      <c r="C396" s="613">
        <v>2020</v>
      </c>
      <c r="D396" s="995">
        <v>2638971.9999999995</v>
      </c>
      <c r="E396" s="63">
        <f>D396*'16-PlantAdditions'!$E$103</f>
        <v>197922.89999999997</v>
      </c>
      <c r="F396" s="63">
        <f t="shared" si="103"/>
        <v>2836894.8999999994</v>
      </c>
      <c r="G396" s="995">
        <v>268000</v>
      </c>
      <c r="H396" s="995">
        <v>0</v>
      </c>
      <c r="I396" s="63">
        <f>(G396-H396)*'16-PlantAdditions'!$E$103</f>
        <v>20100</v>
      </c>
      <c r="J396" s="63">
        <f t="shared" si="101"/>
        <v>113553054.995</v>
      </c>
      <c r="K396" s="63">
        <f t="shared" si="102"/>
        <v>11844856.245000005</v>
      </c>
    </row>
    <row r="397" spans="1:11" s="650" customFormat="1" ht="13">
      <c r="A397" s="110">
        <f t="shared" si="100"/>
        <v>301</v>
      </c>
      <c r="B397" s="612" t="s">
        <v>180</v>
      </c>
      <c r="C397" s="613">
        <v>2020</v>
      </c>
      <c r="D397" s="995">
        <v>3979392</v>
      </c>
      <c r="E397" s="63">
        <f>D397*'16-PlantAdditions'!$E$103</f>
        <v>298454.39999999997</v>
      </c>
      <c r="F397" s="63">
        <f t="shared" si="103"/>
        <v>4277846.4000000004</v>
      </c>
      <c r="G397" s="995">
        <v>303687</v>
      </c>
      <c r="H397" s="995">
        <v>0</v>
      </c>
      <c r="I397" s="63">
        <f>(G397-H397)*'16-PlantAdditions'!$E$103</f>
        <v>22776.524999999998</v>
      </c>
      <c r="J397" s="63">
        <f t="shared" si="101"/>
        <v>117504437.87</v>
      </c>
      <c r="K397" s="63">
        <f t="shared" si="102"/>
        <v>15796239.120000005</v>
      </c>
    </row>
    <row r="398" spans="1:11" s="650" customFormat="1" ht="13">
      <c r="A398" s="110">
        <f t="shared" si="100"/>
        <v>302</v>
      </c>
      <c r="B398" s="612" t="s">
        <v>181</v>
      </c>
      <c r="C398" s="613">
        <v>2021</v>
      </c>
      <c r="D398" s="995">
        <v>2465000</v>
      </c>
      <c r="E398" s="63">
        <f>D398*'16-PlantAdditions'!$E$103</f>
        <v>184875</v>
      </c>
      <c r="F398" s="63">
        <f t="shared" si="103"/>
        <v>2649875</v>
      </c>
      <c r="G398" s="995">
        <v>635000</v>
      </c>
      <c r="H398" s="995">
        <v>0</v>
      </c>
      <c r="I398" s="63">
        <f>(G398-H398)*'16-PlantAdditions'!$E$103</f>
        <v>47625</v>
      </c>
      <c r="J398" s="63">
        <f t="shared" si="101"/>
        <v>119471687.87</v>
      </c>
      <c r="K398" s="63">
        <f t="shared" si="102"/>
        <v>17763489.120000005</v>
      </c>
    </row>
    <row r="399" spans="1:11" s="650" customFormat="1" ht="13">
      <c r="A399" s="110">
        <f t="shared" si="100"/>
        <v>303</v>
      </c>
      <c r="B399" s="615" t="s">
        <v>182</v>
      </c>
      <c r="C399" s="613">
        <v>2021</v>
      </c>
      <c r="D399" s="995">
        <v>2980000</v>
      </c>
      <c r="E399" s="63">
        <f>D399*'16-PlantAdditions'!$E$103</f>
        <v>223500</v>
      </c>
      <c r="F399" s="63">
        <f t="shared" si="103"/>
        <v>3203500</v>
      </c>
      <c r="G399" s="995">
        <v>151000</v>
      </c>
      <c r="H399" s="995">
        <v>0</v>
      </c>
      <c r="I399" s="63">
        <f>(G399-H399)*'16-PlantAdditions'!$E$103</f>
        <v>11325</v>
      </c>
      <c r="J399" s="63">
        <f t="shared" si="101"/>
        <v>122512862.87</v>
      </c>
      <c r="K399" s="63">
        <f t="shared" si="102"/>
        <v>20804664.120000005</v>
      </c>
    </row>
    <row r="400" spans="1:11" s="650" customFormat="1" ht="13">
      <c r="A400" s="110">
        <f t="shared" si="100"/>
        <v>304</v>
      </c>
      <c r="B400" s="615" t="s">
        <v>195</v>
      </c>
      <c r="C400" s="613">
        <v>2021</v>
      </c>
      <c r="D400" s="995">
        <v>7259333</v>
      </c>
      <c r="E400" s="63">
        <f>D400*'16-PlantAdditions'!$E$103</f>
        <v>544449.97499999998</v>
      </c>
      <c r="F400" s="63">
        <f t="shared" si="103"/>
        <v>7803782.9749999996</v>
      </c>
      <c r="G400" s="995">
        <v>1263441</v>
      </c>
      <c r="H400" s="995">
        <v>0</v>
      </c>
      <c r="I400" s="63">
        <f>(G400-H400)*'16-PlantAdditions'!$E$103</f>
        <v>94758.074999999997</v>
      </c>
      <c r="J400" s="63">
        <f t="shared" si="101"/>
        <v>128958446.77</v>
      </c>
      <c r="K400" s="63">
        <f t="shared" si="102"/>
        <v>27250248.019999996</v>
      </c>
    </row>
    <row r="401" spans="1:11" s="650" customFormat="1" ht="13">
      <c r="A401" s="110">
        <f t="shared" si="100"/>
        <v>305</v>
      </c>
      <c r="B401" s="612" t="s">
        <v>183</v>
      </c>
      <c r="C401" s="613">
        <v>2021</v>
      </c>
      <c r="D401" s="995">
        <v>4159830</v>
      </c>
      <c r="E401" s="63">
        <f>D401*'16-PlantAdditions'!$E$103</f>
        <v>311987.25</v>
      </c>
      <c r="F401" s="63">
        <f t="shared" si="103"/>
        <v>4471817.25</v>
      </c>
      <c r="G401" s="995">
        <v>27429645.48</v>
      </c>
      <c r="H401" s="995">
        <v>13129540.48</v>
      </c>
      <c r="I401" s="63">
        <f>(G401-H401)*'16-PlantAdditions'!$E$103</f>
        <v>1072507.875</v>
      </c>
      <c r="J401" s="63">
        <f t="shared" si="101"/>
        <v>104928110.66499999</v>
      </c>
      <c r="K401" s="63">
        <f t="shared" si="102"/>
        <v>3219911.9149999917</v>
      </c>
    </row>
    <row r="402" spans="1:11" s="650" customFormat="1" ht="13">
      <c r="A402" s="110">
        <f t="shared" si="100"/>
        <v>306</v>
      </c>
      <c r="B402" s="615" t="s">
        <v>184</v>
      </c>
      <c r="C402" s="613">
        <v>2021</v>
      </c>
      <c r="D402" s="995">
        <v>6190162</v>
      </c>
      <c r="E402" s="63">
        <f>D402*'16-PlantAdditions'!$E$103</f>
        <v>464262.14999999997</v>
      </c>
      <c r="F402" s="63">
        <f t="shared" si="103"/>
        <v>6654424.1500000004</v>
      </c>
      <c r="G402" s="995">
        <v>31499388.91</v>
      </c>
      <c r="H402" s="995">
        <v>22398460.91</v>
      </c>
      <c r="I402" s="63">
        <f>(G402-H402)*'16-PlantAdditions'!$E$103</f>
        <v>682569.6</v>
      </c>
      <c r="J402" s="63">
        <f t="shared" si="101"/>
        <v>79400576.305000007</v>
      </c>
      <c r="K402" s="63">
        <f t="shared" si="102"/>
        <v>-22307622.444999993</v>
      </c>
    </row>
    <row r="403" spans="1:11" s="650" customFormat="1" ht="13">
      <c r="A403" s="110">
        <f t="shared" si="100"/>
        <v>307</v>
      </c>
      <c r="B403" s="615" t="s">
        <v>1460</v>
      </c>
      <c r="C403" s="613">
        <v>2021</v>
      </c>
      <c r="D403" s="995">
        <v>3784828.9999999995</v>
      </c>
      <c r="E403" s="63">
        <f>D403*'16-PlantAdditions'!$E$103</f>
        <v>283862.17499999993</v>
      </c>
      <c r="F403" s="63">
        <f t="shared" si="103"/>
        <v>4068691.1749999993</v>
      </c>
      <c r="G403" s="995">
        <v>2382850.0000000005</v>
      </c>
      <c r="H403" s="995">
        <v>0</v>
      </c>
      <c r="I403" s="63">
        <f>(G403-H403)*'16-PlantAdditions'!$E$103</f>
        <v>178713.75000000003</v>
      </c>
      <c r="J403" s="63">
        <f t="shared" si="101"/>
        <v>80907703.730000004</v>
      </c>
      <c r="K403" s="63">
        <f t="shared" si="102"/>
        <v>-20800495.019999996</v>
      </c>
    </row>
    <row r="404" spans="1:11" s="650" customFormat="1" ht="13">
      <c r="A404" s="110">
        <f t="shared" si="100"/>
        <v>308</v>
      </c>
      <c r="B404" s="612" t="s">
        <v>186</v>
      </c>
      <c r="C404" s="613">
        <v>2021</v>
      </c>
      <c r="D404" s="995">
        <v>3229375.9999999995</v>
      </c>
      <c r="E404" s="63">
        <f>D404*'16-PlantAdditions'!$E$103</f>
        <v>242203.19999999995</v>
      </c>
      <c r="F404" s="63">
        <f t="shared" si="103"/>
        <v>3471579.1999999993</v>
      </c>
      <c r="G404" s="995">
        <v>1609541.0000000002</v>
      </c>
      <c r="H404" s="995">
        <v>0</v>
      </c>
      <c r="I404" s="63">
        <f>(G404-H404)*'16-PlantAdditions'!$E$103</f>
        <v>120715.57500000001</v>
      </c>
      <c r="J404" s="63">
        <f t="shared" si="101"/>
        <v>82649026.355000004</v>
      </c>
      <c r="K404" s="63">
        <f t="shared" si="102"/>
        <v>-19059172.394999996</v>
      </c>
    </row>
    <row r="405" spans="1:11" s="650" customFormat="1" ht="13">
      <c r="A405" s="110">
        <f t="shared" si="100"/>
        <v>309</v>
      </c>
      <c r="B405" s="615" t="s">
        <v>187</v>
      </c>
      <c r="C405" s="613">
        <v>2021</v>
      </c>
      <c r="D405" s="995">
        <v>3216375.9999999995</v>
      </c>
      <c r="E405" s="63">
        <f>D405*'16-PlantAdditions'!$E$103</f>
        <v>241228.19999999995</v>
      </c>
      <c r="F405" s="63">
        <f t="shared" si="103"/>
        <v>3457604.1999999993</v>
      </c>
      <c r="G405" s="995">
        <v>1876541.0000000002</v>
      </c>
      <c r="H405" s="995">
        <v>0</v>
      </c>
      <c r="I405" s="63">
        <f>(G405-H405)*'16-PlantAdditions'!$E$103</f>
        <v>140740.57500000001</v>
      </c>
      <c r="J405" s="63">
        <f t="shared" si="101"/>
        <v>84089348.980000004</v>
      </c>
      <c r="K405" s="63">
        <f t="shared" si="102"/>
        <v>-17618849.769999996</v>
      </c>
    </row>
    <row r="406" spans="1:11" s="650" customFormat="1" ht="13">
      <c r="A406" s="110">
        <f t="shared" si="100"/>
        <v>310</v>
      </c>
      <c r="B406" s="615" t="s">
        <v>188</v>
      </c>
      <c r="C406" s="613">
        <v>2021</v>
      </c>
      <c r="D406" s="995">
        <v>3459830</v>
      </c>
      <c r="E406" s="63">
        <f>D406*'16-PlantAdditions'!$E$103</f>
        <v>259487.25</v>
      </c>
      <c r="F406" s="63">
        <f t="shared" si="103"/>
        <v>3719317.25</v>
      </c>
      <c r="G406" s="995">
        <v>1993850.0000000002</v>
      </c>
      <c r="H406" s="995">
        <v>0</v>
      </c>
      <c r="I406" s="63">
        <f>(G406-H406)*'16-PlantAdditions'!$E$103</f>
        <v>149538.75</v>
      </c>
      <c r="J406" s="63">
        <f t="shared" si="101"/>
        <v>85665277.480000004</v>
      </c>
      <c r="K406" s="63">
        <f t="shared" si="102"/>
        <v>-16042921.269999996</v>
      </c>
    </row>
    <row r="407" spans="1:11" s="650" customFormat="1" ht="13">
      <c r="A407" s="110">
        <f t="shared" si="100"/>
        <v>311</v>
      </c>
      <c r="B407" s="615" t="s">
        <v>191</v>
      </c>
      <c r="C407" s="613">
        <v>2021</v>
      </c>
      <c r="D407" s="995">
        <v>2673375.9999999995</v>
      </c>
      <c r="E407" s="63">
        <f>D407*'16-PlantAdditions'!$E$103</f>
        <v>200503.19999999995</v>
      </c>
      <c r="F407" s="63">
        <f t="shared" ref="F407:F409" si="104">E407+D407</f>
        <v>2873879.1999999993</v>
      </c>
      <c r="G407" s="995">
        <v>1331541</v>
      </c>
      <c r="H407" s="995">
        <v>0</v>
      </c>
      <c r="I407" s="63">
        <f>(G407-H407)*'16-PlantAdditions'!$E$103</f>
        <v>99865.574999999997</v>
      </c>
      <c r="J407" s="63">
        <f t="shared" ref="J407:J409" si="105">J406+F407-G407-I407</f>
        <v>87107750.105000004</v>
      </c>
      <c r="K407" s="63">
        <f t="shared" si="102"/>
        <v>-14600448.644999996</v>
      </c>
    </row>
    <row r="408" spans="1:11" s="650" customFormat="1" ht="13">
      <c r="A408" s="110">
        <f t="shared" si="100"/>
        <v>312</v>
      </c>
      <c r="B408" s="615" t="s">
        <v>190</v>
      </c>
      <c r="C408" s="613">
        <v>2021</v>
      </c>
      <c r="D408" s="995">
        <v>2616375.9999999995</v>
      </c>
      <c r="E408" s="63">
        <f>D408*'16-PlantAdditions'!$E$103</f>
        <v>196228.19999999995</v>
      </c>
      <c r="F408" s="63">
        <f t="shared" si="104"/>
        <v>2812604.1999999993</v>
      </c>
      <c r="G408" s="995">
        <v>1309541</v>
      </c>
      <c r="H408" s="995">
        <v>0</v>
      </c>
      <c r="I408" s="63">
        <f>(G408-H408)*'16-PlantAdditions'!$E$103</f>
        <v>98215.574999999997</v>
      </c>
      <c r="J408" s="63">
        <f t="shared" si="105"/>
        <v>88512597.730000004</v>
      </c>
      <c r="K408" s="63">
        <f t="shared" si="102"/>
        <v>-13195601.019999996</v>
      </c>
    </row>
    <row r="409" spans="1:11" s="650" customFormat="1" ht="13">
      <c r="A409" s="110">
        <f t="shared" si="100"/>
        <v>313</v>
      </c>
      <c r="B409" s="615" t="s">
        <v>180</v>
      </c>
      <c r="C409" s="613">
        <v>2021</v>
      </c>
      <c r="D409" s="995">
        <v>3554511.9999999995</v>
      </c>
      <c r="E409" s="63">
        <f>D409*'16-PlantAdditions'!$E$103</f>
        <v>266588.39999999997</v>
      </c>
      <c r="F409" s="63">
        <f t="shared" si="104"/>
        <v>3821100.3999999994</v>
      </c>
      <c r="G409" s="995">
        <v>59830362.590000004</v>
      </c>
      <c r="H409" s="995">
        <v>34609700.589999996</v>
      </c>
      <c r="I409" s="63">
        <f>(G409-H409)*'16-PlantAdditions'!$E$103</f>
        <v>1891549.6500000004</v>
      </c>
      <c r="J409" s="63">
        <f t="shared" si="105"/>
        <v>30611785.890000008</v>
      </c>
      <c r="K409" s="111">
        <f t="shared" si="102"/>
        <v>-71096412.859999985</v>
      </c>
    </row>
    <row r="410" spans="1:11" s="650" customFormat="1" ht="13">
      <c r="A410" s="110">
        <f t="shared" si="100"/>
        <v>314</v>
      </c>
      <c r="B410"/>
      <c r="C410" s="649" t="s">
        <v>1605</v>
      </c>
      <c r="H410" s="654"/>
      <c r="I410" s="654"/>
      <c r="K410" s="73">
        <f>AVERAGE(K397:K409)</f>
        <v>-8452843.93307692</v>
      </c>
    </row>
    <row r="411" spans="1:11" s="650" customFormat="1" ht="13">
      <c r="A411" s="110"/>
      <c r="B411"/>
      <c r="C411" s="649"/>
      <c r="H411" s="654"/>
      <c r="I411" s="654"/>
      <c r="K411" s="73"/>
    </row>
    <row r="412" spans="1:11" s="650" customFormat="1" ht="13">
      <c r="B412" s="651" t="s">
        <v>2428</v>
      </c>
      <c r="D412" s="978" t="s">
        <v>2799</v>
      </c>
      <c r="E412" s="1058"/>
      <c r="F412" s="97"/>
      <c r="G412" s="97"/>
    </row>
    <row r="413" spans="1:11" s="650" customFormat="1" ht="13">
      <c r="A413" s="645"/>
      <c r="B413" s="645"/>
      <c r="C413" s="645"/>
      <c r="D413" s="645" t="s">
        <v>358</v>
      </c>
      <c r="E413" s="645" t="s">
        <v>342</v>
      </c>
      <c r="F413" s="645" t="s">
        <v>343</v>
      </c>
      <c r="G413" s="645" t="s">
        <v>344</v>
      </c>
      <c r="H413" s="645" t="s">
        <v>345</v>
      </c>
      <c r="I413" s="645" t="s">
        <v>346</v>
      </c>
      <c r="J413" s="645" t="s">
        <v>347</v>
      </c>
      <c r="K413" s="645" t="s">
        <v>534</v>
      </c>
    </row>
    <row r="414" spans="1:11" s="650" customFormat="1" ht="25.5">
      <c r="D414" s="652"/>
      <c r="E414" s="653" t="s">
        <v>2064</v>
      </c>
      <c r="F414" s="654" t="s">
        <v>1929</v>
      </c>
      <c r="G414" s="476"/>
      <c r="H414" s="652"/>
      <c r="I414" s="653" t="s">
        <v>2065</v>
      </c>
      <c r="J414" s="653" t="s">
        <v>1930</v>
      </c>
      <c r="K414" s="653" t="s">
        <v>1931</v>
      </c>
    </row>
    <row r="415" spans="1:11" s="650" customFormat="1" ht="13">
      <c r="D415" s="652"/>
      <c r="E415" s="653"/>
      <c r="F415" s="654"/>
      <c r="G415" s="4" t="str">
        <f>G85</f>
        <v>Unloaded</v>
      </c>
      <c r="H415" s="652"/>
      <c r="I415" s="653"/>
      <c r="J415" s="653"/>
      <c r="K415" s="653"/>
    </row>
    <row r="416" spans="1:11" s="650" customFormat="1" ht="13">
      <c r="A416" s="647"/>
      <c r="B416" s="647"/>
      <c r="C416" s="647"/>
      <c r="D416" s="647" t="str">
        <f>D$52</f>
        <v>Forecast</v>
      </c>
      <c r="E416" s="647" t="str">
        <f t="shared" ref="E416:J416" si="106">E$52</f>
        <v>Corporate</v>
      </c>
      <c r="F416" s="647" t="str">
        <f t="shared" si="106"/>
        <v xml:space="preserve">Total </v>
      </c>
      <c r="G416" s="4" t="str">
        <f>G86</f>
        <v>Total</v>
      </c>
      <c r="H416" s="647" t="str">
        <f t="shared" si="106"/>
        <v>Prior Period</v>
      </c>
      <c r="I416" s="647" t="str">
        <f t="shared" si="106"/>
        <v>Over Heads</v>
      </c>
      <c r="J416" s="647" t="str">
        <f t="shared" si="106"/>
        <v>Forecast</v>
      </c>
      <c r="K416" s="647" t="str">
        <f>K$52</f>
        <v>Forecast Period</v>
      </c>
    </row>
    <row r="417" spans="1:11" s="650" customFormat="1" ht="13">
      <c r="A417" s="840" t="s">
        <v>329</v>
      </c>
      <c r="B417" s="611" t="s">
        <v>192</v>
      </c>
      <c r="C417" s="611" t="s">
        <v>193</v>
      </c>
      <c r="D417" s="645" t="str">
        <f>D$53</f>
        <v>Expenditures</v>
      </c>
      <c r="E417" s="645" t="str">
        <f t="shared" ref="E417:J417" si="107">E$53</f>
        <v>Overheads</v>
      </c>
      <c r="F417" s="645" t="str">
        <f t="shared" si="107"/>
        <v>CWIP Exp</v>
      </c>
      <c r="G417" s="84" t="str">
        <f>G87</f>
        <v>Plant Adds</v>
      </c>
      <c r="H417" s="645" t="str">
        <f t="shared" si="107"/>
        <v>CWIP Closed</v>
      </c>
      <c r="I417" s="645" t="str">
        <f t="shared" si="107"/>
        <v>Closed to PIS</v>
      </c>
      <c r="J417" s="645" t="str">
        <f t="shared" si="107"/>
        <v>Period CWIP</v>
      </c>
      <c r="K417" s="645" t="str">
        <f>K$53</f>
        <v>Incremental CWIP</v>
      </c>
    </row>
    <row r="418" spans="1:11" s="650" customFormat="1" ht="13">
      <c r="A418" s="110">
        <f>A410+1</f>
        <v>315</v>
      </c>
      <c r="B418" s="612" t="s">
        <v>180</v>
      </c>
      <c r="C418" s="613">
        <v>2019</v>
      </c>
      <c r="D418" s="654" t="s">
        <v>76</v>
      </c>
      <c r="E418" s="654" t="s">
        <v>76</v>
      </c>
      <c r="F418" s="654" t="s">
        <v>76</v>
      </c>
      <c r="G418" s="654" t="s">
        <v>76</v>
      </c>
      <c r="H418" s="654" t="s">
        <v>76</v>
      </c>
      <c r="I418" s="654" t="s">
        <v>76</v>
      </c>
      <c r="J418" s="63">
        <v>0</v>
      </c>
      <c r="K418" s="654" t="s">
        <v>76</v>
      </c>
    </row>
    <row r="419" spans="1:11" s="650" customFormat="1" ht="13">
      <c r="A419" s="110">
        <f>A418+1</f>
        <v>316</v>
      </c>
      <c r="B419" s="612" t="s">
        <v>181</v>
      </c>
      <c r="C419" s="613">
        <v>2020</v>
      </c>
      <c r="D419" s="995"/>
      <c r="E419" s="63">
        <f>D419*'16-PlantAdditions'!$E$103</f>
        <v>0</v>
      </c>
      <c r="F419" s="63">
        <f>E419+D419</f>
        <v>0</v>
      </c>
      <c r="G419" s="995"/>
      <c r="H419" s="995"/>
      <c r="I419" s="63">
        <f>(G419-H419)*'16-PlantAdditions'!$E$103</f>
        <v>0</v>
      </c>
      <c r="J419" s="63">
        <f>J418+F419-G419-I419</f>
        <v>0</v>
      </c>
      <c r="K419" s="63">
        <f>J419-$J$418</f>
        <v>0</v>
      </c>
    </row>
    <row r="420" spans="1:11" s="650" customFormat="1" ht="13">
      <c r="A420" s="110">
        <f t="shared" ref="A420:A443" si="108">A419+1</f>
        <v>317</v>
      </c>
      <c r="B420" s="615" t="s">
        <v>182</v>
      </c>
      <c r="C420" s="613">
        <v>2020</v>
      </c>
      <c r="D420" s="995"/>
      <c r="E420" s="63">
        <f>D420*'16-PlantAdditions'!$E$103</f>
        <v>0</v>
      </c>
      <c r="F420" s="63">
        <f t="shared" ref="F420:F442" si="109">E420+D420</f>
        <v>0</v>
      </c>
      <c r="G420" s="995"/>
      <c r="H420" s="995"/>
      <c r="I420" s="63">
        <f>(G420-H420)*'16-PlantAdditions'!$E$103</f>
        <v>0</v>
      </c>
      <c r="J420" s="63">
        <f t="shared" ref="J420:J442" si="110">J419+F420-G420-I420</f>
        <v>0</v>
      </c>
      <c r="K420" s="63">
        <f t="shared" ref="K420:K442" si="111">J420-$J$418</f>
        <v>0</v>
      </c>
    </row>
    <row r="421" spans="1:11" s="650" customFormat="1" ht="13">
      <c r="A421" s="110">
        <f t="shared" si="108"/>
        <v>318</v>
      </c>
      <c r="B421" s="615" t="s">
        <v>195</v>
      </c>
      <c r="C421" s="613">
        <v>2020</v>
      </c>
      <c r="D421" s="995"/>
      <c r="E421" s="63">
        <f>D421*'16-PlantAdditions'!$E$103</f>
        <v>0</v>
      </c>
      <c r="F421" s="63">
        <f t="shared" si="109"/>
        <v>0</v>
      </c>
      <c r="G421" s="995"/>
      <c r="H421" s="995"/>
      <c r="I421" s="63">
        <f>(G421-H421)*'16-PlantAdditions'!$E$103</f>
        <v>0</v>
      </c>
      <c r="J421" s="63">
        <f t="shared" si="110"/>
        <v>0</v>
      </c>
      <c r="K421" s="63">
        <f t="shared" si="111"/>
        <v>0</v>
      </c>
    </row>
    <row r="422" spans="1:11" s="650" customFormat="1" ht="13">
      <c r="A422" s="110">
        <f t="shared" si="108"/>
        <v>319</v>
      </c>
      <c r="B422" s="612" t="s">
        <v>183</v>
      </c>
      <c r="C422" s="613">
        <v>2020</v>
      </c>
      <c r="D422" s="995"/>
      <c r="E422" s="63">
        <f>D422*'16-PlantAdditions'!$E$103</f>
        <v>0</v>
      </c>
      <c r="F422" s="63">
        <f t="shared" si="109"/>
        <v>0</v>
      </c>
      <c r="G422" s="995"/>
      <c r="H422" s="995"/>
      <c r="I422" s="63">
        <f>(G422-H422)*'16-PlantAdditions'!$E$103</f>
        <v>0</v>
      </c>
      <c r="J422" s="63">
        <f t="shared" si="110"/>
        <v>0</v>
      </c>
      <c r="K422" s="63">
        <f t="shared" si="111"/>
        <v>0</v>
      </c>
    </row>
    <row r="423" spans="1:11" s="650" customFormat="1" ht="13">
      <c r="A423" s="110">
        <f t="shared" si="108"/>
        <v>320</v>
      </c>
      <c r="B423" s="615" t="s">
        <v>184</v>
      </c>
      <c r="C423" s="613">
        <v>2020</v>
      </c>
      <c r="D423" s="995"/>
      <c r="E423" s="63">
        <f>D423*'16-PlantAdditions'!$E$103</f>
        <v>0</v>
      </c>
      <c r="F423" s="63">
        <f t="shared" si="109"/>
        <v>0</v>
      </c>
      <c r="G423" s="995"/>
      <c r="H423" s="995"/>
      <c r="I423" s="63">
        <f>(G423-H423)*'16-PlantAdditions'!$E$103</f>
        <v>0</v>
      </c>
      <c r="J423" s="63">
        <f t="shared" si="110"/>
        <v>0</v>
      </c>
      <c r="K423" s="63">
        <f t="shared" si="111"/>
        <v>0</v>
      </c>
    </row>
    <row r="424" spans="1:11" s="650" customFormat="1" ht="13">
      <c r="A424" s="110">
        <f t="shared" si="108"/>
        <v>321</v>
      </c>
      <c r="B424" s="615" t="s">
        <v>1460</v>
      </c>
      <c r="C424" s="613">
        <v>2020</v>
      </c>
      <c r="D424" s="995"/>
      <c r="E424" s="63">
        <f>D424*'16-PlantAdditions'!$E$103</f>
        <v>0</v>
      </c>
      <c r="F424" s="63">
        <f t="shared" si="109"/>
        <v>0</v>
      </c>
      <c r="G424" s="995"/>
      <c r="H424" s="995"/>
      <c r="I424" s="63">
        <f>(G424-H424)*'16-PlantAdditions'!$E$103</f>
        <v>0</v>
      </c>
      <c r="J424" s="63">
        <f t="shared" si="110"/>
        <v>0</v>
      </c>
      <c r="K424" s="63">
        <f t="shared" si="111"/>
        <v>0</v>
      </c>
    </row>
    <row r="425" spans="1:11" s="650" customFormat="1" ht="13">
      <c r="A425" s="110">
        <f t="shared" si="108"/>
        <v>322</v>
      </c>
      <c r="B425" s="612" t="s">
        <v>186</v>
      </c>
      <c r="C425" s="613">
        <v>2020</v>
      </c>
      <c r="D425" s="995"/>
      <c r="E425" s="63">
        <f>D425*'16-PlantAdditions'!$E$103</f>
        <v>0</v>
      </c>
      <c r="F425" s="63">
        <f t="shared" si="109"/>
        <v>0</v>
      </c>
      <c r="G425" s="995"/>
      <c r="H425" s="995"/>
      <c r="I425" s="63">
        <f>(G425-H425)*'16-PlantAdditions'!$E$103</f>
        <v>0</v>
      </c>
      <c r="J425" s="63">
        <f t="shared" si="110"/>
        <v>0</v>
      </c>
      <c r="K425" s="63">
        <f t="shared" si="111"/>
        <v>0</v>
      </c>
    </row>
    <row r="426" spans="1:11" s="650" customFormat="1" ht="13">
      <c r="A426" s="110">
        <f t="shared" si="108"/>
        <v>323</v>
      </c>
      <c r="B426" s="615" t="s">
        <v>187</v>
      </c>
      <c r="C426" s="613">
        <v>2020</v>
      </c>
      <c r="D426" s="995"/>
      <c r="E426" s="63">
        <f>D426*'16-PlantAdditions'!$E$103</f>
        <v>0</v>
      </c>
      <c r="F426" s="63">
        <f t="shared" si="109"/>
        <v>0</v>
      </c>
      <c r="G426" s="995"/>
      <c r="H426" s="995"/>
      <c r="I426" s="63">
        <f>(G426-H426)*'16-PlantAdditions'!$E$103</f>
        <v>0</v>
      </c>
      <c r="J426" s="63">
        <f t="shared" si="110"/>
        <v>0</v>
      </c>
      <c r="K426" s="63">
        <f t="shared" si="111"/>
        <v>0</v>
      </c>
    </row>
    <row r="427" spans="1:11" s="650" customFormat="1" ht="13">
      <c r="A427" s="110">
        <f t="shared" si="108"/>
        <v>324</v>
      </c>
      <c r="B427" s="615" t="s">
        <v>188</v>
      </c>
      <c r="C427" s="613">
        <v>2020</v>
      </c>
      <c r="D427" s="995"/>
      <c r="E427" s="63">
        <f>D427*'16-PlantAdditions'!$E$103</f>
        <v>0</v>
      </c>
      <c r="F427" s="63">
        <f t="shared" si="109"/>
        <v>0</v>
      </c>
      <c r="G427" s="995"/>
      <c r="H427" s="995"/>
      <c r="I427" s="63">
        <f>(G427-H427)*'16-PlantAdditions'!$E$103</f>
        <v>0</v>
      </c>
      <c r="J427" s="63">
        <f t="shared" si="110"/>
        <v>0</v>
      </c>
      <c r="K427" s="63">
        <f t="shared" si="111"/>
        <v>0</v>
      </c>
    </row>
    <row r="428" spans="1:11" s="650" customFormat="1" ht="13">
      <c r="A428" s="110">
        <f t="shared" si="108"/>
        <v>325</v>
      </c>
      <c r="B428" s="612" t="s">
        <v>191</v>
      </c>
      <c r="C428" s="613">
        <v>2020</v>
      </c>
      <c r="D428" s="995"/>
      <c r="E428" s="63">
        <f>D428*'16-PlantAdditions'!$E$103</f>
        <v>0</v>
      </c>
      <c r="F428" s="63">
        <f t="shared" si="109"/>
        <v>0</v>
      </c>
      <c r="G428" s="995"/>
      <c r="H428" s="995"/>
      <c r="I428" s="63">
        <f>(G428-H428)*'16-PlantAdditions'!$E$103</f>
        <v>0</v>
      </c>
      <c r="J428" s="63">
        <f t="shared" si="110"/>
        <v>0</v>
      </c>
      <c r="K428" s="63">
        <f t="shared" si="111"/>
        <v>0</v>
      </c>
    </row>
    <row r="429" spans="1:11" s="650" customFormat="1" ht="13">
      <c r="A429" s="110">
        <f t="shared" si="108"/>
        <v>326</v>
      </c>
      <c r="B429" s="612" t="s">
        <v>190</v>
      </c>
      <c r="C429" s="613">
        <v>2020</v>
      </c>
      <c r="D429" s="995"/>
      <c r="E429" s="63">
        <f>D429*'16-PlantAdditions'!$E$103</f>
        <v>0</v>
      </c>
      <c r="F429" s="63">
        <f t="shared" si="109"/>
        <v>0</v>
      </c>
      <c r="G429" s="995"/>
      <c r="H429" s="995"/>
      <c r="I429" s="63">
        <f>(G429-H429)*'16-PlantAdditions'!$E$103</f>
        <v>0</v>
      </c>
      <c r="J429" s="63">
        <f t="shared" si="110"/>
        <v>0</v>
      </c>
      <c r="K429" s="63">
        <f t="shared" si="111"/>
        <v>0</v>
      </c>
    </row>
    <row r="430" spans="1:11" s="650" customFormat="1" ht="13">
      <c r="A430" s="110">
        <f t="shared" si="108"/>
        <v>327</v>
      </c>
      <c r="B430" s="612" t="s">
        <v>180</v>
      </c>
      <c r="C430" s="613">
        <v>2020</v>
      </c>
      <c r="D430" s="995"/>
      <c r="E430" s="63">
        <f>D430*'16-PlantAdditions'!$E$103</f>
        <v>0</v>
      </c>
      <c r="F430" s="63">
        <f t="shared" si="109"/>
        <v>0</v>
      </c>
      <c r="G430" s="995"/>
      <c r="H430" s="995"/>
      <c r="I430" s="63">
        <f>(G430-H430)*'16-PlantAdditions'!$E$103</f>
        <v>0</v>
      </c>
      <c r="J430" s="63">
        <f t="shared" si="110"/>
        <v>0</v>
      </c>
      <c r="K430" s="63">
        <f t="shared" si="111"/>
        <v>0</v>
      </c>
    </row>
    <row r="431" spans="1:11" s="650" customFormat="1" ht="13">
      <c r="A431" s="110">
        <f t="shared" si="108"/>
        <v>328</v>
      </c>
      <c r="B431" s="612" t="s">
        <v>181</v>
      </c>
      <c r="C431" s="613">
        <v>2021</v>
      </c>
      <c r="D431" s="995"/>
      <c r="E431" s="63">
        <f>D431*'16-PlantAdditions'!$E$103</f>
        <v>0</v>
      </c>
      <c r="F431" s="63">
        <f t="shared" si="109"/>
        <v>0</v>
      </c>
      <c r="G431" s="995"/>
      <c r="H431" s="995"/>
      <c r="I431" s="63">
        <f>(G431-H431)*'16-PlantAdditions'!$E$103</f>
        <v>0</v>
      </c>
      <c r="J431" s="63">
        <f t="shared" si="110"/>
        <v>0</v>
      </c>
      <c r="K431" s="63">
        <f t="shared" si="111"/>
        <v>0</v>
      </c>
    </row>
    <row r="432" spans="1:11" s="650" customFormat="1" ht="13">
      <c r="A432" s="110">
        <f t="shared" si="108"/>
        <v>329</v>
      </c>
      <c r="B432" s="615" t="s">
        <v>182</v>
      </c>
      <c r="C432" s="613">
        <v>2021</v>
      </c>
      <c r="D432" s="995"/>
      <c r="E432" s="63">
        <f>D432*'16-PlantAdditions'!$E$103</f>
        <v>0</v>
      </c>
      <c r="F432" s="63">
        <f t="shared" si="109"/>
        <v>0</v>
      </c>
      <c r="G432" s="995"/>
      <c r="H432" s="995"/>
      <c r="I432" s="63">
        <f>(G432-H432)*'16-PlantAdditions'!$E$103</f>
        <v>0</v>
      </c>
      <c r="J432" s="63">
        <f t="shared" si="110"/>
        <v>0</v>
      </c>
      <c r="K432" s="63">
        <f t="shared" si="111"/>
        <v>0</v>
      </c>
    </row>
    <row r="433" spans="1:11" s="650" customFormat="1" ht="13">
      <c r="A433" s="110">
        <f t="shared" si="108"/>
        <v>330</v>
      </c>
      <c r="B433" s="615" t="s">
        <v>195</v>
      </c>
      <c r="C433" s="613">
        <v>2021</v>
      </c>
      <c r="D433" s="995"/>
      <c r="E433" s="63">
        <f>D433*'16-PlantAdditions'!$E$103</f>
        <v>0</v>
      </c>
      <c r="F433" s="63">
        <f t="shared" si="109"/>
        <v>0</v>
      </c>
      <c r="G433" s="995"/>
      <c r="H433" s="995"/>
      <c r="I433" s="63">
        <f>(G433-H433)*'16-PlantAdditions'!$E$103</f>
        <v>0</v>
      </c>
      <c r="J433" s="63">
        <f t="shared" si="110"/>
        <v>0</v>
      </c>
      <c r="K433" s="63">
        <f t="shared" si="111"/>
        <v>0</v>
      </c>
    </row>
    <row r="434" spans="1:11" s="650" customFormat="1" ht="13">
      <c r="A434" s="110">
        <f t="shared" si="108"/>
        <v>331</v>
      </c>
      <c r="B434" s="612" t="s">
        <v>183</v>
      </c>
      <c r="C434" s="613">
        <v>2021</v>
      </c>
      <c r="D434" s="995"/>
      <c r="E434" s="63">
        <f>D434*'16-PlantAdditions'!$E$103</f>
        <v>0</v>
      </c>
      <c r="F434" s="63">
        <f t="shared" si="109"/>
        <v>0</v>
      </c>
      <c r="G434" s="995"/>
      <c r="H434" s="995"/>
      <c r="I434" s="63">
        <f>(G434-H434)*'16-PlantAdditions'!$E$103</f>
        <v>0</v>
      </c>
      <c r="J434" s="63">
        <f t="shared" si="110"/>
        <v>0</v>
      </c>
      <c r="K434" s="63">
        <f t="shared" si="111"/>
        <v>0</v>
      </c>
    </row>
    <row r="435" spans="1:11" s="650" customFormat="1" ht="13">
      <c r="A435" s="110">
        <f t="shared" si="108"/>
        <v>332</v>
      </c>
      <c r="B435" s="615" t="s">
        <v>184</v>
      </c>
      <c r="C435" s="613">
        <v>2021</v>
      </c>
      <c r="D435" s="995"/>
      <c r="E435" s="63">
        <f>D435*'16-PlantAdditions'!$E$103</f>
        <v>0</v>
      </c>
      <c r="F435" s="63">
        <f t="shared" si="109"/>
        <v>0</v>
      </c>
      <c r="G435" s="995"/>
      <c r="H435" s="995"/>
      <c r="I435" s="63">
        <f>(G435-H435)*'16-PlantAdditions'!$E$103</f>
        <v>0</v>
      </c>
      <c r="J435" s="63">
        <f t="shared" si="110"/>
        <v>0</v>
      </c>
      <c r="K435" s="63">
        <f t="shared" si="111"/>
        <v>0</v>
      </c>
    </row>
    <row r="436" spans="1:11" s="650" customFormat="1" ht="13">
      <c r="A436" s="110">
        <f t="shared" si="108"/>
        <v>333</v>
      </c>
      <c r="B436" s="615" t="s">
        <v>1460</v>
      </c>
      <c r="C436" s="613">
        <v>2021</v>
      </c>
      <c r="D436" s="995"/>
      <c r="E436" s="63">
        <f>D436*'16-PlantAdditions'!$E$103</f>
        <v>0</v>
      </c>
      <c r="F436" s="63">
        <f t="shared" si="109"/>
        <v>0</v>
      </c>
      <c r="G436" s="995"/>
      <c r="H436" s="995"/>
      <c r="I436" s="63">
        <f>(G436-H436)*'16-PlantAdditions'!$E$103</f>
        <v>0</v>
      </c>
      <c r="J436" s="63">
        <f t="shared" si="110"/>
        <v>0</v>
      </c>
      <c r="K436" s="63">
        <f t="shared" si="111"/>
        <v>0</v>
      </c>
    </row>
    <row r="437" spans="1:11" s="650" customFormat="1" ht="13">
      <c r="A437" s="110">
        <f t="shared" si="108"/>
        <v>334</v>
      </c>
      <c r="B437" s="612" t="s">
        <v>186</v>
      </c>
      <c r="C437" s="613">
        <v>2021</v>
      </c>
      <c r="D437" s="995"/>
      <c r="E437" s="63">
        <f>D437*'16-PlantAdditions'!$E$103</f>
        <v>0</v>
      </c>
      <c r="F437" s="63">
        <f t="shared" si="109"/>
        <v>0</v>
      </c>
      <c r="G437" s="995"/>
      <c r="H437" s="995"/>
      <c r="I437" s="63">
        <f>(G437-H437)*'16-PlantAdditions'!$E$103</f>
        <v>0</v>
      </c>
      <c r="J437" s="63">
        <f t="shared" si="110"/>
        <v>0</v>
      </c>
      <c r="K437" s="63">
        <f t="shared" si="111"/>
        <v>0</v>
      </c>
    </row>
    <row r="438" spans="1:11" s="650" customFormat="1" ht="13">
      <c r="A438" s="110">
        <f t="shared" si="108"/>
        <v>335</v>
      </c>
      <c r="B438" s="615" t="s">
        <v>187</v>
      </c>
      <c r="C438" s="613">
        <v>2021</v>
      </c>
      <c r="D438" s="995"/>
      <c r="E438" s="63">
        <f>D438*'16-PlantAdditions'!$E$103</f>
        <v>0</v>
      </c>
      <c r="F438" s="63">
        <f t="shared" si="109"/>
        <v>0</v>
      </c>
      <c r="G438" s="995"/>
      <c r="H438" s="995"/>
      <c r="I438" s="63">
        <f>(G438-H438)*'16-PlantAdditions'!$E$103</f>
        <v>0</v>
      </c>
      <c r="J438" s="63">
        <f t="shared" si="110"/>
        <v>0</v>
      </c>
      <c r="K438" s="63">
        <f t="shared" si="111"/>
        <v>0</v>
      </c>
    </row>
    <row r="439" spans="1:11" s="650" customFormat="1" ht="13">
      <c r="A439" s="110">
        <f t="shared" si="108"/>
        <v>336</v>
      </c>
      <c r="B439" s="615" t="s">
        <v>188</v>
      </c>
      <c r="C439" s="613">
        <v>2021</v>
      </c>
      <c r="D439" s="995"/>
      <c r="E439" s="63">
        <f>D439*'16-PlantAdditions'!$E$103</f>
        <v>0</v>
      </c>
      <c r="F439" s="63">
        <f t="shared" si="109"/>
        <v>0</v>
      </c>
      <c r="G439" s="995"/>
      <c r="H439" s="995"/>
      <c r="I439" s="63">
        <f>(G439-H439)*'16-PlantAdditions'!$E$103</f>
        <v>0</v>
      </c>
      <c r="J439" s="63">
        <f t="shared" si="110"/>
        <v>0</v>
      </c>
      <c r="K439" s="63">
        <f t="shared" si="111"/>
        <v>0</v>
      </c>
    </row>
    <row r="440" spans="1:11" s="650" customFormat="1" ht="13">
      <c r="A440" s="110">
        <f t="shared" si="108"/>
        <v>337</v>
      </c>
      <c r="B440" s="615" t="s">
        <v>191</v>
      </c>
      <c r="C440" s="613">
        <v>2021</v>
      </c>
      <c r="D440" s="995"/>
      <c r="E440" s="63">
        <f>D440*'16-PlantAdditions'!$E$103</f>
        <v>0</v>
      </c>
      <c r="F440" s="63">
        <f t="shared" si="109"/>
        <v>0</v>
      </c>
      <c r="G440" s="995"/>
      <c r="H440" s="995"/>
      <c r="I440" s="63">
        <f>(G440-H440)*'16-PlantAdditions'!$E$103</f>
        <v>0</v>
      </c>
      <c r="J440" s="63">
        <f t="shared" si="110"/>
        <v>0</v>
      </c>
      <c r="K440" s="63">
        <f t="shared" si="111"/>
        <v>0</v>
      </c>
    </row>
    <row r="441" spans="1:11" s="650" customFormat="1" ht="13">
      <c r="A441" s="110">
        <f t="shared" si="108"/>
        <v>338</v>
      </c>
      <c r="B441" s="615" t="s">
        <v>190</v>
      </c>
      <c r="C441" s="613">
        <v>2021</v>
      </c>
      <c r="D441" s="995"/>
      <c r="E441" s="63">
        <f>D441*'16-PlantAdditions'!$E$103</f>
        <v>0</v>
      </c>
      <c r="F441" s="63">
        <f t="shared" si="109"/>
        <v>0</v>
      </c>
      <c r="G441" s="995"/>
      <c r="H441" s="995"/>
      <c r="I441" s="63">
        <f>(G441-H441)*'16-PlantAdditions'!$E$103</f>
        <v>0</v>
      </c>
      <c r="J441" s="63">
        <f t="shared" si="110"/>
        <v>0</v>
      </c>
      <c r="K441" s="63">
        <f t="shared" si="111"/>
        <v>0</v>
      </c>
    </row>
    <row r="442" spans="1:11" s="650" customFormat="1" ht="13">
      <c r="A442" s="110">
        <f t="shared" si="108"/>
        <v>339</v>
      </c>
      <c r="B442" s="615" t="s">
        <v>180</v>
      </c>
      <c r="C442" s="613">
        <v>2021</v>
      </c>
      <c r="D442" s="995"/>
      <c r="E442" s="63">
        <f>D442*'16-PlantAdditions'!$E$103</f>
        <v>0</v>
      </c>
      <c r="F442" s="63">
        <f t="shared" si="109"/>
        <v>0</v>
      </c>
      <c r="G442" s="995"/>
      <c r="H442" s="995"/>
      <c r="I442" s="63">
        <f>(G442-H442)*'16-PlantAdditions'!$E$103</f>
        <v>0</v>
      </c>
      <c r="J442" s="63">
        <f t="shared" si="110"/>
        <v>0</v>
      </c>
      <c r="K442" s="63">
        <f t="shared" si="111"/>
        <v>0</v>
      </c>
    </row>
    <row r="443" spans="1:11" s="650" customFormat="1" ht="13">
      <c r="A443" s="110">
        <f t="shared" si="108"/>
        <v>340</v>
      </c>
      <c r="B443" s="972"/>
      <c r="C443" s="649" t="s">
        <v>1605</v>
      </c>
      <c r="H443" s="654"/>
      <c r="I443" s="654"/>
      <c r="K443" s="73">
        <f>AVERAGE(K430:K442)</f>
        <v>0</v>
      </c>
    </row>
    <row r="445" spans="1:11" ht="13">
      <c r="B445" s="620" t="s">
        <v>230</v>
      </c>
    </row>
    <row r="446" spans="1:11">
      <c r="B446" s="615" t="s">
        <v>2062</v>
      </c>
    </row>
    <row r="447" spans="1:11">
      <c r="B447" s="615" t="s">
        <v>2063</v>
      </c>
      <c r="H447" s="14"/>
      <c r="I447" s="14"/>
    </row>
    <row r="449" spans="2:9" ht="13">
      <c r="B449" s="1" t="s">
        <v>377</v>
      </c>
    </row>
    <row r="450" spans="2:9">
      <c r="B450" s="467" t="s">
        <v>991</v>
      </c>
    </row>
    <row r="451" spans="2:9">
      <c r="B451" s="467" t="s">
        <v>2800</v>
      </c>
      <c r="H451" s="14"/>
      <c r="I451" s="14"/>
    </row>
    <row r="452" spans="2:9">
      <c r="B452" s="469" t="s">
        <v>1942</v>
      </c>
    </row>
  </sheetData>
  <mergeCells count="11">
    <mergeCell ref="F379:G379"/>
    <mergeCell ref="D280:E280"/>
    <mergeCell ref="D313:E313"/>
    <mergeCell ref="D346:E346"/>
    <mergeCell ref="D82:E82"/>
    <mergeCell ref="D115:E115"/>
    <mergeCell ref="D148:E148"/>
    <mergeCell ref="D181:E181"/>
    <mergeCell ref="D214:E214"/>
    <mergeCell ref="D247:E247"/>
    <mergeCell ref="D379:E379"/>
  </mergeCells>
  <pageMargins left="0.7" right="0.7" top="0.75" bottom="0.75" header="0.3" footer="0.3"/>
  <pageSetup scale="50" fitToHeight="0" orientation="landscape" cellComments="asDisplayed" r:id="rId1"/>
  <headerFooter>
    <oddHeader>&amp;CSchedule 10
CWIP
&amp;RTO2021 Draft Annual Update 
Attachment 1</oddHeader>
    <oddFooter>&amp;R&amp;A</oddFooter>
  </headerFooter>
  <rowBreaks count="6" manualBreakCount="6">
    <brk id="47" max="16383" man="1"/>
    <brk id="113" max="10" man="1"/>
    <brk id="179" max="10" man="1"/>
    <brk id="245" max="10" man="1"/>
    <brk id="311" max="10" man="1"/>
    <brk id="377"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zoomScaleNormal="100" workbookViewId="0"/>
  </sheetViews>
  <sheetFormatPr defaultRowHeight="12.5"/>
  <cols>
    <col min="1" max="1" width="4.54296875" customWidth="1"/>
    <col min="2" max="2" width="22.54296875" customWidth="1"/>
    <col min="3" max="3" width="8.54296875" customWidth="1"/>
    <col min="4" max="5" width="25.54296875" customWidth="1"/>
    <col min="6" max="6" width="22.54296875" customWidth="1"/>
  </cols>
  <sheetData>
    <row r="1" spans="1:6" ht="13">
      <c r="A1" s="38" t="s">
        <v>1195</v>
      </c>
      <c r="B1" s="119"/>
      <c r="C1" s="39"/>
      <c r="D1" s="39"/>
      <c r="E1" s="39"/>
      <c r="F1" s="39"/>
    </row>
    <row r="2" spans="1:6" ht="13">
      <c r="A2" s="121"/>
      <c r="B2" s="14"/>
      <c r="C2" s="122"/>
      <c r="D2" s="122"/>
      <c r="F2" s="43" t="s">
        <v>17</v>
      </c>
    </row>
    <row r="3" spans="1:6" ht="13">
      <c r="A3" s="121"/>
      <c r="B3" s="15" t="s">
        <v>493</v>
      </c>
      <c r="C3" s="122"/>
      <c r="D3" s="122"/>
      <c r="E3" s="122"/>
    </row>
    <row r="4" spans="1:6" ht="13">
      <c r="A4" s="121"/>
      <c r="B4" s="15" t="s">
        <v>386</v>
      </c>
      <c r="C4" s="122"/>
      <c r="D4" s="122"/>
      <c r="E4" s="122"/>
    </row>
    <row r="5" spans="1:6" ht="13">
      <c r="A5" s="121"/>
      <c r="B5" s="15" t="s">
        <v>391</v>
      </c>
      <c r="C5" s="122"/>
      <c r="D5" s="122"/>
      <c r="E5" s="122"/>
    </row>
    <row r="6" spans="1:6" ht="13">
      <c r="A6" s="121"/>
    </row>
    <row r="7" spans="1:6" ht="13">
      <c r="A7" s="51" t="s">
        <v>329</v>
      </c>
      <c r="B7" s="14"/>
      <c r="C7" s="122"/>
      <c r="D7" s="3" t="s">
        <v>389</v>
      </c>
      <c r="E7" s="120" t="s">
        <v>388</v>
      </c>
      <c r="F7" s="123" t="s">
        <v>179</v>
      </c>
    </row>
    <row r="8" spans="1:6" ht="13">
      <c r="A8" s="2">
        <v>1</v>
      </c>
      <c r="B8" s="15" t="s">
        <v>400</v>
      </c>
      <c r="D8" s="6">
        <v>30786587</v>
      </c>
      <c r="E8" s="6">
        <v>30786584</v>
      </c>
      <c r="F8" s="13" t="s">
        <v>1208</v>
      </c>
    </row>
    <row r="9" spans="1:6" ht="13">
      <c r="A9" s="2"/>
      <c r="B9" s="15"/>
      <c r="D9" s="14"/>
      <c r="E9" s="12"/>
    </row>
    <row r="10" spans="1:6" ht="13">
      <c r="A10" s="2"/>
      <c r="B10" s="15" t="s">
        <v>394</v>
      </c>
      <c r="D10" s="14"/>
      <c r="E10" s="12"/>
    </row>
    <row r="11" spans="1:6" ht="13">
      <c r="A11" s="2"/>
      <c r="B11" s="15"/>
      <c r="D11" s="14"/>
      <c r="E11" s="12"/>
    </row>
    <row r="12" spans="1:6" ht="13">
      <c r="A12" s="2"/>
      <c r="B12" s="84" t="s">
        <v>358</v>
      </c>
      <c r="C12" s="84" t="s">
        <v>342</v>
      </c>
      <c r="D12" s="84" t="s">
        <v>343</v>
      </c>
      <c r="E12" s="84" t="s">
        <v>344</v>
      </c>
      <c r="F12" s="84" t="s">
        <v>345</v>
      </c>
    </row>
    <row r="13" spans="1:6" ht="13">
      <c r="A13" s="2"/>
      <c r="B13" s="15"/>
      <c r="C13" s="2" t="s">
        <v>397</v>
      </c>
      <c r="D13" s="14"/>
      <c r="E13" s="12"/>
    </row>
    <row r="14" spans="1:6" ht="13">
      <c r="A14" s="2"/>
      <c r="B14" s="51" t="s">
        <v>100</v>
      </c>
      <c r="C14" s="3" t="s">
        <v>396</v>
      </c>
      <c r="D14" s="3" t="s">
        <v>389</v>
      </c>
      <c r="E14" s="120" t="s">
        <v>388</v>
      </c>
      <c r="F14" s="120" t="s">
        <v>179</v>
      </c>
    </row>
    <row r="15" spans="1:6" ht="13">
      <c r="A15" s="2" t="s">
        <v>507</v>
      </c>
      <c r="B15" s="978" t="s">
        <v>2620</v>
      </c>
      <c r="C15" s="97" t="s">
        <v>2621</v>
      </c>
      <c r="D15" s="6">
        <v>9942155</v>
      </c>
      <c r="E15" s="6">
        <v>9942155</v>
      </c>
      <c r="F15" s="97" t="s">
        <v>2622</v>
      </c>
    </row>
    <row r="16" spans="1:6" ht="13">
      <c r="A16" s="2" t="s">
        <v>508</v>
      </c>
      <c r="B16" s="115"/>
      <c r="C16" s="97"/>
      <c r="D16" s="6"/>
      <c r="E16" s="6"/>
      <c r="F16" s="97"/>
    </row>
    <row r="17" spans="1:6" ht="13">
      <c r="A17" s="2" t="s">
        <v>509</v>
      </c>
      <c r="B17" s="115"/>
      <c r="C17" s="97"/>
      <c r="D17" s="6"/>
      <c r="E17" s="6"/>
      <c r="F17" s="97"/>
    </row>
    <row r="18" spans="1:6" ht="13">
      <c r="A18" s="2" t="s">
        <v>510</v>
      </c>
      <c r="B18" s="115"/>
      <c r="C18" s="97"/>
      <c r="D18" s="6"/>
      <c r="E18" s="6"/>
      <c r="F18" s="97"/>
    </row>
    <row r="19" spans="1:6" ht="13">
      <c r="A19" s="2" t="s">
        <v>511</v>
      </c>
      <c r="B19" s="115"/>
      <c r="C19" s="97"/>
      <c r="D19" s="6"/>
      <c r="E19" s="6"/>
      <c r="F19" s="97"/>
    </row>
    <row r="20" spans="1:6" ht="13">
      <c r="A20" s="2" t="s">
        <v>512</v>
      </c>
      <c r="B20" s="115"/>
      <c r="C20" s="97"/>
      <c r="D20" s="6"/>
      <c r="E20" s="6"/>
      <c r="F20" s="97"/>
    </row>
    <row r="21" spans="1:6" ht="13">
      <c r="A21" s="2" t="s">
        <v>513</v>
      </c>
      <c r="B21" s="115"/>
      <c r="C21" s="97"/>
      <c r="D21" s="6"/>
      <c r="E21" s="6"/>
      <c r="F21" s="97"/>
    </row>
    <row r="22" spans="1:6" ht="13">
      <c r="A22" s="2" t="s">
        <v>514</v>
      </c>
      <c r="B22" s="115"/>
      <c r="C22" s="97"/>
      <c r="D22" s="6"/>
      <c r="E22" s="6"/>
      <c r="F22" s="97"/>
    </row>
    <row r="23" spans="1:6" ht="13">
      <c r="A23" s="110"/>
      <c r="B23" s="390" t="s">
        <v>504</v>
      </c>
      <c r="C23" s="97"/>
      <c r="D23" s="391"/>
      <c r="E23" s="391"/>
      <c r="F23" s="97"/>
    </row>
    <row r="24" spans="1:6" ht="13">
      <c r="A24" s="2">
        <v>3</v>
      </c>
      <c r="C24" s="12" t="s">
        <v>4</v>
      </c>
      <c r="D24" s="7">
        <f>SUM(D15:D22)</f>
        <v>9942155</v>
      </c>
      <c r="E24" s="7">
        <f>SUM(E15:E22)</f>
        <v>9942155</v>
      </c>
      <c r="F24" s="46" t="s">
        <v>516</v>
      </c>
    </row>
    <row r="25" spans="1:6">
      <c r="C25" s="12"/>
    </row>
    <row r="26" spans="1:6" ht="13">
      <c r="C26" s="12"/>
      <c r="D26" s="3" t="s">
        <v>389</v>
      </c>
      <c r="E26" s="120" t="s">
        <v>388</v>
      </c>
      <c r="F26" s="123" t="s">
        <v>179</v>
      </c>
    </row>
    <row r="27" spans="1:6" ht="13">
      <c r="A27" s="2">
        <v>4</v>
      </c>
      <c r="B27" s="12" t="s">
        <v>390</v>
      </c>
      <c r="C27" s="12"/>
      <c r="D27" s="6">
        <v>0</v>
      </c>
      <c r="E27" s="6">
        <v>0</v>
      </c>
      <c r="F27" s="466" t="s">
        <v>387</v>
      </c>
    </row>
    <row r="28" spans="1:6" s="972" customFormat="1" ht="13">
      <c r="A28" s="4" t="s">
        <v>583</v>
      </c>
      <c r="B28" s="12"/>
      <c r="C28" s="467"/>
      <c r="D28" s="467"/>
      <c r="E28" s="465" t="s">
        <v>2533</v>
      </c>
      <c r="F28" s="515" t="s">
        <v>1949</v>
      </c>
    </row>
    <row r="29" spans="1:6" ht="13">
      <c r="A29" s="2">
        <v>5</v>
      </c>
      <c r="B29" s="12" t="s">
        <v>302</v>
      </c>
      <c r="D29" s="124">
        <f>'27-Allocators'!G15</f>
        <v>6.5680595610890333E-2</v>
      </c>
      <c r="E29" s="124">
        <f>'27-Allocators'!G15</f>
        <v>6.5680595610890333E-2</v>
      </c>
      <c r="F29" s="46" t="str">
        <f>"27-Allocators, L "&amp;'27-Allocators'!A15&amp;""</f>
        <v>27-Allocators, L 9</v>
      </c>
    </row>
    <row r="30" spans="1:6" ht="13">
      <c r="A30" s="2">
        <v>6</v>
      </c>
      <c r="B30" s="12" t="s">
        <v>398</v>
      </c>
      <c r="C30" s="12"/>
      <c r="D30" s="63">
        <f>D27*D29</f>
        <v>0</v>
      </c>
      <c r="E30" s="63">
        <f>E27*E29</f>
        <v>0</v>
      </c>
      <c r="F30" s="46" t="str">
        <f>"L "&amp;A27&amp;" * L "&amp;A29&amp;""</f>
        <v>L 4 * L 5</v>
      </c>
    </row>
    <row r="31" spans="1:6">
      <c r="C31" s="12"/>
    </row>
    <row r="32" spans="1:6">
      <c r="B32" s="12" t="s">
        <v>395</v>
      </c>
    </row>
    <row r="33" spans="1:6">
      <c r="C33" s="32"/>
      <c r="D33" s="33"/>
      <c r="E33" s="35"/>
    </row>
    <row r="34" spans="1:6" ht="13">
      <c r="D34" s="3" t="s">
        <v>389</v>
      </c>
      <c r="E34" s="120" t="s">
        <v>388</v>
      </c>
      <c r="F34" s="123" t="s">
        <v>179</v>
      </c>
    </row>
    <row r="35" spans="1:6" ht="13">
      <c r="A35" s="2">
        <v>7</v>
      </c>
      <c r="C35" s="12"/>
      <c r="D35" s="6">
        <f>D8-D15</f>
        <v>20844432</v>
      </c>
      <c r="E35" s="6">
        <f>E8-E15</f>
        <v>20844429</v>
      </c>
      <c r="F35" s="13" t="s">
        <v>359</v>
      </c>
    </row>
    <row r="38" spans="1:6" ht="13">
      <c r="B38" s="12" t="s">
        <v>399</v>
      </c>
      <c r="D38" s="3" t="s">
        <v>389</v>
      </c>
      <c r="E38" s="120" t="s">
        <v>388</v>
      </c>
      <c r="F38" s="123" t="s">
        <v>179</v>
      </c>
    </row>
    <row r="39" spans="1:6" ht="13">
      <c r="A39" s="2">
        <v>8</v>
      </c>
      <c r="D39" s="101">
        <f>D24+D30</f>
        <v>9942155</v>
      </c>
      <c r="E39" s="101">
        <f>E24+E30</f>
        <v>9942155</v>
      </c>
      <c r="F39" s="46" t="str">
        <f>"L "&amp;A24&amp;" + L "&amp;A30&amp;""</f>
        <v>L 3 + L 6</v>
      </c>
    </row>
    <row r="40" spans="1:6" ht="13">
      <c r="A40" s="2"/>
      <c r="D40" s="101"/>
      <c r="E40" s="101"/>
      <c r="F40" s="13"/>
    </row>
    <row r="41" spans="1:6">
      <c r="B41" t="s">
        <v>401</v>
      </c>
    </row>
    <row r="42" spans="1:6" ht="13">
      <c r="A42" s="2">
        <v>9</v>
      </c>
      <c r="B42" s="12" t="s">
        <v>399</v>
      </c>
      <c r="D42" s="47">
        <f>(D39+E39)/2</f>
        <v>9942155</v>
      </c>
      <c r="E42" s="101"/>
      <c r="F42" s="46" t="str">
        <f>"Sum of Line "&amp;A39&amp;" / 2"</f>
        <v>Sum of Line 8 / 2</v>
      </c>
    </row>
    <row r="43" spans="1:6">
      <c r="B43" s="12"/>
    </row>
    <row r="44" spans="1:6" ht="13">
      <c r="B44" s="1" t="s">
        <v>495</v>
      </c>
      <c r="C44" s="12"/>
    </row>
    <row r="45" spans="1:6">
      <c r="C45" s="12"/>
    </row>
    <row r="46" spans="1:6" ht="13">
      <c r="A46" s="2"/>
      <c r="F46" s="123" t="s">
        <v>179</v>
      </c>
    </row>
    <row r="47" spans="1:6" ht="13">
      <c r="A47" s="2">
        <v>10</v>
      </c>
      <c r="B47" s="12" t="s">
        <v>494</v>
      </c>
      <c r="E47" s="989">
        <v>0</v>
      </c>
      <c r="F47" s="13" t="s">
        <v>33</v>
      </c>
    </row>
    <row r="50" spans="2:2" ht="13">
      <c r="B50" s="1" t="s">
        <v>377</v>
      </c>
    </row>
    <row r="51" spans="2:2">
      <c r="B51" s="12" t="s">
        <v>392</v>
      </c>
    </row>
    <row r="52" spans="2:2">
      <c r="B52" s="15" t="s">
        <v>1199</v>
      </c>
    </row>
    <row r="53" spans="2:2">
      <c r="B53" s="12" t="s">
        <v>1200</v>
      </c>
    </row>
    <row r="54" spans="2:2">
      <c r="B54" s="12" t="s">
        <v>515</v>
      </c>
    </row>
    <row r="55" spans="2:2">
      <c r="B55" s="12" t="str">
        <f>"2) For any Electric Plant Held for Future Use classified as General note amount on Line "&amp;A27&amp;"."</f>
        <v>2) For any Electric Plant Held for Future Use classified as General note amount on Line 4.</v>
      </c>
    </row>
    <row r="56" spans="2:2">
      <c r="B56" s="15" t="s">
        <v>1201</v>
      </c>
    </row>
    <row r="57" spans="2:2">
      <c r="B57" s="12" t="s">
        <v>393</v>
      </c>
    </row>
    <row r="58" spans="2:2">
      <c r="B58" s="467" t="s">
        <v>1643</v>
      </c>
    </row>
    <row r="59" spans="2:2">
      <c r="B59" s="12" t="s">
        <v>1198</v>
      </c>
    </row>
    <row r="60" spans="2:2">
      <c r="B60" s="12"/>
    </row>
    <row r="61" spans="2:2" ht="13">
      <c r="B61" s="1" t="s">
        <v>230</v>
      </c>
    </row>
    <row r="62" spans="2:2">
      <c r="B62" s="15" t="s">
        <v>1209</v>
      </c>
    </row>
  </sheetData>
  <pageMargins left="0.7" right="0.7" top="0.75" bottom="0.75" header="0.3" footer="0.3"/>
  <pageSetup scale="80" orientation="portrait" cellComments="asDisplayed" r:id="rId1"/>
  <headerFooter>
    <oddHeader>&amp;CSchedule 11
Plant Held for Future Use
&amp;RTO2021 Draft Annual Update 
Attachment 1</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6"/>
  <sheetViews>
    <sheetView zoomScaleNormal="100" workbookViewId="0"/>
  </sheetViews>
  <sheetFormatPr defaultRowHeight="12.5"/>
  <cols>
    <col min="1" max="1" width="4.54296875" customWidth="1"/>
    <col min="2" max="2" width="5.54296875" customWidth="1"/>
    <col min="3" max="10" width="12.54296875" customWidth="1"/>
    <col min="12" max="12" width="9.453125" style="14"/>
  </cols>
  <sheetData>
    <row r="1" spans="1:10" ht="13">
      <c r="A1" s="1" t="s">
        <v>290</v>
      </c>
    </row>
    <row r="2" spans="1:10">
      <c r="I2" s="515" t="s">
        <v>246</v>
      </c>
      <c r="J2" s="515"/>
    </row>
    <row r="3" spans="1:10">
      <c r="B3" t="s">
        <v>315</v>
      </c>
    </row>
    <row r="5" spans="1:10">
      <c r="B5" t="s">
        <v>310</v>
      </c>
    </row>
    <row r="6" spans="1:10">
      <c r="B6" t="s">
        <v>316</v>
      </c>
    </row>
    <row r="7" spans="1:10">
      <c r="F7" s="75" t="s">
        <v>224</v>
      </c>
      <c r="H7" s="75" t="s">
        <v>1805</v>
      </c>
    </row>
    <row r="8" spans="1:10">
      <c r="B8" s="14" t="s">
        <v>1804</v>
      </c>
      <c r="C8" s="14"/>
      <c r="D8" s="14"/>
      <c r="E8" s="14"/>
      <c r="F8" s="978"/>
      <c r="G8" s="97"/>
      <c r="H8" s="978"/>
      <c r="I8" s="97"/>
      <c r="J8" s="97"/>
    </row>
    <row r="9" spans="1:10">
      <c r="B9" s="14"/>
      <c r="C9" s="14"/>
      <c r="D9" s="14"/>
      <c r="E9" s="14"/>
      <c r="F9" s="978"/>
      <c r="G9" s="97"/>
      <c r="H9" s="97"/>
      <c r="I9" s="97"/>
      <c r="J9" s="97"/>
    </row>
    <row r="10" spans="1:10">
      <c r="B10" s="14"/>
      <c r="C10" s="14"/>
      <c r="D10" s="14"/>
      <c r="E10" s="14"/>
      <c r="F10" s="875" t="s">
        <v>504</v>
      </c>
      <c r="G10" s="14"/>
      <c r="H10" s="875" t="s">
        <v>504</v>
      </c>
      <c r="I10" s="14"/>
    </row>
    <row r="12" spans="1:10">
      <c r="B12" s="467" t="s">
        <v>375</v>
      </c>
    </row>
    <row r="13" spans="1:10">
      <c r="B13" s="467"/>
    </row>
    <row r="14" spans="1:10">
      <c r="B14" s="467" t="s">
        <v>373</v>
      </c>
    </row>
    <row r="15" spans="1:10">
      <c r="B15" s="467" t="s">
        <v>374</v>
      </c>
    </row>
    <row r="16" spans="1:10" ht="13">
      <c r="B16" s="467"/>
      <c r="G16" s="553" t="s">
        <v>376</v>
      </c>
    </row>
    <row r="17" spans="1:12" ht="13">
      <c r="A17" s="51" t="s">
        <v>329</v>
      </c>
      <c r="G17" s="3" t="s">
        <v>63</v>
      </c>
      <c r="I17" s="51" t="s">
        <v>236</v>
      </c>
    </row>
    <row r="18" spans="1:12" ht="13">
      <c r="A18" s="553">
        <v>1</v>
      </c>
      <c r="F18" s="37" t="s">
        <v>311</v>
      </c>
      <c r="G18" s="63">
        <f>SUM(IF(B31='1-BaseTRR'!$K$4,E31+I31,0),IF(B32='1-BaseTRR'!$K$4,E32+I32,0),IF(B33='1-BaseTRR'!$K$4,E33+I33,0),IF(B34='1-BaseTRR'!$K$4,E34+I34,0),IF(B35='1-BaseTRR'!$K$4,E35+I35,0),IF(B36='1-BaseTRR'!$K$4,E36+I36,0),IF(B37='1-BaseTRR'!$K$4,E37+I37,0),IF(B38='1-BaseTRR'!$K$4,E38+I38,0),IF(B39='1-BaseTRR'!$K$4,E39+I39,0),IF(B40='1-BaseTRR'!$K$4,E40+I40,0),IF(B41='1-BaseTRR'!$K$4,E41+I41,0))</f>
        <v>0</v>
      </c>
      <c r="I18" s="467" t="s">
        <v>385</v>
      </c>
    </row>
    <row r="19" spans="1:12" ht="13">
      <c r="A19" s="553">
        <v>2</v>
      </c>
      <c r="F19" s="465" t="s">
        <v>379</v>
      </c>
      <c r="G19" s="63">
        <f>SUM(IF(B31='1-BaseTRR'!$K$4-1,C31+G31,0),IF(B32='1-BaseTRR'!$K$4-1,C32+G32,0),IF(B33='1-BaseTRR'!$K$4-1,C33+G33,0),IF(B34='1-BaseTRR'!$K$4-1,C34+G34,0),IF(B35='1-BaseTRR'!$K$4-1,C35+G35,0),IF(B36='1-BaseTRR'!$K$4-1,C36+G36,0),IF(B37='1-BaseTRR'!$K$4-1,C37+G37,0),IF(B38='1-BaseTRR'!$K$4-1,C38+G38,0),IF(B39='1-BaseTRR'!$K$4-1,C39+G39,0),IF(B40='1-BaseTRR'!$K$4-1,C40+G40,0),IF(B41='1-BaseTRR'!$K$4-1,C41+G41,0))</f>
        <v>0</v>
      </c>
      <c r="I19" s="467" t="s">
        <v>385</v>
      </c>
    </row>
    <row r="20" spans="1:12" ht="13">
      <c r="A20" s="553">
        <v>3</v>
      </c>
      <c r="F20" s="37" t="s">
        <v>313</v>
      </c>
      <c r="G20" s="63">
        <f>SUM(IF(B31='1-BaseTRR'!$K$4,C31+G31,0),IF(B32='1-BaseTRR'!$K$4,C32+G32,0),IF(B33='1-BaseTRR'!$K$4,C33+G33,0),IF(B34='1-BaseTRR'!$K$4,C34+G34,0),IF(B35='1-BaseTRR'!$K$4,C35+G35,0),IF(B36='1-BaseTRR'!$K$4,C36+G36,0),IF(B37='1-BaseTRR'!$K$4,C37+G37,0),IF(B38='1-BaseTRR'!$K$4,C38+G38,0),IF(B39='1-BaseTRR'!$K$4,C39+G39,0),IF(B40='1-BaseTRR'!$K$4,C40+G40,0),IF(B41='1-BaseTRR'!$K$4,C41+G41,0))</f>
        <v>0</v>
      </c>
      <c r="I20" s="467" t="s">
        <v>385</v>
      </c>
    </row>
    <row r="21" spans="1:12" ht="13">
      <c r="A21" s="553">
        <v>4</v>
      </c>
      <c r="F21" s="37" t="s">
        <v>314</v>
      </c>
      <c r="G21" s="63">
        <f>(G19+G20)/2</f>
        <v>0</v>
      </c>
      <c r="I21" s="469" t="str">
        <f>"Average of Lines "&amp;A19&amp;" and "&amp;A20&amp;"."</f>
        <v>Average of Lines 2 and 3.</v>
      </c>
    </row>
    <row r="22" spans="1:12" s="972" customFormat="1" ht="13">
      <c r="A22" s="553">
        <v>5</v>
      </c>
      <c r="E22" s="469"/>
      <c r="F22" s="849" t="s">
        <v>2292</v>
      </c>
      <c r="G22" s="63">
        <f>SUM(IF(B31='1-BaseTRR'!$K$4-1,D31+H31,0),IF(B32='1-BaseTRR'!$K$4-1,D32+H32,0),IF(B33='1-BaseTRR'!$K$4-1,D33+H33,0),IF(B34='1-BaseTRR'!$K$4-1,D34+H34,0),IF(B35='1-BaseTRR'!$K$4-1,D35+H35,0),IF(B36='1-BaseTRR'!$K$4-1,D36+H36,0),IF(B37='1-BaseTRR'!$K$4-1,D37+H37,0),IF(B38='1-BaseTRR'!$K$4-1,D38+H38,0),IF(B39='1-BaseTRR'!$K$4-1,D39+H39,0),IF(B40='1-BaseTRR'!$K$4-1,D40+H40,0),IF(B41='1-BaseTRR'!$K$4-1,D41+H41,0))</f>
        <v>0</v>
      </c>
      <c r="H22" s="469"/>
      <c r="I22" s="469" t="s">
        <v>385</v>
      </c>
      <c r="J22" s="469"/>
      <c r="L22" s="14"/>
    </row>
    <row r="23" spans="1:12">
      <c r="I23" s="467"/>
    </row>
    <row r="25" spans="1:12" ht="13">
      <c r="A25" s="553">
        <v>6</v>
      </c>
      <c r="C25" s="1" t="s">
        <v>502</v>
      </c>
      <c r="D25" s="978" t="s">
        <v>503</v>
      </c>
      <c r="G25" s="150" t="s">
        <v>505</v>
      </c>
      <c r="H25" s="477" t="s">
        <v>503</v>
      </c>
      <c r="I25" s="555"/>
      <c r="J25" s="469"/>
    </row>
    <row r="26" spans="1:12" ht="13">
      <c r="A26" s="553"/>
      <c r="C26" s="1"/>
      <c r="D26" s="469"/>
      <c r="E26" s="14"/>
      <c r="G26" s="555"/>
      <c r="H26" s="469"/>
      <c r="I26" s="555"/>
      <c r="J26" s="469"/>
    </row>
    <row r="27" spans="1:12" ht="13">
      <c r="D27" s="110" t="s">
        <v>1678</v>
      </c>
      <c r="E27" s="110" t="s">
        <v>370</v>
      </c>
      <c r="F27" s="14"/>
      <c r="G27" s="14"/>
      <c r="H27" s="110" t="s">
        <v>1678</v>
      </c>
      <c r="I27" s="553" t="s">
        <v>370</v>
      </c>
      <c r="J27" s="110"/>
    </row>
    <row r="28" spans="1:12" ht="13">
      <c r="C28" s="553" t="s">
        <v>299</v>
      </c>
      <c r="D28" s="110" t="s">
        <v>370</v>
      </c>
      <c r="E28" s="110" t="s">
        <v>371</v>
      </c>
      <c r="F28" s="14"/>
      <c r="G28" s="110" t="s">
        <v>299</v>
      </c>
      <c r="H28" s="110" t="s">
        <v>370</v>
      </c>
      <c r="I28" s="553" t="s">
        <v>371</v>
      </c>
      <c r="J28" s="110"/>
    </row>
    <row r="29" spans="1:12" ht="13">
      <c r="C29" s="553" t="s">
        <v>370</v>
      </c>
      <c r="D29" s="110" t="s">
        <v>371</v>
      </c>
      <c r="E29" s="110" t="s">
        <v>372</v>
      </c>
      <c r="F29" s="14"/>
      <c r="G29" s="110" t="s">
        <v>370</v>
      </c>
      <c r="H29" s="110" t="s">
        <v>371</v>
      </c>
      <c r="I29" s="553" t="s">
        <v>372</v>
      </c>
      <c r="J29" s="110"/>
    </row>
    <row r="30" spans="1:12" ht="13">
      <c r="A30" s="553"/>
      <c r="B30" s="3" t="s">
        <v>193</v>
      </c>
      <c r="C30" s="3" t="s">
        <v>371</v>
      </c>
      <c r="D30" s="123" t="s">
        <v>1679</v>
      </c>
      <c r="E30" s="123" t="s">
        <v>323</v>
      </c>
      <c r="F30" s="14"/>
      <c r="G30" s="123" t="s">
        <v>371</v>
      </c>
      <c r="H30" s="123" t="s">
        <v>1679</v>
      </c>
      <c r="I30" s="3" t="s">
        <v>323</v>
      </c>
      <c r="J30" s="123"/>
    </row>
    <row r="31" spans="1:12" ht="13">
      <c r="A31" s="553">
        <v>7</v>
      </c>
      <c r="B31">
        <v>2015</v>
      </c>
      <c r="C31" s="1054"/>
      <c r="D31" s="1054"/>
      <c r="E31" s="1054"/>
      <c r="G31" s="97"/>
      <c r="H31" s="97"/>
      <c r="I31" s="97"/>
      <c r="J31" s="14"/>
    </row>
    <row r="32" spans="1:12" ht="13">
      <c r="A32" s="553">
        <v>8</v>
      </c>
      <c r="B32">
        <v>2016</v>
      </c>
      <c r="C32" s="1054"/>
      <c r="D32" s="1054"/>
      <c r="E32" s="1054"/>
      <c r="G32" s="97"/>
      <c r="H32" s="97"/>
      <c r="I32" s="97"/>
      <c r="J32" s="14"/>
    </row>
    <row r="33" spans="1:10" ht="13">
      <c r="A33" s="553">
        <v>9</v>
      </c>
      <c r="B33">
        <v>2017</v>
      </c>
      <c r="C33" s="97"/>
      <c r="D33" s="97"/>
      <c r="E33" s="97"/>
      <c r="G33" s="97"/>
      <c r="H33" s="97"/>
      <c r="I33" s="97"/>
      <c r="J33" s="14"/>
    </row>
    <row r="34" spans="1:10" ht="13">
      <c r="A34" s="553">
        <v>10</v>
      </c>
      <c r="B34">
        <v>2018</v>
      </c>
      <c r="C34" s="97"/>
      <c r="D34" s="97"/>
      <c r="E34" s="97"/>
      <c r="G34" s="97"/>
      <c r="H34" s="97"/>
      <c r="I34" s="97"/>
      <c r="J34" s="14"/>
    </row>
    <row r="35" spans="1:10" ht="13">
      <c r="A35" s="553">
        <v>11</v>
      </c>
      <c r="B35">
        <v>2019</v>
      </c>
      <c r="C35" s="97"/>
      <c r="D35" s="97"/>
      <c r="E35" s="97"/>
      <c r="G35" s="97"/>
      <c r="H35" s="97"/>
      <c r="I35" s="97"/>
      <c r="J35" s="14"/>
    </row>
    <row r="36" spans="1:10" ht="13">
      <c r="A36" s="553">
        <v>12</v>
      </c>
      <c r="B36">
        <v>2020</v>
      </c>
      <c r="C36" s="97"/>
      <c r="D36" s="97"/>
      <c r="E36" s="97"/>
      <c r="G36" s="97"/>
      <c r="H36" s="97"/>
      <c r="I36" s="97"/>
      <c r="J36" s="14"/>
    </row>
    <row r="37" spans="1:10" ht="13">
      <c r="A37" s="553">
        <v>13</v>
      </c>
      <c r="B37">
        <v>2021</v>
      </c>
      <c r="C37" s="97"/>
      <c r="D37" s="97"/>
      <c r="E37" s="97"/>
      <c r="G37" s="97"/>
      <c r="H37" s="97"/>
      <c r="I37" s="97"/>
      <c r="J37" s="14"/>
    </row>
    <row r="38" spans="1:10" ht="13">
      <c r="A38" s="553">
        <v>14</v>
      </c>
      <c r="B38">
        <v>2022</v>
      </c>
      <c r="C38" s="97"/>
      <c r="D38" s="97"/>
      <c r="E38" s="97"/>
      <c r="G38" s="97"/>
      <c r="H38" s="97"/>
      <c r="I38" s="97"/>
      <c r="J38" s="14"/>
    </row>
    <row r="39" spans="1:10" ht="13">
      <c r="A39" s="553">
        <v>15</v>
      </c>
      <c r="B39">
        <v>2023</v>
      </c>
      <c r="C39" s="97"/>
      <c r="D39" s="97"/>
      <c r="E39" s="97"/>
      <c r="G39" s="97"/>
      <c r="H39" s="97"/>
      <c r="I39" s="97"/>
      <c r="J39" s="14"/>
    </row>
    <row r="40" spans="1:10" ht="13">
      <c r="A40" s="553">
        <v>16</v>
      </c>
      <c r="B40">
        <v>2024</v>
      </c>
      <c r="C40" s="97"/>
      <c r="D40" s="97"/>
      <c r="E40" s="97"/>
      <c r="G40" s="97"/>
      <c r="H40" s="97"/>
      <c r="I40" s="97"/>
      <c r="J40" s="14"/>
    </row>
    <row r="41" spans="1:10" ht="13">
      <c r="A41" s="553">
        <v>17</v>
      </c>
      <c r="B41">
        <v>2025</v>
      </c>
      <c r="C41" s="97"/>
      <c r="D41" s="97"/>
      <c r="E41" s="97"/>
      <c r="G41" s="97"/>
      <c r="H41" s="97"/>
      <c r="I41" s="97"/>
      <c r="J41" s="14"/>
    </row>
    <row r="42" spans="1:10" ht="13">
      <c r="A42" s="553">
        <v>18</v>
      </c>
      <c r="B42" s="556" t="s">
        <v>504</v>
      </c>
    </row>
    <row r="43" spans="1:10" ht="13">
      <c r="A43" s="553"/>
      <c r="B43" s="556"/>
    </row>
    <row r="44" spans="1:10" ht="13">
      <c r="A44" s="553"/>
      <c r="B44" s="44" t="s">
        <v>230</v>
      </c>
      <c r="C44" s="14"/>
      <c r="D44" s="14"/>
      <c r="E44" s="14"/>
      <c r="F44" s="14"/>
      <c r="G44" s="14"/>
      <c r="H44" s="14"/>
      <c r="I44" s="14"/>
      <c r="J44" s="14"/>
    </row>
    <row r="45" spans="1:10" ht="13">
      <c r="A45" s="553"/>
      <c r="B45" s="469" t="s">
        <v>1680</v>
      </c>
      <c r="C45" s="14"/>
      <c r="D45" s="14"/>
      <c r="E45" s="14"/>
      <c r="F45" s="14"/>
      <c r="G45" s="14"/>
      <c r="H45" s="14"/>
      <c r="I45" s="14"/>
      <c r="J45" s="14"/>
    </row>
    <row r="46" spans="1:10" ht="13">
      <c r="A46" s="553"/>
      <c r="B46" s="14"/>
      <c r="C46" s="14"/>
      <c r="D46" s="14"/>
      <c r="E46" s="14"/>
      <c r="F46" s="14"/>
      <c r="G46" s="14"/>
      <c r="H46" s="14"/>
      <c r="I46" s="14"/>
      <c r="J46" s="14"/>
    </row>
    <row r="47" spans="1:10" ht="13">
      <c r="A47" s="553"/>
      <c r="B47" s="44" t="s">
        <v>377</v>
      </c>
      <c r="C47" s="14"/>
      <c r="D47" s="14"/>
      <c r="E47" s="14"/>
      <c r="F47" s="14"/>
      <c r="G47" s="14"/>
      <c r="H47" s="14"/>
      <c r="I47" s="14"/>
      <c r="J47" s="14"/>
    </row>
    <row r="48" spans="1:10" ht="13">
      <c r="A48" s="553"/>
      <c r="B48" s="469" t="s">
        <v>378</v>
      </c>
      <c r="C48" s="14"/>
      <c r="D48" s="14"/>
      <c r="E48" s="14"/>
      <c r="F48" s="14"/>
      <c r="G48" s="14"/>
      <c r="H48" s="14"/>
      <c r="I48" s="14"/>
      <c r="J48" s="14"/>
    </row>
    <row r="49" spans="1:10" ht="13">
      <c r="A49" s="553"/>
      <c r="B49" s="466" t="s">
        <v>1681</v>
      </c>
      <c r="C49" s="14"/>
      <c r="D49" s="14"/>
      <c r="E49" s="14"/>
      <c r="F49" s="14"/>
      <c r="G49" s="14"/>
      <c r="H49" s="14"/>
      <c r="I49" s="14"/>
      <c r="J49" s="14"/>
    </row>
    <row r="50" spans="1:10" ht="13">
      <c r="A50" s="553"/>
      <c r="B50" s="466" t="s">
        <v>1682</v>
      </c>
      <c r="C50" s="14"/>
      <c r="D50" s="14"/>
      <c r="E50" s="14"/>
      <c r="F50" s="14"/>
      <c r="G50" s="14"/>
      <c r="H50" s="14"/>
      <c r="I50" s="14"/>
      <c r="J50" s="14"/>
    </row>
    <row r="51" spans="1:10" ht="13">
      <c r="A51" s="553"/>
      <c r="B51" s="466" t="s">
        <v>383</v>
      </c>
      <c r="C51" s="14"/>
      <c r="D51" s="14"/>
      <c r="E51" s="14"/>
      <c r="F51" s="14"/>
      <c r="G51" s="14"/>
      <c r="H51" s="14"/>
      <c r="I51" s="14"/>
      <c r="J51" s="14"/>
    </row>
    <row r="52" spans="1:10" ht="13">
      <c r="A52" s="553"/>
      <c r="B52" s="466" t="s">
        <v>384</v>
      </c>
      <c r="C52" s="14"/>
      <c r="D52" s="14"/>
      <c r="E52" s="14"/>
      <c r="F52" s="14"/>
      <c r="G52" s="14"/>
      <c r="H52" s="14"/>
      <c r="I52" s="14"/>
      <c r="J52" s="14"/>
    </row>
    <row r="53" spans="1:10">
      <c r="B53" s="466" t="s">
        <v>381</v>
      </c>
      <c r="C53" s="14"/>
      <c r="D53" s="14"/>
      <c r="E53" s="14"/>
      <c r="F53" s="14"/>
      <c r="G53" s="14"/>
      <c r="H53" s="14"/>
      <c r="I53" s="14"/>
      <c r="J53" s="14"/>
    </row>
    <row r="54" spans="1:10">
      <c r="B54" s="856" t="s">
        <v>506</v>
      </c>
      <c r="C54" s="14"/>
      <c r="D54" s="14"/>
      <c r="E54" s="14"/>
      <c r="F54" s="14"/>
      <c r="G54" s="14"/>
      <c r="H54" s="14"/>
      <c r="I54" s="14"/>
      <c r="J54" s="14"/>
    </row>
    <row r="55" spans="1:10">
      <c r="B55" s="469" t="s">
        <v>382</v>
      </c>
      <c r="C55" s="14"/>
      <c r="D55" s="14"/>
      <c r="E55" s="14"/>
      <c r="F55" s="14"/>
      <c r="G55" s="14"/>
      <c r="H55" s="14"/>
      <c r="I55" s="14"/>
      <c r="J55" s="14"/>
    </row>
    <row r="56" spans="1:10">
      <c r="B56" s="469" t="s">
        <v>2291</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&amp;RTO2021 Draft Annual Update 
Attachment 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6</v>
      </c>
    </row>
    <row r="2" spans="1:7">
      <c r="C2" s="467"/>
      <c r="F2" s="43" t="s">
        <v>17</v>
      </c>
      <c r="G2" s="1267"/>
    </row>
    <row r="3" spans="1:7" ht="13">
      <c r="B3" s="1" t="s">
        <v>159</v>
      </c>
      <c r="F3" s="68" t="s">
        <v>2537</v>
      </c>
      <c r="G3" s="515" t="s">
        <v>2666</v>
      </c>
    </row>
    <row r="4" spans="1:7">
      <c r="C4" s="12" t="s">
        <v>549</v>
      </c>
      <c r="E4" s="18"/>
      <c r="F4" s="28"/>
      <c r="G4" s="27"/>
    </row>
    <row r="5" spans="1:7">
      <c r="C5" s="12" t="s">
        <v>550</v>
      </c>
      <c r="E5" s="18"/>
      <c r="F5" s="28"/>
      <c r="G5" s="27"/>
    </row>
    <row r="6" spans="1:7" ht="13">
      <c r="E6" s="18"/>
      <c r="F6" s="74"/>
      <c r="G6" s="27"/>
    </row>
    <row r="7" spans="1:7" ht="13">
      <c r="C7" s="21"/>
      <c r="D7" s="17"/>
      <c r="E7" s="26" t="s">
        <v>194</v>
      </c>
      <c r="F7" s="26" t="s">
        <v>1666</v>
      </c>
      <c r="G7" s="26"/>
    </row>
    <row r="8" spans="1:7" ht="13">
      <c r="A8" s="53" t="s">
        <v>319</v>
      </c>
      <c r="C8" s="25" t="s">
        <v>192</v>
      </c>
      <c r="D8" s="25" t="s">
        <v>193</v>
      </c>
      <c r="E8" s="25" t="s">
        <v>179</v>
      </c>
      <c r="F8" s="31" t="s">
        <v>1665</v>
      </c>
      <c r="G8" s="29" t="s">
        <v>168</v>
      </c>
    </row>
    <row r="9" spans="1:7" ht="13">
      <c r="A9" s="2">
        <v>1</v>
      </c>
      <c r="C9" s="19" t="s">
        <v>180</v>
      </c>
      <c r="D9" s="146">
        <v>2018</v>
      </c>
      <c r="E9" s="30" t="s">
        <v>548</v>
      </c>
      <c r="F9" s="1064">
        <v>279666024</v>
      </c>
      <c r="G9" s="30" t="s">
        <v>85</v>
      </c>
    </row>
    <row r="10" spans="1:7" ht="13">
      <c r="A10" s="110">
        <f>A9+1</f>
        <v>2</v>
      </c>
      <c r="B10" s="14"/>
      <c r="C10" s="807" t="s">
        <v>181</v>
      </c>
      <c r="D10" s="146">
        <v>2019</v>
      </c>
      <c r="E10" s="501" t="s">
        <v>33</v>
      </c>
      <c r="F10" s="497">
        <v>287094260.75999999</v>
      </c>
      <c r="G10" s="30"/>
    </row>
    <row r="11" spans="1:7" ht="13">
      <c r="A11" s="110">
        <f t="shared" ref="A11:A21" si="0">A10+1</f>
        <v>3</v>
      </c>
      <c r="B11" s="14"/>
      <c r="C11" s="807" t="s">
        <v>182</v>
      </c>
      <c r="D11" s="146">
        <v>2019</v>
      </c>
      <c r="E11" s="501" t="s">
        <v>33</v>
      </c>
      <c r="F11" s="497">
        <v>296286300.36000001</v>
      </c>
      <c r="G11" s="30"/>
    </row>
    <row r="12" spans="1:7" ht="13">
      <c r="A12" s="110">
        <f t="shared" si="0"/>
        <v>4</v>
      </c>
      <c r="B12" s="14"/>
      <c r="C12" s="807" t="s">
        <v>195</v>
      </c>
      <c r="D12" s="146">
        <v>2019</v>
      </c>
      <c r="E12" s="501" t="s">
        <v>33</v>
      </c>
      <c r="F12" s="497">
        <v>311184634.44</v>
      </c>
      <c r="G12" s="30"/>
    </row>
    <row r="13" spans="1:7" ht="13">
      <c r="A13" s="110">
        <f t="shared" si="0"/>
        <v>5</v>
      </c>
      <c r="B13" s="14"/>
      <c r="C13" s="807" t="s">
        <v>183</v>
      </c>
      <c r="D13" s="146">
        <v>2019</v>
      </c>
      <c r="E13" s="501" t="s">
        <v>33</v>
      </c>
      <c r="F13" s="497">
        <v>316589656.36000001</v>
      </c>
      <c r="G13" s="30"/>
    </row>
    <row r="14" spans="1:7" ht="13">
      <c r="A14" s="110">
        <f t="shared" si="0"/>
        <v>6</v>
      </c>
      <c r="B14" s="14"/>
      <c r="C14" s="807" t="s">
        <v>184</v>
      </c>
      <c r="D14" s="146">
        <v>2019</v>
      </c>
      <c r="E14" s="501" t="s">
        <v>33</v>
      </c>
      <c r="F14" s="497">
        <v>322621401.64999998</v>
      </c>
      <c r="G14" s="30"/>
    </row>
    <row r="15" spans="1:7" ht="13">
      <c r="A15" s="110">
        <f t="shared" si="0"/>
        <v>7</v>
      </c>
      <c r="B15" s="14"/>
      <c r="C15" s="807" t="s">
        <v>1460</v>
      </c>
      <c r="D15" s="146">
        <v>2019</v>
      </c>
      <c r="E15" s="501" t="s">
        <v>33</v>
      </c>
      <c r="F15" s="497">
        <v>329816733.02999997</v>
      </c>
      <c r="G15" s="30"/>
    </row>
    <row r="16" spans="1:7" ht="13">
      <c r="A16" s="110">
        <f t="shared" si="0"/>
        <v>8</v>
      </c>
      <c r="B16" s="14"/>
      <c r="C16" s="807" t="s">
        <v>186</v>
      </c>
      <c r="D16" s="146">
        <v>2019</v>
      </c>
      <c r="E16" s="501" t="s">
        <v>33</v>
      </c>
      <c r="F16" s="497">
        <v>339429303.07999998</v>
      </c>
      <c r="G16" s="30"/>
    </row>
    <row r="17" spans="1:7" ht="13">
      <c r="A17" s="110">
        <f t="shared" si="0"/>
        <v>9</v>
      </c>
      <c r="B17" s="14"/>
      <c r="C17" s="807" t="s">
        <v>187</v>
      </c>
      <c r="D17" s="146">
        <v>2019</v>
      </c>
      <c r="E17" s="501" t="s">
        <v>33</v>
      </c>
      <c r="F17" s="497">
        <v>347268726.69</v>
      </c>
      <c r="G17" s="30"/>
    </row>
    <row r="18" spans="1:7" ht="13">
      <c r="A18" s="110">
        <f t="shared" si="0"/>
        <v>10</v>
      </c>
      <c r="B18" s="14"/>
      <c r="C18" s="807" t="s">
        <v>188</v>
      </c>
      <c r="D18" s="146">
        <v>2019</v>
      </c>
      <c r="E18" s="501" t="s">
        <v>33</v>
      </c>
      <c r="F18" s="497">
        <v>347908191.67000002</v>
      </c>
      <c r="G18" s="30"/>
    </row>
    <row r="19" spans="1:7" ht="13">
      <c r="A19" s="110">
        <f t="shared" si="0"/>
        <v>11</v>
      </c>
      <c r="B19" s="14"/>
      <c r="C19" s="807" t="s">
        <v>191</v>
      </c>
      <c r="D19" s="146">
        <v>2019</v>
      </c>
      <c r="E19" s="501" t="s">
        <v>33</v>
      </c>
      <c r="F19" s="497">
        <v>353413366.31999999</v>
      </c>
      <c r="G19" s="30"/>
    </row>
    <row r="20" spans="1:7" ht="13">
      <c r="A20" s="110">
        <f t="shared" si="0"/>
        <v>12</v>
      </c>
      <c r="B20" s="14"/>
      <c r="C20" s="807" t="s">
        <v>190</v>
      </c>
      <c r="D20" s="146">
        <v>2019</v>
      </c>
      <c r="E20" s="501" t="s">
        <v>33</v>
      </c>
      <c r="F20" s="497">
        <v>357723185.70999998</v>
      </c>
      <c r="G20" s="30"/>
    </row>
    <row r="21" spans="1:7" ht="13">
      <c r="A21" s="110">
        <f t="shared" si="0"/>
        <v>13</v>
      </c>
      <c r="B21" s="14"/>
      <c r="C21" s="21" t="s">
        <v>180</v>
      </c>
      <c r="D21" s="146">
        <v>2019</v>
      </c>
      <c r="E21" s="30" t="s">
        <v>547</v>
      </c>
      <c r="F21" s="1064">
        <v>361868594</v>
      </c>
      <c r="G21" s="16" t="s">
        <v>89</v>
      </c>
    </row>
    <row r="22" spans="1:7" ht="13">
      <c r="A22" s="14"/>
      <c r="B22" s="14"/>
      <c r="C22" s="22"/>
      <c r="D22" s="22"/>
      <c r="E22" s="18"/>
      <c r="G22" s="30"/>
    </row>
    <row r="23" spans="1:7" ht="13">
      <c r="A23" s="110">
        <f>A21+1</f>
        <v>14</v>
      </c>
      <c r="B23" s="14"/>
      <c r="C23" s="22"/>
      <c r="D23" s="22"/>
      <c r="E23" s="499" t="s">
        <v>1815</v>
      </c>
      <c r="F23" s="33">
        <f>SUM(F9:F21)/13</f>
        <v>326990029.08230776</v>
      </c>
      <c r="G23" s="113" t="str">
        <f>"(Sum Line "&amp;A9&amp;" to Line "&amp;A21&amp;") / 13"</f>
        <v>(Sum Line 1 to Line 13) / 13</v>
      </c>
    </row>
    <row r="24" spans="1:7" ht="13">
      <c r="A24" s="110">
        <f>A23+1</f>
        <v>15</v>
      </c>
      <c r="B24" s="14"/>
      <c r="C24" s="22"/>
      <c r="D24" s="22"/>
      <c r="E24" s="34" t="s">
        <v>309</v>
      </c>
      <c r="F24" s="36">
        <f>'27-Allocators'!G15</f>
        <v>6.5680595610890333E-2</v>
      </c>
      <c r="G24" s="113" t="str">
        <f>"27-Allocators, Line "&amp;'27-Allocators'!A15&amp;""</f>
        <v>27-Allocators, Line 9</v>
      </c>
    </row>
    <row r="25" spans="1:7" ht="13">
      <c r="A25" s="14"/>
      <c r="B25" s="14"/>
      <c r="C25" s="14"/>
      <c r="D25" s="22"/>
      <c r="E25" s="34"/>
      <c r="F25" s="33"/>
      <c r="G25" s="113"/>
    </row>
    <row r="26" spans="1:7" ht="13">
      <c r="A26" s="110">
        <f>A24+1</f>
        <v>16</v>
      </c>
      <c r="B26" s="14"/>
      <c r="C26" s="22" t="s">
        <v>91</v>
      </c>
      <c r="D26" s="22"/>
      <c r="E26" s="357" t="s">
        <v>156</v>
      </c>
      <c r="F26" s="33">
        <f>F21*F24</f>
        <v>23767744.786795456</v>
      </c>
      <c r="G26" s="46" t="str">
        <f>"Line "&amp;A21&amp;" * Line "&amp;A24&amp;""</f>
        <v>Line 13 * Line 15</v>
      </c>
    </row>
    <row r="27" spans="1:7" ht="13">
      <c r="A27" s="110">
        <f>A26+1</f>
        <v>17</v>
      </c>
      <c r="B27" s="14"/>
      <c r="C27" s="22"/>
      <c r="D27" s="22"/>
      <c r="E27" s="499" t="s">
        <v>1816</v>
      </c>
      <c r="F27" s="33">
        <f>F23*F24</f>
        <v>21476899.868948326</v>
      </c>
      <c r="G27" s="46" t="str">
        <f>"Line "&amp;A23&amp;" * Line "&amp;A24&amp;""</f>
        <v>Line 14 * Line 15</v>
      </c>
    </row>
    <row r="28" spans="1:7">
      <c r="A28" s="14"/>
      <c r="B28" s="14"/>
      <c r="C28" s="14"/>
      <c r="D28" s="14"/>
      <c r="E28" s="14"/>
      <c r="F28" s="14"/>
    </row>
    <row r="29" spans="1:7" ht="13">
      <c r="A29" s="14"/>
      <c r="B29" s="44" t="s">
        <v>158</v>
      </c>
      <c r="C29" s="14"/>
      <c r="D29" s="14"/>
      <c r="E29" s="14"/>
      <c r="F29" s="14"/>
    </row>
    <row r="30" spans="1:7">
      <c r="A30" s="14"/>
      <c r="B30" s="14"/>
      <c r="C30" s="14" t="s">
        <v>7</v>
      </c>
      <c r="D30" s="14"/>
      <c r="E30" s="508"/>
      <c r="F30" s="28"/>
      <c r="G30" s="27"/>
    </row>
    <row r="31" spans="1:7">
      <c r="A31" s="14"/>
      <c r="B31" s="14"/>
      <c r="C31" s="14" t="s">
        <v>1753</v>
      </c>
      <c r="D31" s="14"/>
      <c r="E31" s="508"/>
      <c r="F31" s="28"/>
      <c r="G31" s="27"/>
    </row>
    <row r="32" spans="1:7" ht="13">
      <c r="C32" s="21"/>
      <c r="D32" s="17"/>
      <c r="E32" s="26" t="s">
        <v>194</v>
      </c>
      <c r="F32" s="74" t="s">
        <v>242</v>
      </c>
      <c r="G32" s="26"/>
    </row>
    <row r="33" spans="1:11" ht="13">
      <c r="C33" s="25" t="s">
        <v>192</v>
      </c>
      <c r="D33" s="25" t="s">
        <v>193</v>
      </c>
      <c r="E33" s="25" t="s">
        <v>179</v>
      </c>
      <c r="F33" s="31" t="s">
        <v>2</v>
      </c>
      <c r="G33" s="29" t="s">
        <v>168</v>
      </c>
    </row>
    <row r="34" spans="1:11" ht="13">
      <c r="A34" s="110">
        <f>A27+1</f>
        <v>18</v>
      </c>
      <c r="B34" s="14"/>
      <c r="C34" s="284" t="s">
        <v>180</v>
      </c>
      <c r="D34" s="146">
        <v>2018</v>
      </c>
      <c r="E34" s="1055" t="s">
        <v>2301</v>
      </c>
      <c r="F34" s="63">
        <f>F63</f>
        <v>144353946</v>
      </c>
      <c r="G34" s="1055" t="s">
        <v>2299</v>
      </c>
    </row>
    <row r="35" spans="1:11" ht="13">
      <c r="A35" s="110">
        <f>A34+1</f>
        <v>19</v>
      </c>
      <c r="B35" s="14"/>
      <c r="C35" s="807" t="s">
        <v>181</v>
      </c>
      <c r="D35" s="146">
        <v>2019</v>
      </c>
      <c r="E35" s="501" t="s">
        <v>33</v>
      </c>
      <c r="F35" s="497">
        <v>131590729.73</v>
      </c>
      <c r="G35" s="1055"/>
      <c r="J35" s="7"/>
      <c r="K35" s="7"/>
    </row>
    <row r="36" spans="1:11" ht="13">
      <c r="A36" s="110">
        <f t="shared" ref="A36:A46" si="1">A35+1</f>
        <v>20</v>
      </c>
      <c r="B36" s="14"/>
      <c r="C36" s="807" t="s">
        <v>182</v>
      </c>
      <c r="D36" s="146">
        <v>2019</v>
      </c>
      <c r="E36" s="501" t="s">
        <v>33</v>
      </c>
      <c r="F36" s="497">
        <v>501725113.97000003</v>
      </c>
      <c r="G36" s="1055"/>
      <c r="J36" s="7"/>
      <c r="K36" s="7"/>
    </row>
    <row r="37" spans="1:11" ht="13">
      <c r="A37" s="110">
        <f t="shared" si="1"/>
        <v>21</v>
      </c>
      <c r="B37" s="14"/>
      <c r="C37" s="807" t="s">
        <v>195</v>
      </c>
      <c r="D37" s="146">
        <v>2019</v>
      </c>
      <c r="E37" s="501" t="s">
        <v>33</v>
      </c>
      <c r="F37" s="497">
        <v>464295674.31999999</v>
      </c>
      <c r="G37" s="1055"/>
      <c r="J37" s="7"/>
      <c r="K37" s="7"/>
    </row>
    <row r="38" spans="1:11" ht="13">
      <c r="A38" s="110">
        <f t="shared" si="1"/>
        <v>22</v>
      </c>
      <c r="B38" s="14"/>
      <c r="C38" s="807" t="s">
        <v>183</v>
      </c>
      <c r="D38" s="146">
        <v>2019</v>
      </c>
      <c r="E38" s="501" t="s">
        <v>33</v>
      </c>
      <c r="F38" s="497">
        <v>492962961.94</v>
      </c>
      <c r="G38" s="1055"/>
      <c r="J38" s="7"/>
      <c r="K38" s="7"/>
    </row>
    <row r="39" spans="1:11" ht="13">
      <c r="A39" s="110">
        <f t="shared" si="1"/>
        <v>23</v>
      </c>
      <c r="B39" s="14"/>
      <c r="C39" s="807" t="s">
        <v>184</v>
      </c>
      <c r="D39" s="146">
        <v>2019</v>
      </c>
      <c r="E39" s="501" t="s">
        <v>33</v>
      </c>
      <c r="F39" s="497">
        <v>432862954.31</v>
      </c>
      <c r="G39" s="1055"/>
      <c r="J39" s="7"/>
      <c r="K39" s="7"/>
    </row>
    <row r="40" spans="1:11" ht="13">
      <c r="A40" s="110">
        <f t="shared" si="1"/>
        <v>24</v>
      </c>
      <c r="B40" s="14"/>
      <c r="C40" s="807" t="s">
        <v>1460</v>
      </c>
      <c r="D40" s="146">
        <v>2019</v>
      </c>
      <c r="E40" s="501" t="s">
        <v>33</v>
      </c>
      <c r="F40" s="497">
        <v>405911649.62</v>
      </c>
      <c r="G40" s="1055"/>
      <c r="J40" s="7"/>
      <c r="K40" s="7"/>
    </row>
    <row r="41" spans="1:11" ht="13">
      <c r="A41" s="110">
        <f t="shared" si="1"/>
        <v>25</v>
      </c>
      <c r="B41" s="14"/>
      <c r="C41" s="807" t="s">
        <v>186</v>
      </c>
      <c r="D41" s="146">
        <v>2019</v>
      </c>
      <c r="E41" s="501" t="s">
        <v>33</v>
      </c>
      <c r="F41" s="497">
        <v>249318154.72999999</v>
      </c>
      <c r="G41" s="1055"/>
      <c r="J41" s="7"/>
      <c r="K41" s="7"/>
    </row>
    <row r="42" spans="1:11" ht="13">
      <c r="A42" s="110">
        <f t="shared" si="1"/>
        <v>26</v>
      </c>
      <c r="B42" s="14"/>
      <c r="C42" s="807" t="s">
        <v>187</v>
      </c>
      <c r="D42" s="146">
        <v>2019</v>
      </c>
      <c r="E42" s="501" t="s">
        <v>33</v>
      </c>
      <c r="F42" s="497">
        <v>338061291.32999998</v>
      </c>
      <c r="G42" s="1055"/>
      <c r="J42" s="7"/>
      <c r="K42" s="7"/>
    </row>
    <row r="43" spans="1:11" ht="13">
      <c r="A43" s="110">
        <f t="shared" si="1"/>
        <v>27</v>
      </c>
      <c r="B43" s="14"/>
      <c r="C43" s="807" t="s">
        <v>188</v>
      </c>
      <c r="D43" s="146">
        <v>2019</v>
      </c>
      <c r="E43" s="501" t="s">
        <v>33</v>
      </c>
      <c r="F43" s="497">
        <v>291690760.95999998</v>
      </c>
      <c r="G43" s="1055"/>
      <c r="J43" s="7"/>
      <c r="K43" s="7"/>
    </row>
    <row r="44" spans="1:11" ht="13">
      <c r="A44" s="110">
        <f t="shared" si="1"/>
        <v>28</v>
      </c>
      <c r="B44" s="14"/>
      <c r="C44" s="807" t="s">
        <v>191</v>
      </c>
      <c r="D44" s="146">
        <v>2019</v>
      </c>
      <c r="E44" s="501" t="s">
        <v>33</v>
      </c>
      <c r="F44" s="497">
        <v>264462155.12</v>
      </c>
      <c r="G44" s="1055"/>
      <c r="J44" s="7"/>
      <c r="K44" s="7"/>
    </row>
    <row r="45" spans="1:11" ht="13">
      <c r="A45" s="110">
        <f t="shared" si="1"/>
        <v>29</v>
      </c>
      <c r="B45" s="14"/>
      <c r="C45" s="807" t="s">
        <v>190</v>
      </c>
      <c r="D45" s="146">
        <v>2019</v>
      </c>
      <c r="E45" s="501" t="s">
        <v>33</v>
      </c>
      <c r="F45" s="116">
        <v>282717020.18000001</v>
      </c>
      <c r="G45" s="1055"/>
      <c r="J45" s="7"/>
      <c r="K45" s="7"/>
    </row>
    <row r="46" spans="1:11" ht="13">
      <c r="A46" s="110">
        <f t="shared" si="1"/>
        <v>30</v>
      </c>
      <c r="B46" s="14"/>
      <c r="C46" s="21" t="s">
        <v>180</v>
      </c>
      <c r="D46" s="146">
        <v>2019</v>
      </c>
      <c r="E46" s="1055" t="s">
        <v>2302</v>
      </c>
      <c r="F46" s="63">
        <f>F69</f>
        <v>213194393</v>
      </c>
      <c r="G46" s="1055" t="s">
        <v>2300</v>
      </c>
    </row>
    <row r="47" spans="1:11">
      <c r="A47" s="14"/>
      <c r="B47" s="14"/>
      <c r="C47" s="21"/>
      <c r="D47" s="24"/>
      <c r="E47" s="23"/>
      <c r="F47" s="33"/>
      <c r="G47" s="16"/>
    </row>
    <row r="48" spans="1:11" ht="13">
      <c r="A48" s="14"/>
      <c r="B48" s="14"/>
      <c r="C48" s="620" t="s">
        <v>1752</v>
      </c>
      <c r="D48" s="620"/>
      <c r="E48" s="876"/>
      <c r="F48" s="14"/>
      <c r="G48" s="30"/>
    </row>
    <row r="49" spans="1:8" ht="13">
      <c r="A49" s="110">
        <f>A46+1</f>
        <v>31</v>
      </c>
      <c r="B49" s="14"/>
      <c r="C49" s="22"/>
      <c r="D49" s="22"/>
      <c r="E49" s="656" t="s">
        <v>1816</v>
      </c>
      <c r="F49" s="33">
        <f>SUM(F34:F46)/13</f>
        <v>324088215.7853846</v>
      </c>
      <c r="G49" s="113" t="str">
        <f>"(Sum Line "&amp;A34&amp;" to Line "&amp;A46&amp;") / 13"</f>
        <v>(Sum Line 18 to Line 30) / 13</v>
      </c>
    </row>
    <row r="50" spans="1:8" ht="13">
      <c r="A50" s="110">
        <f>A49+1</f>
        <v>32</v>
      </c>
      <c r="B50" s="14"/>
      <c r="C50" s="22"/>
      <c r="D50" s="22"/>
      <c r="E50" s="499" t="s">
        <v>309</v>
      </c>
      <c r="F50" s="36">
        <f>'27-Allocators'!G15</f>
        <v>6.5680595610890333E-2</v>
      </c>
      <c r="G50" s="113" t="str">
        <f>"27-Allocators, Line "&amp;'27-Allocators'!A15&amp;""</f>
        <v>27-Allocators, Line 9</v>
      </c>
    </row>
    <row r="51" spans="1:8" ht="13">
      <c r="A51" s="110">
        <f>A50+1</f>
        <v>33</v>
      </c>
      <c r="B51" s="14"/>
      <c r="C51" s="22"/>
      <c r="D51" s="22"/>
      <c r="E51" s="877" t="s">
        <v>162</v>
      </c>
      <c r="F51" s="33">
        <f>F49*F50</f>
        <v>21286307.043254811</v>
      </c>
      <c r="G51" s="46" t="str">
        <f>"Line "&amp;A49&amp;" * Line "&amp;A50&amp;""</f>
        <v>Line 31 * Line 32</v>
      </c>
    </row>
    <row r="52" spans="1:8" ht="13">
      <c r="A52" s="14"/>
      <c r="B52" s="14"/>
      <c r="C52" s="22" t="s">
        <v>241</v>
      </c>
      <c r="D52" s="22"/>
      <c r="E52" s="508"/>
      <c r="F52" s="14"/>
      <c r="G52" s="35"/>
    </row>
    <row r="53" spans="1:8" ht="13">
      <c r="A53" s="110">
        <f>A51+1</f>
        <v>34</v>
      </c>
      <c r="B53" s="14"/>
      <c r="C53" s="22"/>
      <c r="D53" s="22"/>
      <c r="E53" s="34" t="s">
        <v>156</v>
      </c>
      <c r="F53" s="33">
        <f>F46</f>
        <v>213194393</v>
      </c>
      <c r="G53" s="35" t="str">
        <f>"Line "&amp;A46&amp;""</f>
        <v>Line 30</v>
      </c>
    </row>
    <row r="54" spans="1:8" ht="13">
      <c r="A54" s="110">
        <f>A53+1</f>
        <v>35</v>
      </c>
      <c r="B54" s="14"/>
      <c r="C54" s="22"/>
      <c r="D54" s="22"/>
      <c r="E54" s="34" t="s">
        <v>309</v>
      </c>
      <c r="F54" s="36">
        <f>'27-Allocators'!G15</f>
        <v>6.5680595610890333E-2</v>
      </c>
      <c r="G54" s="113" t="str">
        <f>"27-Allocators, Line "&amp;'27-Allocators'!A15&amp;""</f>
        <v>27-Allocators, Line 9</v>
      </c>
    </row>
    <row r="55" spans="1:8" ht="13">
      <c r="A55" s="110">
        <f>A54+1</f>
        <v>36</v>
      </c>
      <c r="B55" s="14"/>
      <c r="C55" s="22"/>
      <c r="D55" s="22"/>
      <c r="E55" s="32" t="s">
        <v>162</v>
      </c>
      <c r="F55" s="33">
        <f>F53*F54</f>
        <v>14002734.713142229</v>
      </c>
      <c r="G55" s="46" t="str">
        <f>"Line "&amp;A53&amp;" * Line "&amp;A54&amp;""</f>
        <v>Line 34 * Line 35</v>
      </c>
    </row>
    <row r="56" spans="1:8" ht="13">
      <c r="B56" s="51" t="s">
        <v>230</v>
      </c>
      <c r="C56" s="469"/>
      <c r="D56" s="467"/>
      <c r="E56" s="469"/>
      <c r="F56" s="467"/>
      <c r="G56" s="467"/>
    </row>
    <row r="57" spans="1:8">
      <c r="B57" s="467" t="s">
        <v>2303</v>
      </c>
      <c r="C57" s="469" t="str">
        <f>"Remove any amounts related to years prior to 2012 on "&amp;B62&amp;" and "&amp;B68&amp;" below."</f>
        <v>Remove any amounts related to years prior to 2012 on b and e below.</v>
      </c>
      <c r="D57" s="467"/>
      <c r="E57" s="469"/>
      <c r="F57" s="467"/>
      <c r="G57" s="467"/>
    </row>
    <row r="58" spans="1:8" ht="13">
      <c r="A58" s="2"/>
      <c r="B58" s="467"/>
      <c r="C58" s="469"/>
      <c r="D58" s="467"/>
      <c r="E58" s="849"/>
      <c r="F58" s="474"/>
      <c r="G58" s="471"/>
      <c r="H58" s="1"/>
    </row>
    <row r="59" spans="1:8" ht="13">
      <c r="A59" s="2"/>
      <c r="B59" s="467"/>
      <c r="C59" s="469" t="s">
        <v>2304</v>
      </c>
      <c r="D59" s="467"/>
      <c r="E59" s="849"/>
      <c r="F59" s="1056" t="s">
        <v>92</v>
      </c>
      <c r="G59" s="466"/>
    </row>
    <row r="60" spans="1:8" ht="13">
      <c r="A60" s="2"/>
      <c r="B60" s="467"/>
      <c r="C60" s="469"/>
      <c r="D60" s="467"/>
      <c r="E60" s="849"/>
      <c r="F60" s="624" t="s">
        <v>2</v>
      </c>
      <c r="G60" s="380" t="s">
        <v>179</v>
      </c>
    </row>
    <row r="61" spans="1:8" ht="13">
      <c r="A61" s="551"/>
      <c r="B61" s="553" t="s">
        <v>1669</v>
      </c>
      <c r="C61" s="1057"/>
      <c r="D61" s="467"/>
      <c r="E61" s="849" t="s">
        <v>2305</v>
      </c>
      <c r="F61" s="1064">
        <v>144353946</v>
      </c>
      <c r="G61" s="1055" t="s">
        <v>160</v>
      </c>
    </row>
    <row r="62" spans="1:8" ht="13">
      <c r="A62" s="551"/>
      <c r="B62" s="553" t="s">
        <v>1670</v>
      </c>
      <c r="C62" s="469"/>
      <c r="D62" s="467"/>
      <c r="E62" s="849" t="s">
        <v>2306</v>
      </c>
      <c r="F62" s="116">
        <v>0</v>
      </c>
      <c r="G62" s="471" t="s">
        <v>359</v>
      </c>
    </row>
    <row r="63" spans="1:8" ht="13">
      <c r="A63" s="551"/>
      <c r="B63" s="553" t="s">
        <v>1671</v>
      </c>
      <c r="C63" s="469"/>
      <c r="D63" s="467"/>
      <c r="E63" s="849" t="s">
        <v>2307</v>
      </c>
      <c r="F63" s="481">
        <f>F61-F62</f>
        <v>144353946</v>
      </c>
      <c r="G63" s="466" t="str">
        <f>""&amp;B61&amp;" - "&amp;B62&amp;""</f>
        <v>a - b</v>
      </c>
    </row>
    <row r="64" spans="1:8" ht="13">
      <c r="A64" s="551"/>
      <c r="B64" s="467"/>
      <c r="C64" s="469"/>
      <c r="D64" s="467"/>
      <c r="E64" s="469"/>
      <c r="F64" s="467"/>
      <c r="G64" s="467"/>
    </row>
    <row r="65" spans="1:7" ht="13">
      <c r="A65" s="551"/>
      <c r="B65" s="467"/>
      <c r="C65" s="469" t="s">
        <v>2308</v>
      </c>
      <c r="D65" s="467"/>
      <c r="E65" s="849"/>
      <c r="F65" s="1056" t="s">
        <v>92</v>
      </c>
      <c r="G65" s="466"/>
    </row>
    <row r="66" spans="1:7" ht="13">
      <c r="A66" s="551"/>
      <c r="B66" s="467"/>
      <c r="C66" s="469"/>
      <c r="D66" s="467"/>
      <c r="E66" s="849"/>
      <c r="F66" s="624" t="s">
        <v>2</v>
      </c>
      <c r="G66" s="380" t="s">
        <v>179</v>
      </c>
    </row>
    <row r="67" spans="1:7" ht="13">
      <c r="A67" s="551"/>
      <c r="B67" s="553" t="s">
        <v>1672</v>
      </c>
      <c r="C67" s="1057"/>
      <c r="D67" s="467"/>
      <c r="E67" s="849" t="s">
        <v>2305</v>
      </c>
      <c r="F67" s="1064">
        <v>213194393</v>
      </c>
      <c r="G67" s="1055" t="s">
        <v>161</v>
      </c>
    </row>
    <row r="68" spans="1:7" ht="13">
      <c r="A68" s="551"/>
      <c r="B68" s="553" t="s">
        <v>1673</v>
      </c>
      <c r="C68" s="469"/>
      <c r="D68" s="467"/>
      <c r="E68" s="849" t="s">
        <v>2306</v>
      </c>
      <c r="F68" s="116">
        <v>0</v>
      </c>
      <c r="G68" s="471" t="s">
        <v>359</v>
      </c>
    </row>
    <row r="69" spans="1:7" ht="13">
      <c r="A69" s="551"/>
      <c r="B69" s="553" t="s">
        <v>1674</v>
      </c>
      <c r="C69" s="469"/>
      <c r="D69" s="469"/>
      <c r="E69" s="849" t="s">
        <v>2309</v>
      </c>
      <c r="F69" s="481">
        <f>F67-F68</f>
        <v>213194393</v>
      </c>
      <c r="G69" s="466" t="str">
        <f>""&amp;B67&amp;" - "&amp;B68&amp;""</f>
        <v>d - e</v>
      </c>
    </row>
    <row r="73" spans="1:7">
      <c r="F73" s="552"/>
    </row>
  </sheetData>
  <phoneticPr fontId="23" type="noConversion"/>
  <pageMargins left="0.75" right="0.75" top="1" bottom="1" header="0.5" footer="0.5"/>
  <pageSetup scale="73" orientation="portrait" cellComments="asDisplayed" r:id="rId1"/>
  <headerFooter alignWithMargins="0">
    <oddHeader>&amp;CSchedule 13
Working Capital
&amp;RTO2021 Draft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5"/>
  <cols>
    <col min="1" max="1" width="2.54296875" customWidth="1"/>
    <col min="2" max="2" width="18.54296875" customWidth="1"/>
    <col min="3" max="3" width="10.54296875" customWidth="1"/>
    <col min="4" max="4" width="66.54296875" customWidth="1"/>
  </cols>
  <sheetData>
    <row r="1" spans="1:4" ht="13">
      <c r="A1" s="1" t="s">
        <v>1125</v>
      </c>
      <c r="C1" s="1"/>
    </row>
    <row r="3" spans="1:4" ht="13">
      <c r="B3" s="3" t="s">
        <v>1126</v>
      </c>
      <c r="C3" s="3" t="s">
        <v>1194</v>
      </c>
      <c r="D3" s="380" t="s">
        <v>519</v>
      </c>
    </row>
    <row r="4" spans="1:4">
      <c r="B4" s="365" t="s">
        <v>1080</v>
      </c>
      <c r="C4" s="61"/>
      <c r="D4" s="12" t="s">
        <v>1128</v>
      </c>
    </row>
    <row r="5" spans="1:4">
      <c r="B5" s="572" t="s">
        <v>1127</v>
      </c>
      <c r="C5" s="61">
        <v>1</v>
      </c>
      <c r="D5" s="467" t="s">
        <v>2151</v>
      </c>
    </row>
    <row r="6" spans="1:4">
      <c r="B6" s="572" t="s">
        <v>1091</v>
      </c>
      <c r="C6" s="61">
        <v>2</v>
      </c>
      <c r="D6" s="12" t="s">
        <v>1135</v>
      </c>
    </row>
    <row r="7" spans="1:4">
      <c r="B7" s="572" t="s">
        <v>1092</v>
      </c>
      <c r="C7" s="61">
        <v>3</v>
      </c>
      <c r="D7" s="12" t="s">
        <v>1136</v>
      </c>
    </row>
    <row r="8" spans="1:4">
      <c r="B8" s="572" t="s">
        <v>1483</v>
      </c>
      <c r="C8" s="61">
        <v>4</v>
      </c>
      <c r="D8" s="467" t="s">
        <v>1484</v>
      </c>
    </row>
    <row r="9" spans="1:4">
      <c r="B9" s="572" t="s">
        <v>1081</v>
      </c>
      <c r="C9" s="61">
        <v>5</v>
      </c>
      <c r="D9" s="12" t="s">
        <v>1129</v>
      </c>
    </row>
    <row r="10" spans="1:4">
      <c r="B10" s="572" t="s">
        <v>1084</v>
      </c>
      <c r="C10" s="61">
        <v>6</v>
      </c>
      <c r="D10" s="12" t="s">
        <v>1132</v>
      </c>
    </row>
    <row r="11" spans="1:4">
      <c r="B11" s="572" t="s">
        <v>1085</v>
      </c>
      <c r="C11" s="61">
        <v>7</v>
      </c>
      <c r="D11" s="12" t="s">
        <v>1430</v>
      </c>
    </row>
    <row r="12" spans="1:4">
      <c r="B12" s="572" t="s">
        <v>1094</v>
      </c>
      <c r="C12" s="61">
        <v>8</v>
      </c>
      <c r="D12" s="12" t="s">
        <v>1137</v>
      </c>
    </row>
    <row r="13" spans="1:4">
      <c r="B13" s="572" t="s">
        <v>201</v>
      </c>
      <c r="C13" s="61">
        <v>9</v>
      </c>
      <c r="D13" s="12" t="s">
        <v>98</v>
      </c>
    </row>
    <row r="14" spans="1:4">
      <c r="B14" s="572" t="s">
        <v>1</v>
      </c>
      <c r="C14" s="61">
        <v>10</v>
      </c>
      <c r="D14" s="467" t="s">
        <v>2152</v>
      </c>
    </row>
    <row r="15" spans="1:4">
      <c r="B15" s="572" t="s">
        <v>1086</v>
      </c>
      <c r="C15" s="61">
        <v>11</v>
      </c>
      <c r="D15" s="12" t="s">
        <v>1180</v>
      </c>
    </row>
    <row r="16" spans="1:4">
      <c r="B16" s="572" t="s">
        <v>1087</v>
      </c>
      <c r="C16" s="61">
        <v>12</v>
      </c>
      <c r="D16" s="12" t="s">
        <v>1133</v>
      </c>
    </row>
    <row r="17" spans="2:4">
      <c r="B17" s="572" t="s">
        <v>1093</v>
      </c>
      <c r="C17" s="61">
        <v>13</v>
      </c>
      <c r="D17" s="12" t="s">
        <v>1147</v>
      </c>
    </row>
    <row r="18" spans="2:4">
      <c r="B18" s="572" t="s">
        <v>1088</v>
      </c>
      <c r="C18" s="61">
        <v>14</v>
      </c>
      <c r="D18" s="12" t="s">
        <v>1134</v>
      </c>
    </row>
    <row r="19" spans="2:4">
      <c r="B19" s="572" t="s">
        <v>1089</v>
      </c>
      <c r="C19" s="61">
        <v>15</v>
      </c>
      <c r="D19" s="467" t="s">
        <v>1677</v>
      </c>
    </row>
    <row r="20" spans="2:4">
      <c r="B20" s="572" t="s">
        <v>1090</v>
      </c>
      <c r="C20" s="61">
        <v>16</v>
      </c>
      <c r="D20" s="12" t="s">
        <v>1187</v>
      </c>
    </row>
    <row r="21" spans="2:4">
      <c r="B21" s="572" t="s">
        <v>1082</v>
      </c>
      <c r="C21" s="61">
        <v>17</v>
      </c>
      <c r="D21" s="12" t="s">
        <v>1130</v>
      </c>
    </row>
    <row r="22" spans="2:4">
      <c r="B22" s="572" t="s">
        <v>1083</v>
      </c>
      <c r="C22" s="61">
        <v>18</v>
      </c>
      <c r="D22" s="12" t="s">
        <v>1131</v>
      </c>
    </row>
    <row r="23" spans="2:4">
      <c r="B23" s="572" t="s">
        <v>1095</v>
      </c>
      <c r="C23" s="61">
        <v>19</v>
      </c>
      <c r="D23" s="12" t="s">
        <v>1138</v>
      </c>
    </row>
    <row r="24" spans="2:4">
      <c r="B24" s="572" t="s">
        <v>1096</v>
      </c>
      <c r="C24" s="61">
        <v>20</v>
      </c>
      <c r="D24" s="467" t="s">
        <v>280</v>
      </c>
    </row>
    <row r="25" spans="2:4">
      <c r="B25" s="572" t="s">
        <v>1104</v>
      </c>
      <c r="C25" s="61">
        <v>21</v>
      </c>
      <c r="D25" s="12" t="s">
        <v>1139</v>
      </c>
    </row>
    <row r="26" spans="2:4">
      <c r="B26" s="572" t="s">
        <v>1105</v>
      </c>
      <c r="C26" s="61">
        <v>22</v>
      </c>
      <c r="D26" s="12" t="s">
        <v>1186</v>
      </c>
    </row>
    <row r="27" spans="2:4">
      <c r="B27" s="572" t="s">
        <v>1106</v>
      </c>
      <c r="C27" s="61">
        <v>23</v>
      </c>
      <c r="D27" s="12" t="s">
        <v>1140</v>
      </c>
    </row>
    <row r="28" spans="2:4" ht="12.75" customHeight="1">
      <c r="B28" s="572" t="s">
        <v>1417</v>
      </c>
      <c r="C28" s="61">
        <v>24</v>
      </c>
      <c r="D28" s="12" t="s">
        <v>1418</v>
      </c>
    </row>
    <row r="29" spans="2:4">
      <c r="B29" s="572" t="s">
        <v>1358</v>
      </c>
      <c r="C29" s="61">
        <v>25</v>
      </c>
      <c r="D29" s="12" t="s">
        <v>1359</v>
      </c>
    </row>
    <row r="30" spans="2:4">
      <c r="B30" s="572" t="s">
        <v>1109</v>
      </c>
      <c r="C30" s="61">
        <v>26</v>
      </c>
      <c r="D30" s="12" t="s">
        <v>1141</v>
      </c>
    </row>
    <row r="31" spans="2:4">
      <c r="B31" s="572" t="s">
        <v>1108</v>
      </c>
      <c r="C31" s="61">
        <v>27</v>
      </c>
      <c r="D31" s="12" t="s">
        <v>202</v>
      </c>
    </row>
    <row r="32" spans="2:4">
      <c r="B32" s="572" t="s">
        <v>1107</v>
      </c>
      <c r="C32" s="61">
        <v>28</v>
      </c>
      <c r="D32" s="12" t="s">
        <v>1142</v>
      </c>
    </row>
    <row r="33" spans="2:4">
      <c r="B33" s="572" t="s">
        <v>1110</v>
      </c>
      <c r="C33" s="61">
        <v>29</v>
      </c>
      <c r="D33" s="12" t="s">
        <v>1143</v>
      </c>
    </row>
    <row r="34" spans="2:4">
      <c r="B34" s="572" t="s">
        <v>1111</v>
      </c>
      <c r="C34" s="61">
        <v>30</v>
      </c>
      <c r="D34" s="12" t="s">
        <v>1188</v>
      </c>
    </row>
    <row r="35" spans="2:4">
      <c r="B35" s="572" t="s">
        <v>1112</v>
      </c>
      <c r="C35" s="61">
        <v>31</v>
      </c>
      <c r="D35" s="12" t="s">
        <v>1144</v>
      </c>
    </row>
    <row r="36" spans="2:4">
      <c r="B36" s="572" t="s">
        <v>1113</v>
      </c>
      <c r="C36" s="61">
        <v>32</v>
      </c>
      <c r="D36" s="12" t="s">
        <v>1145</v>
      </c>
    </row>
    <row r="37" spans="2:4">
      <c r="B37" s="572" t="s">
        <v>1114</v>
      </c>
      <c r="C37" s="458">
        <v>33</v>
      </c>
      <c r="D37" s="12" t="s">
        <v>1146</v>
      </c>
    </row>
    <row r="38" spans="2:4">
      <c r="B38" s="572" t="s">
        <v>1955</v>
      </c>
      <c r="C38" s="845">
        <v>34</v>
      </c>
      <c r="D38" s="469" t="s">
        <v>1978</v>
      </c>
    </row>
    <row r="39" spans="2:4">
      <c r="B39" s="12"/>
    </row>
    <row r="40" spans="2:4">
      <c r="B40" s="12"/>
    </row>
    <row r="41" spans="2:4">
      <c r="B41" s="12"/>
    </row>
    <row r="42" spans="2:4">
      <c r="B42" s="12"/>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Print_Area" display="Unfunded Reserves" xr:uid="{00000000-0004-0000-0100-000022000000}"/>
  </hyperlinks>
  <pageMargins left="0.7" right="0.7" top="0.75" bottom="0.75" header="0.3" footer="0.3"/>
  <pageSetup scale="90" orientation="portrait" cellComments="asDisplayed" r:id="rId1"/>
  <headerFooter>
    <oddHeader>&amp;RTO2021 Draft Annual Update 
Attachment 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14"/>
  <sheetViews>
    <sheetView zoomScale="80" zoomScaleNormal="80" zoomScalePageLayoutView="80" workbookViewId="0"/>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244</v>
      </c>
    </row>
    <row r="2" spans="1:10" ht="13">
      <c r="A2" s="1" t="s">
        <v>245</v>
      </c>
      <c r="E2" s="68" t="s">
        <v>2537</v>
      </c>
      <c r="F2" s="515" t="s">
        <v>2913</v>
      </c>
      <c r="G2" s="97"/>
    </row>
    <row r="3" spans="1:10" ht="13">
      <c r="B3" s="1"/>
      <c r="H3" s="185" t="s">
        <v>246</v>
      </c>
      <c r="I3" s="97"/>
      <c r="J3" s="56"/>
    </row>
    <row r="4" spans="1:10" ht="13">
      <c r="B4" s="1" t="s">
        <v>247</v>
      </c>
      <c r="H4" s="1150"/>
    </row>
    <row r="5" spans="1:10" ht="13">
      <c r="B5" s="55" t="s">
        <v>248</v>
      </c>
    </row>
    <row r="6" spans="1:10" ht="13">
      <c r="B6" s="55" t="s">
        <v>297</v>
      </c>
    </row>
    <row r="7" spans="1:10" ht="13">
      <c r="B7" s="103" t="s">
        <v>993</v>
      </c>
    </row>
    <row r="8" spans="1:10" ht="13">
      <c r="B8" s="103" t="s">
        <v>1485</v>
      </c>
    </row>
    <row r="9" spans="1:10" ht="13">
      <c r="B9" s="103" t="s">
        <v>1486</v>
      </c>
      <c r="D9" s="1"/>
      <c r="E9" s="1"/>
    </row>
    <row r="10" spans="1:10" ht="13">
      <c r="B10" s="55"/>
    </row>
    <row r="11" spans="1:10" ht="13">
      <c r="B11" s="55"/>
      <c r="C11" s="12" t="s">
        <v>355</v>
      </c>
    </row>
    <row r="12" spans="1:10" ht="13">
      <c r="B12" s="55"/>
      <c r="C12" s="471" t="s">
        <v>1488</v>
      </c>
    </row>
    <row r="13" spans="1:10" ht="13">
      <c r="B13" s="55"/>
      <c r="C13" s="466" t="s">
        <v>1766</v>
      </c>
      <c r="D13" s="14"/>
      <c r="E13" s="14"/>
      <c r="F13" s="14"/>
      <c r="G13" s="14"/>
      <c r="H13" s="14"/>
      <c r="I13" s="14"/>
    </row>
    <row r="14" spans="1:10" ht="13">
      <c r="B14" s="55"/>
      <c r="C14" s="466" t="s">
        <v>1489</v>
      </c>
      <c r="D14" s="14"/>
      <c r="E14" s="14"/>
      <c r="F14" s="14"/>
      <c r="G14" s="14"/>
      <c r="H14" s="14"/>
      <c r="I14" s="14"/>
    </row>
    <row r="15" spans="1:10" ht="13">
      <c r="B15" s="55"/>
      <c r="C15" s="852" t="s">
        <v>1490</v>
      </c>
      <c r="D15" s="14"/>
      <c r="E15" s="14"/>
      <c r="F15" s="14"/>
      <c r="G15" s="14"/>
      <c r="H15" s="14"/>
      <c r="I15" s="14"/>
    </row>
    <row r="16" spans="1:10" ht="13">
      <c r="B16" s="55"/>
      <c r="C16" s="466" t="s">
        <v>1492</v>
      </c>
      <c r="D16" s="14"/>
      <c r="E16" s="14"/>
      <c r="F16" s="14"/>
      <c r="G16" s="14"/>
      <c r="H16" s="14"/>
      <c r="I16" s="14"/>
    </row>
    <row r="17" spans="1:10" ht="13">
      <c r="B17" s="55"/>
      <c r="C17" s="466" t="s">
        <v>1491</v>
      </c>
      <c r="D17" s="14"/>
      <c r="E17" s="14"/>
      <c r="F17" s="14"/>
      <c r="G17" s="14"/>
      <c r="H17" s="14"/>
      <c r="I17" s="14"/>
    </row>
    <row r="18" spans="1:10" ht="13">
      <c r="B18" s="55"/>
      <c r="C18" s="46"/>
      <c r="D18" s="14"/>
      <c r="E18" s="14"/>
      <c r="F18" s="14"/>
      <c r="G18" s="14"/>
      <c r="H18" s="14"/>
      <c r="I18" s="14"/>
    </row>
    <row r="19" spans="1:10" ht="13">
      <c r="C19" s="44" t="s">
        <v>992</v>
      </c>
      <c r="D19" s="14"/>
      <c r="E19" s="14"/>
      <c r="F19" s="14"/>
      <c r="G19" s="14"/>
      <c r="H19" s="14"/>
      <c r="I19" s="14"/>
    </row>
    <row r="20" spans="1:10" ht="13">
      <c r="C20" s="44"/>
      <c r="D20" s="14"/>
      <c r="E20" s="123" t="s">
        <v>358</v>
      </c>
      <c r="F20" s="123" t="s">
        <v>342</v>
      </c>
      <c r="G20" s="123" t="s">
        <v>343</v>
      </c>
      <c r="H20" s="14"/>
      <c r="I20" s="14"/>
    </row>
    <row r="21" spans="1:10" ht="13">
      <c r="B21" s="1"/>
      <c r="C21" s="14"/>
      <c r="D21" s="14"/>
      <c r="E21" s="14"/>
      <c r="F21" s="110" t="s">
        <v>63</v>
      </c>
      <c r="G21" s="110" t="s">
        <v>18</v>
      </c>
      <c r="H21" s="14"/>
      <c r="I21" s="14"/>
    </row>
    <row r="22" spans="1:10" ht="13">
      <c r="B22" s="1"/>
      <c r="C22" s="14"/>
      <c r="D22" s="14"/>
      <c r="E22" s="110" t="s">
        <v>63</v>
      </c>
      <c r="F22" s="861" t="s">
        <v>228</v>
      </c>
      <c r="G22" s="110" t="s">
        <v>296</v>
      </c>
      <c r="H22" s="14"/>
      <c r="I22" s="14"/>
    </row>
    <row r="23" spans="1:10" ht="13">
      <c r="B23" s="1"/>
      <c r="C23" s="15"/>
      <c r="D23" s="14"/>
      <c r="E23" s="110" t="s">
        <v>227</v>
      </c>
      <c r="F23" s="110" t="s">
        <v>229</v>
      </c>
      <c r="G23" s="110" t="s">
        <v>1</v>
      </c>
      <c r="H23" s="14"/>
      <c r="I23" s="14"/>
    </row>
    <row r="24" spans="1:10" ht="13">
      <c r="B24" s="1"/>
      <c r="C24" s="110" t="s">
        <v>8</v>
      </c>
      <c r="D24" s="14"/>
      <c r="E24" s="110" t="s">
        <v>240</v>
      </c>
      <c r="F24" s="110" t="s">
        <v>240</v>
      </c>
      <c r="G24" s="861" t="s">
        <v>10</v>
      </c>
      <c r="H24" s="14"/>
      <c r="I24" s="14"/>
    </row>
    <row r="25" spans="1:10" ht="13">
      <c r="A25" s="51" t="s">
        <v>329</v>
      </c>
      <c r="B25" s="1"/>
      <c r="C25" s="123" t="s">
        <v>224</v>
      </c>
      <c r="D25" s="14"/>
      <c r="E25" s="123" t="s">
        <v>175</v>
      </c>
      <c r="F25" s="123" t="s">
        <v>175</v>
      </c>
      <c r="G25" s="123" t="s">
        <v>175</v>
      </c>
      <c r="H25" s="123" t="s">
        <v>230</v>
      </c>
      <c r="I25" s="109"/>
      <c r="J25" s="50"/>
    </row>
    <row r="26" spans="1:10" ht="13">
      <c r="A26" s="2">
        <v>1</v>
      </c>
      <c r="B26" s="1"/>
      <c r="C26" s="15" t="s">
        <v>336</v>
      </c>
      <c r="D26" s="14"/>
      <c r="E26" s="63">
        <f>'10-CWIP'!E25</f>
        <v>157682.99</v>
      </c>
      <c r="F26" s="63">
        <f>'10-CWIP'!E26</f>
        <v>156779.51307692306</v>
      </c>
      <c r="G26" s="63">
        <f>'10-CWIP'!K113</f>
        <v>-157682.99000000002</v>
      </c>
      <c r="H26" s="46" t="str">
        <f>"10-CWIP Lines "&amp;'10-CWIP'!A25&amp;", "&amp;'10-CWIP'!A26&amp;", and "&amp;'10-CWIP'!A113&amp;""</f>
        <v>10-CWIP Lines 13, 14, and 80</v>
      </c>
      <c r="I26" s="14"/>
    </row>
    <row r="27" spans="1:10" ht="13">
      <c r="A27" s="2">
        <f t="shared" ref="A27:A37" si="0">A26+1</f>
        <v>2</v>
      </c>
      <c r="B27" s="1"/>
      <c r="C27" s="15" t="s">
        <v>337</v>
      </c>
      <c r="D27" s="14"/>
      <c r="E27" s="63">
        <f>'10-CWIP'!F25</f>
        <v>0</v>
      </c>
      <c r="F27" s="63">
        <f>'10-CWIP'!F26</f>
        <v>0</v>
      </c>
      <c r="G27" s="63">
        <f>'10-CWIP'!K146</f>
        <v>0</v>
      </c>
      <c r="H27" s="46" t="str">
        <f>"10-CWIP Lines "&amp;'10-CWIP'!A25&amp;", "&amp;'10-CWIP'!A26&amp;", and "&amp;'10-CWIP'!A146&amp;""</f>
        <v>10-CWIP Lines 13, 14, and 106</v>
      </c>
      <c r="I27" s="14"/>
    </row>
    <row r="28" spans="1:10" ht="13">
      <c r="A28" s="2">
        <f t="shared" si="0"/>
        <v>3</v>
      </c>
      <c r="B28" s="1"/>
      <c r="C28" s="469" t="s">
        <v>2334</v>
      </c>
      <c r="D28" s="14"/>
      <c r="E28" s="63">
        <f>'10-CWIP'!G25</f>
        <v>5584199.04</v>
      </c>
      <c r="F28" s="63">
        <f>'10-CWIP'!G26</f>
        <v>5454201.1723076934</v>
      </c>
      <c r="G28" s="63">
        <f>'10-CWIP'!K179</f>
        <v>21500</v>
      </c>
      <c r="H28" s="46" t="str">
        <f>"10-CWIP Lines "&amp;'10-CWIP'!A25&amp;", "&amp;'10-CWIP'!A26&amp;", and "&amp;'10-CWIP'!A179&amp;""</f>
        <v>10-CWIP Lines 13, 14, and 132</v>
      </c>
      <c r="I28" s="14"/>
    </row>
    <row r="29" spans="1:10" ht="13">
      <c r="A29" s="2">
        <f t="shared" si="0"/>
        <v>4</v>
      </c>
      <c r="B29" s="1"/>
      <c r="C29" s="469" t="s">
        <v>2335</v>
      </c>
      <c r="D29" s="14"/>
      <c r="E29" s="63">
        <f>'10-CWIP'!H25</f>
        <v>468121962.68000001</v>
      </c>
      <c r="F29" s="63">
        <f>'10-CWIP'!H26</f>
        <v>355612330.7961539</v>
      </c>
      <c r="G29" s="63">
        <f>'10-CWIP'!K212</f>
        <v>-419183167.20692325</v>
      </c>
      <c r="H29" s="46" t="str">
        <f>"10-CWIP Lines "&amp;'10-CWIP'!A25&amp;", "&amp;'10-CWIP'!A26&amp;", and "&amp;'10-CWIP'!A212&amp;""</f>
        <v>10-CWIP Lines 13, 14, and 158</v>
      </c>
      <c r="I29" s="14"/>
    </row>
    <row r="30" spans="1:10" ht="13">
      <c r="A30" s="2">
        <f t="shared" si="0"/>
        <v>5</v>
      </c>
      <c r="B30" s="1"/>
      <c r="C30" s="15" t="s">
        <v>998</v>
      </c>
      <c r="D30" s="14"/>
      <c r="E30" s="63">
        <f>'10-CWIP'!I25</f>
        <v>0</v>
      </c>
      <c r="F30" s="63">
        <f>'10-CWIP'!I26</f>
        <v>0</v>
      </c>
      <c r="G30" s="63">
        <f>'10-CWIP'!K245</f>
        <v>0</v>
      </c>
      <c r="H30" s="46" t="str">
        <f>"10-CWIP Lines "&amp;'10-CWIP'!A25&amp;", "&amp;'10-CWIP'!A26&amp;", and "&amp;'10-CWIP'!A245&amp;""</f>
        <v>10-CWIP Lines 13, 14, and 184</v>
      </c>
      <c r="I30" s="14"/>
    </row>
    <row r="31" spans="1:10" ht="13">
      <c r="A31" s="2">
        <f t="shared" si="0"/>
        <v>6</v>
      </c>
      <c r="B31" s="1"/>
      <c r="C31" s="15" t="s">
        <v>999</v>
      </c>
      <c r="D31" s="14"/>
      <c r="E31" s="63">
        <f>'10-CWIP'!D45</f>
        <v>0</v>
      </c>
      <c r="F31" s="63">
        <f>'10-CWIP'!D46</f>
        <v>0</v>
      </c>
      <c r="G31" s="63">
        <f>'10-CWIP'!K278</f>
        <v>0</v>
      </c>
      <c r="H31" s="46" t="str">
        <f>"10-CWIP Lines "&amp;'10-CWIP'!A45&amp;", "&amp;'10-CWIP'!A46&amp;", and "&amp;'10-CWIP'!A278&amp;""</f>
        <v>10-CWIP Lines 27, 28, and 210</v>
      </c>
      <c r="I31" s="14"/>
    </row>
    <row r="32" spans="1:10" ht="13">
      <c r="A32" s="2">
        <f t="shared" si="0"/>
        <v>7</v>
      </c>
      <c r="B32" s="1"/>
      <c r="C32" s="15" t="s">
        <v>1000</v>
      </c>
      <c r="D32" s="14"/>
      <c r="E32" s="63">
        <f>'10-CWIP'!E45</f>
        <v>301246.76</v>
      </c>
      <c r="F32" s="63">
        <f>'10-CWIP'!E46</f>
        <v>88742.059230769228</v>
      </c>
      <c r="G32" s="63">
        <f>'10-CWIP'!K311</f>
        <v>4760153.9834615383</v>
      </c>
      <c r="H32" s="46" t="str">
        <f>"10-CWIP Lines "&amp;'10-CWIP'!A45&amp;", "&amp;'10-CWIP'!A46&amp;", and "&amp;'10-CWIP'!A311&amp;""</f>
        <v>10-CWIP Lines 27, 28, and 236</v>
      </c>
      <c r="I32" s="14"/>
    </row>
    <row r="33" spans="1:10" ht="13">
      <c r="A33" s="2">
        <f t="shared" si="0"/>
        <v>8</v>
      </c>
      <c r="B33" s="1"/>
      <c r="C33" s="469" t="s">
        <v>2424</v>
      </c>
      <c r="D33" s="14"/>
      <c r="E33" s="63">
        <f>'10-CWIP'!F45</f>
        <v>49845413.409999996</v>
      </c>
      <c r="F33" s="63">
        <f>'10-CWIP'!F46</f>
        <v>143742844.59846157</v>
      </c>
      <c r="G33" s="63">
        <f>'10-CWIP'!K344</f>
        <v>50282477.689230785</v>
      </c>
      <c r="H33" s="46" t="str">
        <f>"10-CWIP Lines "&amp;'10-CWIP'!A45&amp;", "&amp;'10-CWIP'!A46&amp;", and "&amp;'10-CWIP'!A344&amp;""</f>
        <v>10-CWIP Lines 27, 28, and 262</v>
      </c>
      <c r="I33" s="14"/>
    </row>
    <row r="34" spans="1:10" ht="13">
      <c r="A34" s="2">
        <f t="shared" si="0"/>
        <v>9</v>
      </c>
      <c r="B34" s="1"/>
      <c r="C34" s="469" t="s">
        <v>2425</v>
      </c>
      <c r="D34" s="14"/>
      <c r="E34" s="63">
        <f>'10-CWIP'!G45</f>
        <v>21762814.390000001</v>
      </c>
      <c r="F34" s="63">
        <f>'10-CWIP'!G46</f>
        <v>20834671.990000002</v>
      </c>
      <c r="G34" s="63">
        <f>'10-CWIP'!K377</f>
        <v>831534.66580000147</v>
      </c>
      <c r="H34" s="46" t="str">
        <f>"10-CWIP Lines "&amp;'10-CWIP'!A45&amp;", "&amp;'10-CWIP'!A46&amp;", and "&amp;'10-CWIP'!A377&amp;""</f>
        <v>10-CWIP Lines 27, 28, and 288</v>
      </c>
      <c r="I34" s="14"/>
    </row>
    <row r="35" spans="1:10" ht="13">
      <c r="A35" s="2">
        <f t="shared" si="0"/>
        <v>10</v>
      </c>
      <c r="B35" s="1"/>
      <c r="C35" s="469" t="s">
        <v>2426</v>
      </c>
      <c r="E35" s="63">
        <f>'10-CWIP'!H45</f>
        <v>101708198.75</v>
      </c>
      <c r="F35" s="63">
        <f>'10-CWIP'!H46</f>
        <v>75591749.700000003</v>
      </c>
      <c r="G35" s="63">
        <f>'10-CWIP'!K410</f>
        <v>-8452843.93307692</v>
      </c>
      <c r="H35" s="46" t="str">
        <f>"10-CWIP Lines "&amp;'10-CWIP'!A45&amp;", "&amp;'10-CWIP'!A46&amp;", and "&amp;'10-CWIP'!A410&amp;""</f>
        <v>10-CWIP Lines 27, 28, and 314</v>
      </c>
      <c r="I35" s="14"/>
      <c r="J35" s="14"/>
    </row>
    <row r="36" spans="1:10" ht="13">
      <c r="A36" s="2">
        <f t="shared" si="0"/>
        <v>11</v>
      </c>
      <c r="B36" s="1"/>
      <c r="C36" s="528" t="s">
        <v>504</v>
      </c>
      <c r="D36" s="97"/>
      <c r="E36" s="1454" t="s">
        <v>76</v>
      </c>
      <c r="F36" s="1454" t="s">
        <v>76</v>
      </c>
      <c r="G36" s="1454" t="s">
        <v>76</v>
      </c>
      <c r="H36" s="528" t="s">
        <v>504</v>
      </c>
      <c r="I36" s="97"/>
    </row>
    <row r="37" spans="1:10" ht="13">
      <c r="A37" s="2">
        <f t="shared" si="0"/>
        <v>12</v>
      </c>
      <c r="B37" s="1"/>
      <c r="D37" s="79" t="s">
        <v>197</v>
      </c>
      <c r="E37" s="7">
        <f>SUM(E26:E35)</f>
        <v>647481518.01999998</v>
      </c>
      <c r="F37" s="7">
        <f>SUM(F26:F35)</f>
        <v>601481319.8292309</v>
      </c>
      <c r="G37" s="7">
        <f>SUM(G26:G35)</f>
        <v>-371898027.79150784</v>
      </c>
      <c r="H37" s="52"/>
    </row>
    <row r="38" spans="1:10" ht="13">
      <c r="B38" s="1"/>
    </row>
    <row r="39" spans="1:10" ht="13">
      <c r="B39" s="1"/>
      <c r="C39" s="1" t="s">
        <v>1241</v>
      </c>
    </row>
    <row r="40" spans="1:10" ht="13">
      <c r="B40" s="1"/>
      <c r="C40" s="1"/>
    </row>
    <row r="41" spans="1:10" ht="13">
      <c r="B41" s="1"/>
      <c r="E41" s="3" t="s">
        <v>358</v>
      </c>
      <c r="F41" s="3" t="s">
        <v>342</v>
      </c>
      <c r="G41" s="3" t="s">
        <v>343</v>
      </c>
    </row>
    <row r="42" spans="1:10" ht="13">
      <c r="B42" s="1"/>
      <c r="E42" s="529" t="s">
        <v>1463</v>
      </c>
      <c r="F42" s="3"/>
      <c r="G42" s="3"/>
    </row>
    <row r="43" spans="1:10" ht="13">
      <c r="B43" s="1"/>
      <c r="E43" s="2" t="s">
        <v>63</v>
      </c>
      <c r="F43" s="2" t="s">
        <v>299</v>
      </c>
      <c r="G43" s="2" t="s">
        <v>299</v>
      </c>
    </row>
    <row r="44" spans="1:10" ht="13">
      <c r="B44" s="1"/>
      <c r="E44" s="2" t="s">
        <v>8</v>
      </c>
      <c r="F44" s="2" t="s">
        <v>1</v>
      </c>
      <c r="G44" s="2" t="s">
        <v>298</v>
      </c>
    </row>
    <row r="45" spans="1:10" ht="13">
      <c r="B45" s="1"/>
      <c r="E45" s="3" t="s">
        <v>173</v>
      </c>
      <c r="F45" s="3" t="s">
        <v>249</v>
      </c>
      <c r="G45" s="3" t="s">
        <v>3</v>
      </c>
      <c r="H45" s="3" t="s">
        <v>230</v>
      </c>
    </row>
    <row r="46" spans="1:10" ht="13">
      <c r="A46" s="2">
        <f>A37+1</f>
        <v>13</v>
      </c>
      <c r="B46" s="1"/>
      <c r="C46" t="s">
        <v>225</v>
      </c>
      <c r="E46" s="101">
        <f>F46+G46</f>
        <v>140675231.43613446</v>
      </c>
      <c r="F46" s="63">
        <v>0</v>
      </c>
      <c r="G46" s="63">
        <f>H84</f>
        <v>140675231.43613446</v>
      </c>
      <c r="H46" s="46" t="str">
        <f>"Line "&amp;A84&amp;", C4"</f>
        <v>Line 37, C4</v>
      </c>
      <c r="I46" s="14"/>
    </row>
    <row r="47" spans="1:10" ht="13">
      <c r="A47" s="2">
        <f>A46+1</f>
        <v>14</v>
      </c>
      <c r="B47" s="1"/>
      <c r="C47" t="s">
        <v>226</v>
      </c>
      <c r="E47" s="101">
        <f>F47+G47</f>
        <v>2592594066.0880814</v>
      </c>
      <c r="F47" s="63">
        <f>E26</f>
        <v>157682.99</v>
      </c>
      <c r="G47" s="63">
        <f>F84</f>
        <v>2592436383.0980816</v>
      </c>
      <c r="H47" s="46" t="str">
        <f>"Line "&amp;A26&amp;", C1, and Line "&amp;A84&amp;", C2"</f>
        <v>Line 1, C1, and Line 37, C2</v>
      </c>
      <c r="I47" s="14"/>
    </row>
    <row r="48" spans="1:10" ht="13">
      <c r="A48" s="2">
        <f>A47+1</f>
        <v>15</v>
      </c>
      <c r="B48" s="1"/>
      <c r="C48" s="467" t="s">
        <v>1644</v>
      </c>
      <c r="E48" s="101">
        <f>F48+G48</f>
        <v>649167356.36563158</v>
      </c>
      <c r="F48" s="63">
        <f>E27</f>
        <v>0</v>
      </c>
      <c r="G48" s="63">
        <f>G84</f>
        <v>649167356.36563158</v>
      </c>
      <c r="H48" s="46" t="str">
        <f>"Line "&amp;A27&amp;", C1, and Line "&amp;A84&amp;", C3"</f>
        <v>Line 2, C1, and Line 37, C3</v>
      </c>
      <c r="I48" s="14"/>
    </row>
    <row r="49" spans="1:9" ht="13">
      <c r="A49" s="2">
        <f>A48+1</f>
        <v>16</v>
      </c>
      <c r="B49" s="1"/>
      <c r="C49" s="528" t="s">
        <v>504</v>
      </c>
      <c r="D49" s="97"/>
      <c r="E49" s="1455" t="s">
        <v>76</v>
      </c>
      <c r="F49" s="1455" t="s">
        <v>76</v>
      </c>
      <c r="G49" s="1455" t="s">
        <v>76</v>
      </c>
      <c r="H49" s="528" t="s">
        <v>504</v>
      </c>
      <c r="I49" s="97"/>
    </row>
    <row r="50" spans="1:9" ht="13">
      <c r="A50" s="2">
        <f>A49+1</f>
        <v>17</v>
      </c>
      <c r="B50" s="1"/>
      <c r="C50" s="186"/>
      <c r="E50" s="96"/>
      <c r="F50" s="96"/>
      <c r="G50" s="96"/>
      <c r="H50" s="13"/>
    </row>
    <row r="51" spans="1:9" ht="13">
      <c r="A51" s="2">
        <f>A50+1</f>
        <v>18</v>
      </c>
      <c r="B51" s="1"/>
      <c r="D51" s="465" t="s">
        <v>1648</v>
      </c>
      <c r="E51" s="7">
        <f>SUM(E46:E48)</f>
        <v>3382436653.8898473</v>
      </c>
      <c r="F51" s="96"/>
      <c r="G51" s="96"/>
      <c r="H51" s="471" t="s">
        <v>1649</v>
      </c>
    </row>
    <row r="52" spans="1:9" ht="13">
      <c r="B52" s="1"/>
    </row>
    <row r="53" spans="1:9" ht="13">
      <c r="B53" s="1"/>
      <c r="C53" s="1" t="s">
        <v>1487</v>
      </c>
    </row>
    <row r="54" spans="1:9" ht="13">
      <c r="B54" s="1"/>
      <c r="C54" s="1"/>
    </row>
    <row r="55" spans="1:9" ht="13">
      <c r="B55" s="1"/>
      <c r="C55" s="1"/>
      <c r="E55" s="3" t="s">
        <v>358</v>
      </c>
      <c r="F55" s="3" t="s">
        <v>342</v>
      </c>
      <c r="G55" s="3" t="s">
        <v>343</v>
      </c>
    </row>
    <row r="56" spans="1:9" ht="13">
      <c r="B56" s="1"/>
      <c r="E56" s="529" t="s">
        <v>1463</v>
      </c>
      <c r="G56" s="2" t="s">
        <v>10</v>
      </c>
    </row>
    <row r="57" spans="1:9" ht="13">
      <c r="B57" s="1"/>
      <c r="E57" s="2" t="s">
        <v>63</v>
      </c>
      <c r="F57" s="2" t="s">
        <v>10</v>
      </c>
      <c r="G57" s="2" t="s">
        <v>298</v>
      </c>
    </row>
    <row r="58" spans="1:9" ht="13">
      <c r="B58" s="1"/>
      <c r="C58" s="2" t="s">
        <v>8</v>
      </c>
      <c r="E58" s="2" t="s">
        <v>8</v>
      </c>
      <c r="F58" s="2" t="s">
        <v>1</v>
      </c>
      <c r="G58" s="2" t="s">
        <v>3</v>
      </c>
    </row>
    <row r="59" spans="1:9" ht="12.75" customHeight="1">
      <c r="B59" s="1"/>
      <c r="C59" s="3" t="s">
        <v>224</v>
      </c>
      <c r="E59" s="3" t="s">
        <v>173</v>
      </c>
      <c r="F59" s="3" t="s">
        <v>249</v>
      </c>
      <c r="G59" s="3" t="s">
        <v>249</v>
      </c>
      <c r="H59" s="3" t="s">
        <v>230</v>
      </c>
    </row>
    <row r="60" spans="1:9" ht="13">
      <c r="A60" s="2">
        <f>A51+1</f>
        <v>19</v>
      </c>
      <c r="B60" s="1"/>
      <c r="C60" t="s">
        <v>225</v>
      </c>
      <c r="E60" s="101">
        <f>F60+G60</f>
        <v>143115066.53896901</v>
      </c>
      <c r="F60" s="63">
        <v>0</v>
      </c>
      <c r="G60" s="104">
        <f>H85</f>
        <v>143115066.53896901</v>
      </c>
      <c r="H60" s="46" t="str">
        <f>"Line "&amp;A85&amp;", C4"</f>
        <v>Line 38, C4</v>
      </c>
      <c r="I60" s="14"/>
    </row>
    <row r="61" spans="1:9" ht="13">
      <c r="A61" s="2">
        <f>A60+1</f>
        <v>20</v>
      </c>
      <c r="B61" s="1"/>
      <c r="C61" t="s">
        <v>226</v>
      </c>
      <c r="E61" s="101">
        <f>F61+G61</f>
        <v>2626937258.942555</v>
      </c>
      <c r="F61" s="63">
        <f>F26</f>
        <v>156779.51307692306</v>
      </c>
      <c r="G61" s="104">
        <f>F85</f>
        <v>2626780479.4294782</v>
      </c>
      <c r="H61" s="46" t="str">
        <f>"Line "&amp;A26&amp;", C2, and Line "&amp;A85&amp;", C2"</f>
        <v>Line 1, C2, and Line 38, C2</v>
      </c>
      <c r="I61" s="14"/>
    </row>
    <row r="62" spans="1:9" ht="13">
      <c r="A62" s="2">
        <f>A61+1</f>
        <v>21</v>
      </c>
      <c r="B62" s="1"/>
      <c r="C62" s="12" t="s">
        <v>539</v>
      </c>
      <c r="E62" s="101">
        <f>F62+G62</f>
        <v>659274150.85827935</v>
      </c>
      <c r="F62" s="63">
        <f>F27</f>
        <v>0</v>
      </c>
      <c r="G62" s="104">
        <f>G85</f>
        <v>659274150.85827935</v>
      </c>
      <c r="H62" s="46" t="str">
        <f>"Line "&amp;A27&amp;", C2, and Line "&amp;A85&amp;", C3"</f>
        <v>Line 2, C2, and Line 38, C3</v>
      </c>
      <c r="I62" s="14"/>
    </row>
    <row r="63" spans="1:9" ht="13">
      <c r="A63" s="2">
        <f>A62+1</f>
        <v>22</v>
      </c>
      <c r="B63" s="1"/>
      <c r="C63" s="528" t="s">
        <v>504</v>
      </c>
      <c r="D63" s="97"/>
      <c r="E63" s="1455" t="s">
        <v>76</v>
      </c>
      <c r="F63" s="1455" t="s">
        <v>76</v>
      </c>
      <c r="G63" s="1455" t="s">
        <v>76</v>
      </c>
      <c r="H63" s="528" t="s">
        <v>504</v>
      </c>
      <c r="I63" s="97"/>
    </row>
    <row r="64" spans="1:9" ht="13">
      <c r="A64" s="2">
        <f>A63+1</f>
        <v>23</v>
      </c>
      <c r="B64" s="1"/>
      <c r="C64" s="186"/>
      <c r="E64" s="96"/>
      <c r="F64" s="96"/>
      <c r="G64" s="96"/>
      <c r="H64" s="13"/>
    </row>
    <row r="65" spans="1:11" ht="13">
      <c r="A65" s="2">
        <f>A64+1</f>
        <v>24</v>
      </c>
      <c r="B65" s="1"/>
      <c r="D65" s="465" t="s">
        <v>1648</v>
      </c>
      <c r="E65" s="7">
        <f>SUM(E60:E62)</f>
        <v>3429326476.3398032</v>
      </c>
      <c r="H65" s="544" t="s">
        <v>1650</v>
      </c>
    </row>
    <row r="66" spans="1:11" ht="13">
      <c r="A66" s="509"/>
      <c r="B66" s="1"/>
      <c r="D66" s="94"/>
      <c r="E66" s="7"/>
    </row>
    <row r="67" spans="1:11" ht="13">
      <c r="C67" s="1" t="s">
        <v>1001</v>
      </c>
    </row>
    <row r="68" spans="1:11" ht="13">
      <c r="E68" s="84" t="s">
        <v>358</v>
      </c>
      <c r="F68" s="84" t="s">
        <v>342</v>
      </c>
      <c r="G68" s="84" t="s">
        <v>343</v>
      </c>
      <c r="H68" s="84" t="s">
        <v>344</v>
      </c>
      <c r="I68" s="84" t="s">
        <v>345</v>
      </c>
      <c r="J68" s="84"/>
    </row>
    <row r="69" spans="1:11" ht="13">
      <c r="C69" s="2" t="s">
        <v>528</v>
      </c>
      <c r="E69" s="2" t="s">
        <v>531</v>
      </c>
      <c r="F69" s="845" t="str">
        <f>"L "&amp;A117&amp;" to L "&amp;A129&amp;", C3"</f>
        <v>L 53 to L 65, C3</v>
      </c>
      <c r="G69" s="845" t="str">
        <f>"L "&amp;A157&amp;" to L "&amp;A169&amp;", C3"</f>
        <v>L 79 to L 91, C3</v>
      </c>
      <c r="H69" s="845" t="str">
        <f>"L "&amp;A137&amp;" to L "&amp;A149&amp;", C3"</f>
        <v>L 66 to L 78, C3</v>
      </c>
      <c r="I69" s="97"/>
      <c r="K69" s="2"/>
    </row>
    <row r="70" spans="1:11" ht="13">
      <c r="C70" s="2" t="s">
        <v>193</v>
      </c>
      <c r="E70" s="2" t="s">
        <v>532</v>
      </c>
      <c r="F70" s="14"/>
      <c r="G70" s="110" t="s">
        <v>340</v>
      </c>
      <c r="H70" s="110" t="s">
        <v>529</v>
      </c>
      <c r="I70" s="187"/>
      <c r="J70" s="356"/>
      <c r="K70" s="2"/>
    </row>
    <row r="71" spans="1:11" ht="13">
      <c r="A71" s="51"/>
      <c r="C71" s="25" t="s">
        <v>192</v>
      </c>
      <c r="D71" s="25" t="s">
        <v>193</v>
      </c>
      <c r="E71" s="3" t="s">
        <v>3</v>
      </c>
      <c r="F71" s="123" t="s">
        <v>223</v>
      </c>
      <c r="G71" s="123" t="s">
        <v>341</v>
      </c>
      <c r="H71" s="123" t="s">
        <v>530</v>
      </c>
      <c r="I71" s="188"/>
      <c r="J71" s="3" t="s">
        <v>168</v>
      </c>
    </row>
    <row r="72" spans="1:11" ht="13">
      <c r="A72" s="2">
        <f>A65+1</f>
        <v>25</v>
      </c>
      <c r="C72" s="20" t="s">
        <v>180</v>
      </c>
      <c r="D72" s="1065">
        <v>2018</v>
      </c>
      <c r="E72" s="59">
        <f>SUM(F72:H72)</f>
        <v>3477624362.2668252</v>
      </c>
      <c r="F72" s="878">
        <f>G117</f>
        <v>2662966447.3435092</v>
      </c>
      <c r="G72" s="878">
        <f>G157</f>
        <v>669164921.1930002</v>
      </c>
      <c r="H72" s="878">
        <f>G137</f>
        <v>145492993.73031563</v>
      </c>
      <c r="I72" s="356" t="s">
        <v>76</v>
      </c>
      <c r="J72" s="50" t="s">
        <v>1005</v>
      </c>
    </row>
    <row r="73" spans="1:11" ht="13">
      <c r="A73" s="2">
        <f>A72+1</f>
        <v>26</v>
      </c>
      <c r="C73" s="20" t="s">
        <v>181</v>
      </c>
      <c r="D73" s="613">
        <v>2019</v>
      </c>
      <c r="E73" s="59">
        <f t="shared" ref="E73:E84" si="1">SUM(F73:H73)</f>
        <v>3469310859.5161786</v>
      </c>
      <c r="F73" s="878">
        <f t="shared" ref="F73:F84" si="2">G118</f>
        <v>2656691924.6386752</v>
      </c>
      <c r="G73" s="878">
        <f t="shared" ref="G73:G84" si="3">G158</f>
        <v>667520861.90064168</v>
      </c>
      <c r="H73" s="878">
        <f t="shared" ref="H73:H84" si="4">G138</f>
        <v>145098072.97686136</v>
      </c>
      <c r="I73" s="356" t="s">
        <v>76</v>
      </c>
      <c r="J73" s="13" t="s">
        <v>1004</v>
      </c>
    </row>
    <row r="74" spans="1:11" ht="13">
      <c r="A74" s="2">
        <f t="shared" ref="A74:A85" si="5">A73+1</f>
        <v>27</v>
      </c>
      <c r="C74" s="21" t="s">
        <v>182</v>
      </c>
      <c r="D74" s="613">
        <v>2019</v>
      </c>
      <c r="E74" s="59">
        <f t="shared" si="1"/>
        <v>3461300769.0523143</v>
      </c>
      <c r="F74" s="878">
        <f t="shared" si="2"/>
        <v>2650720814.220624</v>
      </c>
      <c r="G74" s="878">
        <f t="shared" si="3"/>
        <v>665876802.60828316</v>
      </c>
      <c r="H74" s="878">
        <f t="shared" si="4"/>
        <v>144703152.22340712</v>
      </c>
      <c r="I74" s="356" t="s">
        <v>76</v>
      </c>
      <c r="J74" s="356" t="s">
        <v>1003</v>
      </c>
      <c r="K74" s="2"/>
    </row>
    <row r="75" spans="1:11" ht="13">
      <c r="A75" s="2">
        <f t="shared" si="5"/>
        <v>28</v>
      </c>
      <c r="C75" s="21" t="s">
        <v>195</v>
      </c>
      <c r="D75" s="613">
        <v>2019</v>
      </c>
      <c r="E75" s="59">
        <f t="shared" si="1"/>
        <v>3453390966.4574089</v>
      </c>
      <c r="F75" s="878">
        <f t="shared" si="2"/>
        <v>2644849991.6715312</v>
      </c>
      <c r="G75" s="878">
        <f t="shared" si="3"/>
        <v>664232743.31592476</v>
      </c>
      <c r="H75" s="878">
        <f t="shared" si="4"/>
        <v>144308231.46995288</v>
      </c>
      <c r="I75" s="356" t="s">
        <v>76</v>
      </c>
      <c r="J75" s="356"/>
      <c r="K75" s="2"/>
    </row>
    <row r="76" spans="1:11" ht="13">
      <c r="A76" s="2">
        <f t="shared" si="5"/>
        <v>29</v>
      </c>
      <c r="C76" s="20" t="s">
        <v>183</v>
      </c>
      <c r="D76" s="613">
        <v>2019</v>
      </c>
      <c r="E76" s="59">
        <f t="shared" si="1"/>
        <v>3445138507.1648588</v>
      </c>
      <c r="F76" s="878">
        <f t="shared" si="2"/>
        <v>2638636512.4247937</v>
      </c>
      <c r="G76" s="878">
        <f t="shared" si="3"/>
        <v>662588684.02356625</v>
      </c>
      <c r="H76" s="878">
        <f t="shared" si="4"/>
        <v>143913310.71649864</v>
      </c>
      <c r="I76" s="356" t="s">
        <v>76</v>
      </c>
      <c r="J76" s="356"/>
      <c r="K76" s="2"/>
    </row>
    <row r="77" spans="1:11" ht="13">
      <c r="A77" s="2">
        <f t="shared" si="5"/>
        <v>30</v>
      </c>
      <c r="C77" s="21" t="s">
        <v>184</v>
      </c>
      <c r="D77" s="613">
        <v>2019</v>
      </c>
      <c r="E77" s="59">
        <f t="shared" si="1"/>
        <v>3436798829.4170537</v>
      </c>
      <c r="F77" s="878">
        <f t="shared" si="2"/>
        <v>2632334997.632802</v>
      </c>
      <c r="G77" s="878">
        <f t="shared" si="3"/>
        <v>660945441.82120764</v>
      </c>
      <c r="H77" s="878">
        <f t="shared" si="4"/>
        <v>143518389.96304438</v>
      </c>
      <c r="I77" s="356" t="s">
        <v>76</v>
      </c>
      <c r="J77" s="356"/>
      <c r="K77" s="2"/>
    </row>
    <row r="78" spans="1:11" ht="13">
      <c r="A78" s="2">
        <f t="shared" si="5"/>
        <v>31</v>
      </c>
      <c r="C78" s="21" t="s">
        <v>185</v>
      </c>
      <c r="D78" s="613">
        <v>2019</v>
      </c>
      <c r="E78" s="59">
        <f t="shared" si="1"/>
        <v>3428476293.3546386</v>
      </c>
      <c r="F78" s="878">
        <f t="shared" si="2"/>
        <v>2626049872.3558741</v>
      </c>
      <c r="G78" s="878">
        <f t="shared" si="3"/>
        <v>659302951.78917468</v>
      </c>
      <c r="H78" s="878">
        <f t="shared" si="4"/>
        <v>143123469.20959014</v>
      </c>
      <c r="I78" s="356" t="s">
        <v>76</v>
      </c>
      <c r="J78" s="356"/>
      <c r="K78" s="2"/>
    </row>
    <row r="79" spans="1:11" ht="13">
      <c r="A79" s="2">
        <f t="shared" si="5"/>
        <v>32</v>
      </c>
      <c r="C79" s="20" t="s">
        <v>186</v>
      </c>
      <c r="D79" s="613">
        <v>2019</v>
      </c>
      <c r="E79" s="59">
        <f t="shared" si="1"/>
        <v>3420250830.8007946</v>
      </c>
      <c r="F79" s="878">
        <f t="shared" si="2"/>
        <v>2619863057.2560182</v>
      </c>
      <c r="G79" s="878">
        <f t="shared" si="3"/>
        <v>657659225.08864045</v>
      </c>
      <c r="H79" s="878">
        <f t="shared" si="4"/>
        <v>142728548.45613587</v>
      </c>
      <c r="I79" s="356" t="s">
        <v>76</v>
      </c>
      <c r="J79" s="356"/>
      <c r="K79" s="83"/>
    </row>
    <row r="80" spans="1:11" ht="13">
      <c r="A80" s="2">
        <f t="shared" si="5"/>
        <v>33</v>
      </c>
      <c r="C80" s="21" t="s">
        <v>187</v>
      </c>
      <c r="D80" s="613">
        <v>2019</v>
      </c>
      <c r="E80" s="59">
        <f t="shared" si="1"/>
        <v>3411943243.0212688</v>
      </c>
      <c r="F80" s="878">
        <f t="shared" si="2"/>
        <v>2613590643.3082299</v>
      </c>
      <c r="G80" s="878">
        <f t="shared" si="3"/>
        <v>656018972.0103575</v>
      </c>
      <c r="H80" s="878">
        <f t="shared" si="4"/>
        <v>142333627.70268163</v>
      </c>
      <c r="I80" s="356" t="s">
        <v>76</v>
      </c>
      <c r="J80" s="356"/>
      <c r="K80" s="2"/>
    </row>
    <row r="81" spans="1:11" ht="13">
      <c r="A81" s="2">
        <f t="shared" si="5"/>
        <v>34</v>
      </c>
      <c r="C81" s="21" t="s">
        <v>188</v>
      </c>
      <c r="D81" s="613">
        <v>2019</v>
      </c>
      <c r="E81" s="59">
        <f t="shared" si="1"/>
        <v>3404812066.6513181</v>
      </c>
      <c r="F81" s="878">
        <f t="shared" si="2"/>
        <v>2608498427.3368988</v>
      </c>
      <c r="G81" s="878">
        <f t="shared" si="3"/>
        <v>654374932.36519206</v>
      </c>
      <c r="H81" s="878">
        <f t="shared" si="4"/>
        <v>141938706.94922739</v>
      </c>
      <c r="I81" s="356" t="s">
        <v>76</v>
      </c>
      <c r="J81" s="356"/>
      <c r="K81" s="2"/>
    </row>
    <row r="82" spans="1:11" ht="13">
      <c r="A82" s="2">
        <f t="shared" si="5"/>
        <v>35</v>
      </c>
      <c r="C82" s="20" t="s">
        <v>189</v>
      </c>
      <c r="D82" s="613">
        <v>2019</v>
      </c>
      <c r="E82" s="59">
        <f t="shared" si="1"/>
        <v>3397914205.4843745</v>
      </c>
      <c r="F82" s="878">
        <f t="shared" si="2"/>
        <v>2603639432.5321426</v>
      </c>
      <c r="G82" s="878">
        <f t="shared" si="3"/>
        <v>652730986.75645864</v>
      </c>
      <c r="H82" s="878">
        <f t="shared" si="4"/>
        <v>141543786.19577312</v>
      </c>
      <c r="I82" s="356" t="s">
        <v>76</v>
      </c>
      <c r="J82" s="356"/>
      <c r="K82" s="2"/>
    </row>
    <row r="83" spans="1:11" ht="13">
      <c r="A83" s="2">
        <f t="shared" si="5"/>
        <v>36</v>
      </c>
      <c r="C83" s="20" t="s">
        <v>190</v>
      </c>
      <c r="D83" s="613">
        <v>2019</v>
      </c>
      <c r="E83" s="59">
        <f t="shared" si="1"/>
        <v>3389966154.6605611</v>
      </c>
      <c r="F83" s="878">
        <f t="shared" si="2"/>
        <v>2597867728.7640333</v>
      </c>
      <c r="G83" s="878">
        <f t="shared" si="3"/>
        <v>650980081.91955316</v>
      </c>
      <c r="H83" s="878">
        <f t="shared" si="4"/>
        <v>141118343.97697452</v>
      </c>
      <c r="I83" s="356" t="s">
        <v>76</v>
      </c>
      <c r="J83" s="356"/>
      <c r="K83" s="2"/>
    </row>
    <row r="84" spans="1:11" ht="13">
      <c r="A84" s="2">
        <f t="shared" si="5"/>
        <v>37</v>
      </c>
      <c r="C84" s="20" t="s">
        <v>180</v>
      </c>
      <c r="D84" s="613">
        <v>2019</v>
      </c>
      <c r="E84" s="58">
        <f t="shared" si="1"/>
        <v>3382278970.8998475</v>
      </c>
      <c r="F84" s="358">
        <f t="shared" si="2"/>
        <v>2592436383.0980816</v>
      </c>
      <c r="G84" s="358">
        <f t="shared" si="3"/>
        <v>649167356.36563158</v>
      </c>
      <c r="H84" s="358">
        <f t="shared" si="4"/>
        <v>140675231.43613446</v>
      </c>
      <c r="I84" s="356" t="s">
        <v>76</v>
      </c>
      <c r="J84" s="356"/>
      <c r="K84" s="2"/>
    </row>
    <row r="85" spans="1:11" ht="13">
      <c r="A85" s="2">
        <f t="shared" si="5"/>
        <v>38</v>
      </c>
      <c r="C85" s="20"/>
      <c r="D85" s="1167" t="s">
        <v>536</v>
      </c>
      <c r="E85" s="105">
        <f>SUM(E72:E84)/13</f>
        <v>3429169696.8267264</v>
      </c>
      <c r="F85" s="105">
        <f>SUM(F72:F84)/13</f>
        <v>2626780479.4294782</v>
      </c>
      <c r="G85" s="105">
        <f>SUM(G72:G84)/13</f>
        <v>659274150.85827935</v>
      </c>
      <c r="H85" s="105">
        <f>SUM(H72:H84)/13</f>
        <v>143115066.53896901</v>
      </c>
      <c r="I85" s="44"/>
      <c r="J85" s="1"/>
      <c r="K85" s="2"/>
    </row>
    <row r="87" spans="1:11" ht="13">
      <c r="A87" s="509"/>
      <c r="C87" s="510" t="s">
        <v>1533</v>
      </c>
      <c r="D87" s="511"/>
      <c r="E87" s="512"/>
      <c r="F87" s="512"/>
      <c r="G87" s="512"/>
      <c r="H87" s="512"/>
      <c r="I87" s="1"/>
      <c r="J87" s="1"/>
    </row>
    <row r="88" spans="1:11" ht="13">
      <c r="A88" s="509"/>
      <c r="C88" s="510"/>
      <c r="D88" s="511"/>
      <c r="E88" s="84" t="s">
        <v>358</v>
      </c>
      <c r="F88" s="84" t="s">
        <v>342</v>
      </c>
      <c r="G88" s="84" t="s">
        <v>343</v>
      </c>
      <c r="H88" s="512"/>
      <c r="I88" s="1"/>
      <c r="J88" s="1"/>
    </row>
    <row r="89" spans="1:11" ht="13">
      <c r="A89" s="509"/>
      <c r="C89" s="498"/>
      <c r="D89" s="511"/>
      <c r="G89" s="476" t="s">
        <v>1645</v>
      </c>
      <c r="H89" s="512"/>
      <c r="I89" s="1"/>
      <c r="J89" s="1"/>
    </row>
    <row r="90" spans="1:11" ht="13">
      <c r="A90" s="509"/>
      <c r="C90" s="498"/>
      <c r="D90" s="511"/>
      <c r="E90" s="353" t="s">
        <v>431</v>
      </c>
      <c r="F90" s="512"/>
      <c r="G90" s="513" t="s">
        <v>1534</v>
      </c>
      <c r="H90" s="512"/>
      <c r="I90" s="1"/>
      <c r="J90" s="1"/>
    </row>
    <row r="91" spans="1:11" ht="13">
      <c r="A91" s="509"/>
      <c r="C91" s="509" t="s">
        <v>528</v>
      </c>
      <c r="E91" s="353" t="s">
        <v>1535</v>
      </c>
      <c r="F91" s="353" t="s">
        <v>99</v>
      </c>
      <c r="G91" s="353" t="s">
        <v>1535</v>
      </c>
      <c r="H91" s="512"/>
      <c r="I91" s="1"/>
      <c r="J91" s="1"/>
    </row>
    <row r="92" spans="1:11" ht="13">
      <c r="A92" s="509"/>
      <c r="C92" s="509" t="s">
        <v>193</v>
      </c>
      <c r="E92" s="353" t="s">
        <v>8</v>
      </c>
      <c r="F92" s="4" t="s">
        <v>1536</v>
      </c>
      <c r="G92" s="353" t="s">
        <v>8</v>
      </c>
      <c r="H92" s="512"/>
      <c r="I92" s="1"/>
      <c r="J92" s="1"/>
    </row>
    <row r="93" spans="1:11" ht="13">
      <c r="A93" s="509"/>
      <c r="C93" s="25" t="s">
        <v>192</v>
      </c>
      <c r="D93" s="25" t="s">
        <v>193</v>
      </c>
      <c r="E93" s="354" t="s">
        <v>1537</v>
      </c>
      <c r="F93" s="3" t="s">
        <v>1538</v>
      </c>
      <c r="G93" s="354" t="s">
        <v>1537</v>
      </c>
      <c r="H93" s="354" t="s">
        <v>1539</v>
      </c>
      <c r="I93" s="1"/>
      <c r="J93" s="1"/>
    </row>
    <row r="94" spans="1:11" ht="12.75" customHeight="1">
      <c r="A94" s="509">
        <f>A85+1</f>
        <v>39</v>
      </c>
      <c r="C94" s="498" t="s">
        <v>180</v>
      </c>
      <c r="D94" s="1065">
        <v>2018</v>
      </c>
      <c r="E94" s="7">
        <f t="shared" ref="E94:E106" si="6">H117+H137+H157+H176+H195+H214+H233+H252+H271+H290+H309</f>
        <v>0</v>
      </c>
      <c r="F94" s="514">
        <v>0</v>
      </c>
      <c r="G94" s="512">
        <f>E94-F94</f>
        <v>0</v>
      </c>
      <c r="H94" s="519" t="s">
        <v>1549</v>
      </c>
      <c r="I94" s="1"/>
      <c r="J94" s="7"/>
    </row>
    <row r="95" spans="1:11" ht="13">
      <c r="A95" s="509">
        <f>A94+1</f>
        <v>40</v>
      </c>
      <c r="C95" s="498" t="s">
        <v>181</v>
      </c>
      <c r="D95" s="613">
        <v>2019</v>
      </c>
      <c r="E95" s="7">
        <f t="shared" si="6"/>
        <v>188178.29999972275</v>
      </c>
      <c r="F95" s="514">
        <v>0</v>
      </c>
      <c r="G95" s="512">
        <f t="shared" ref="G95:G106" si="7">E95-F95</f>
        <v>188178.29999972275</v>
      </c>
      <c r="H95" s="519" t="s">
        <v>1548</v>
      </c>
      <c r="I95" s="73"/>
      <c r="J95" s="7"/>
    </row>
    <row r="96" spans="1:11" ht="13">
      <c r="A96" s="509">
        <f t="shared" ref="A96:A107" si="8">A95+1</f>
        <v>41</v>
      </c>
      <c r="C96" s="496" t="s">
        <v>182</v>
      </c>
      <c r="D96" s="613">
        <v>2019</v>
      </c>
      <c r="E96" s="7">
        <f t="shared" si="6"/>
        <v>472995.49000014132</v>
      </c>
      <c r="F96" s="514">
        <v>0</v>
      </c>
      <c r="G96" s="512">
        <f t="shared" si="7"/>
        <v>472995.49000014132</v>
      </c>
      <c r="H96" s="519"/>
      <c r="I96" s="73"/>
      <c r="J96" s="7"/>
    </row>
    <row r="97" spans="1:10" ht="13">
      <c r="A97" s="509">
        <f t="shared" si="8"/>
        <v>42</v>
      </c>
      <c r="C97" s="496" t="s">
        <v>195</v>
      </c>
      <c r="D97" s="613">
        <v>2019</v>
      </c>
      <c r="E97" s="7">
        <f t="shared" si="6"/>
        <v>593121.90000030678</v>
      </c>
      <c r="F97" s="514">
        <v>0</v>
      </c>
      <c r="G97" s="512">
        <f t="shared" si="7"/>
        <v>593121.90000030678</v>
      </c>
      <c r="H97" s="512"/>
      <c r="I97" s="73"/>
      <c r="J97" s="7"/>
    </row>
    <row r="98" spans="1:10" ht="13">
      <c r="A98" s="509">
        <f t="shared" si="8"/>
        <v>43</v>
      </c>
      <c r="C98" s="498" t="s">
        <v>183</v>
      </c>
      <c r="D98" s="613">
        <v>2019</v>
      </c>
      <c r="E98" s="7">
        <f t="shared" si="6"/>
        <v>239519.66999943601</v>
      </c>
      <c r="F98" s="514">
        <v>0</v>
      </c>
      <c r="G98" s="512">
        <f t="shared" si="7"/>
        <v>239519.66999943601</v>
      </c>
      <c r="H98" s="512"/>
      <c r="I98" s="73"/>
      <c r="J98" s="7"/>
    </row>
    <row r="99" spans="1:10" ht="13">
      <c r="A99" s="509">
        <f t="shared" si="8"/>
        <v>44</v>
      </c>
      <c r="C99" s="496" t="s">
        <v>184</v>
      </c>
      <c r="D99" s="613">
        <v>2019</v>
      </c>
      <c r="E99" s="7">
        <f t="shared" si="6"/>
        <v>134604.45000019111</v>
      </c>
      <c r="F99" s="514">
        <v>0</v>
      </c>
      <c r="G99" s="512">
        <f t="shared" si="7"/>
        <v>134604.45000019111</v>
      </c>
      <c r="H99" s="512"/>
      <c r="I99" s="73"/>
      <c r="J99" s="7"/>
    </row>
    <row r="100" spans="1:10" ht="13">
      <c r="A100" s="509">
        <f t="shared" si="8"/>
        <v>45</v>
      </c>
      <c r="C100" s="496" t="s">
        <v>185</v>
      </c>
      <c r="D100" s="613">
        <v>2019</v>
      </c>
      <c r="E100" s="7">
        <f t="shared" si="6"/>
        <v>148440.86000033654</v>
      </c>
      <c r="F100" s="514">
        <v>0</v>
      </c>
      <c r="G100" s="512">
        <f t="shared" si="7"/>
        <v>148440.86000033654</v>
      </c>
      <c r="H100" s="512"/>
      <c r="I100" s="73"/>
      <c r="J100" s="7"/>
    </row>
    <row r="101" spans="1:10" ht="13">
      <c r="A101" s="509">
        <f t="shared" si="8"/>
        <v>46</v>
      </c>
      <c r="C101" s="498" t="s">
        <v>186</v>
      </c>
      <c r="D101" s="613">
        <v>2019</v>
      </c>
      <c r="E101" s="7">
        <f t="shared" si="6"/>
        <v>279789.34999969602</v>
      </c>
      <c r="F101" s="514">
        <v>0</v>
      </c>
      <c r="G101" s="512">
        <f t="shared" si="7"/>
        <v>279789.34999969602</v>
      </c>
      <c r="H101" s="512"/>
      <c r="I101" s="73"/>
      <c r="J101" s="7"/>
    </row>
    <row r="102" spans="1:10" ht="13">
      <c r="A102" s="509">
        <f t="shared" si="8"/>
        <v>47</v>
      </c>
      <c r="C102" s="496" t="s">
        <v>187</v>
      </c>
      <c r="D102" s="613">
        <v>2019</v>
      </c>
      <c r="E102" s="7">
        <f t="shared" si="6"/>
        <v>136698.75000053039</v>
      </c>
      <c r="F102" s="514">
        <v>0</v>
      </c>
      <c r="G102" s="512">
        <f t="shared" si="7"/>
        <v>136698.75000053039</v>
      </c>
      <c r="H102" s="512"/>
      <c r="I102" s="73"/>
      <c r="J102" s="7"/>
    </row>
    <row r="103" spans="1:10" ht="13">
      <c r="A103" s="509">
        <f t="shared" si="8"/>
        <v>48</v>
      </c>
      <c r="C103" s="496" t="s">
        <v>188</v>
      </c>
      <c r="D103" s="613">
        <v>2019</v>
      </c>
      <c r="E103" s="7">
        <f t="shared" si="6"/>
        <v>1296516.4499994614</v>
      </c>
      <c r="F103" s="514">
        <v>0</v>
      </c>
      <c r="G103" s="512">
        <f t="shared" si="7"/>
        <v>1296516.4499994614</v>
      </c>
      <c r="H103" s="512"/>
      <c r="I103" s="73"/>
      <c r="J103" s="7"/>
    </row>
    <row r="104" spans="1:10" ht="13">
      <c r="A104" s="509">
        <f t="shared" si="8"/>
        <v>49</v>
      </c>
      <c r="C104" s="498" t="s">
        <v>189</v>
      </c>
      <c r="D104" s="613">
        <v>2019</v>
      </c>
      <c r="E104" s="7">
        <f t="shared" si="6"/>
        <v>1531769.2400007956</v>
      </c>
      <c r="F104" s="514">
        <v>0</v>
      </c>
      <c r="G104" s="512">
        <f t="shared" si="7"/>
        <v>1531769.2400007956</v>
      </c>
      <c r="H104" s="512"/>
      <c r="I104" s="73"/>
      <c r="J104" s="7"/>
    </row>
    <row r="105" spans="1:10" ht="13">
      <c r="A105" s="509">
        <f t="shared" si="8"/>
        <v>50</v>
      </c>
      <c r="C105" s="498" t="s">
        <v>190</v>
      </c>
      <c r="D105" s="613">
        <v>2019</v>
      </c>
      <c r="E105" s="7">
        <f t="shared" si="6"/>
        <v>856109.20999940857</v>
      </c>
      <c r="F105" s="514">
        <v>0</v>
      </c>
      <c r="G105" s="512">
        <f t="shared" si="7"/>
        <v>856109.20999940857</v>
      </c>
      <c r="H105" s="512"/>
      <c r="I105" s="73"/>
      <c r="J105" s="7"/>
    </row>
    <row r="106" spans="1:10" ht="13">
      <c r="A106" s="509">
        <f t="shared" si="8"/>
        <v>51</v>
      </c>
      <c r="C106" s="498" t="s">
        <v>180</v>
      </c>
      <c r="D106" s="613">
        <v>2019</v>
      </c>
      <c r="E106" s="91">
        <f t="shared" si="6"/>
        <v>145840197.51121211</v>
      </c>
      <c r="F106" s="399">
        <v>0</v>
      </c>
      <c r="G106" s="358">
        <f t="shared" si="7"/>
        <v>145840197.51121211</v>
      </c>
      <c r="H106" s="512"/>
      <c r="I106" s="73"/>
      <c r="J106" s="7"/>
    </row>
    <row r="107" spans="1:10" ht="13">
      <c r="A107" s="509">
        <f t="shared" si="8"/>
        <v>52</v>
      </c>
      <c r="C107" s="498" t="s">
        <v>196</v>
      </c>
      <c r="D107" s="502"/>
      <c r="E107" s="63">
        <f>SUM(E94:E106)</f>
        <v>151717941.18121213</v>
      </c>
      <c r="F107" s="63">
        <f t="shared" ref="F107:G107" si="9">SUM(F94:F106)</f>
        <v>0</v>
      </c>
      <c r="G107" s="63">
        <f t="shared" si="9"/>
        <v>151717941.18121213</v>
      </c>
      <c r="H107" s="512"/>
      <c r="I107" s="73"/>
      <c r="J107" s="1"/>
    </row>
    <row r="108" spans="1:10" ht="13">
      <c r="A108" s="509"/>
      <c r="C108" s="498"/>
      <c r="D108" s="502"/>
      <c r="E108" s="63"/>
      <c r="F108" s="512"/>
      <c r="G108" s="512"/>
      <c r="H108" s="512"/>
      <c r="I108" s="73"/>
      <c r="J108" s="1"/>
    </row>
    <row r="110" spans="1:10" ht="13">
      <c r="C110" s="189" t="s">
        <v>1540</v>
      </c>
    </row>
    <row r="112" spans="1:10" ht="13">
      <c r="C112" s="1" t="s">
        <v>1541</v>
      </c>
      <c r="E112" s="84" t="s">
        <v>358</v>
      </c>
      <c r="F112" s="84" t="s">
        <v>342</v>
      </c>
      <c r="G112" s="84" t="s">
        <v>343</v>
      </c>
      <c r="H112" s="84" t="s">
        <v>344</v>
      </c>
    </row>
    <row r="113" spans="1:9">
      <c r="G113" s="529" t="s">
        <v>1645</v>
      </c>
      <c r="H113" s="529" t="s">
        <v>1646</v>
      </c>
    </row>
    <row r="114" spans="1:9" ht="13">
      <c r="C114" s="509" t="s">
        <v>528</v>
      </c>
      <c r="G114" s="14"/>
      <c r="H114" s="1168" t="s">
        <v>1647</v>
      </c>
    </row>
    <row r="115" spans="1:9" ht="13">
      <c r="C115" s="509" t="s">
        <v>193</v>
      </c>
      <c r="E115" s="509" t="s">
        <v>371</v>
      </c>
      <c r="F115" s="509" t="s">
        <v>1542</v>
      </c>
      <c r="G115" s="509" t="s">
        <v>994</v>
      </c>
      <c r="H115" s="509" t="s">
        <v>1118</v>
      </c>
    </row>
    <row r="116" spans="1:9" ht="13">
      <c r="C116" s="25" t="s">
        <v>192</v>
      </c>
      <c r="D116" s="25" t="s">
        <v>193</v>
      </c>
      <c r="E116" s="3" t="s">
        <v>1543</v>
      </c>
      <c r="F116" s="3" t="s">
        <v>1082</v>
      </c>
      <c r="G116" s="3" t="s">
        <v>3</v>
      </c>
      <c r="H116" s="3" t="s">
        <v>1538</v>
      </c>
    </row>
    <row r="117" spans="1:9" ht="13">
      <c r="A117" s="509">
        <f>A107+1</f>
        <v>53</v>
      </c>
      <c r="C117" s="498" t="s">
        <v>180</v>
      </c>
      <c r="D117" s="1065">
        <v>2018</v>
      </c>
      <c r="E117" s="995">
        <v>3054617061.2172151</v>
      </c>
      <c r="F117" s="995">
        <v>391650613.87370574</v>
      </c>
      <c r="G117" s="7">
        <f t="shared" ref="G117:G129" si="10">E117-F117</f>
        <v>2662966447.3435092</v>
      </c>
      <c r="H117" s="7">
        <f>E117-E117</f>
        <v>0</v>
      </c>
      <c r="I117" s="554"/>
    </row>
    <row r="118" spans="1:9" ht="13">
      <c r="A118" s="509">
        <f>A117+1</f>
        <v>54</v>
      </c>
      <c r="C118" s="498" t="s">
        <v>181</v>
      </c>
      <c r="D118" s="613">
        <v>2019</v>
      </c>
      <c r="E118" s="995">
        <v>3054760967.2472148</v>
      </c>
      <c r="F118" s="995">
        <v>398069042.6085394</v>
      </c>
      <c r="G118" s="7">
        <f t="shared" si="10"/>
        <v>2656691924.6386752</v>
      </c>
      <c r="H118" s="7">
        <f>E118-E117</f>
        <v>143906.02999973297</v>
      </c>
    </row>
    <row r="119" spans="1:9" ht="13">
      <c r="A119" s="509">
        <f t="shared" ref="A119:A129" si="11">A118+1</f>
        <v>55</v>
      </c>
      <c r="C119" s="496" t="s">
        <v>182</v>
      </c>
      <c r="D119" s="613">
        <v>2019</v>
      </c>
      <c r="E119" s="995">
        <v>3055215817.3572149</v>
      </c>
      <c r="F119" s="995">
        <v>404495003.13659084</v>
      </c>
      <c r="G119" s="7">
        <f t="shared" si="10"/>
        <v>2650720814.220624</v>
      </c>
      <c r="H119" s="7">
        <f t="shared" ref="H119:H129" si="12">E119-E118</f>
        <v>454850.11000013351</v>
      </c>
    </row>
    <row r="120" spans="1:9" ht="13">
      <c r="A120" s="509">
        <f t="shared" si="11"/>
        <v>56</v>
      </c>
      <c r="C120" s="496" t="s">
        <v>195</v>
      </c>
      <c r="D120" s="613">
        <v>2019</v>
      </c>
      <c r="E120" s="995">
        <v>3055771917.0372152</v>
      </c>
      <c r="F120" s="995">
        <v>410921925.36568385</v>
      </c>
      <c r="G120" s="7">
        <f t="shared" si="10"/>
        <v>2644849991.6715312</v>
      </c>
      <c r="H120" s="7">
        <f t="shared" si="12"/>
        <v>556099.68000030518</v>
      </c>
    </row>
    <row r="121" spans="1:9" ht="13">
      <c r="A121" s="509">
        <f t="shared" si="11"/>
        <v>57</v>
      </c>
      <c r="C121" s="498" t="s">
        <v>183</v>
      </c>
      <c r="D121" s="613">
        <v>2019</v>
      </c>
      <c r="E121" s="995">
        <v>3055985292.8872147</v>
      </c>
      <c r="F121" s="995">
        <v>417348780.46242106</v>
      </c>
      <c r="G121" s="7">
        <f t="shared" si="10"/>
        <v>2638636512.4247937</v>
      </c>
      <c r="H121" s="7">
        <f t="shared" si="12"/>
        <v>213375.8499994278</v>
      </c>
    </row>
    <row r="122" spans="1:9" ht="13">
      <c r="A122" s="509">
        <f t="shared" si="11"/>
        <v>58</v>
      </c>
      <c r="C122" s="496" t="s">
        <v>184</v>
      </c>
      <c r="D122" s="613">
        <v>2019</v>
      </c>
      <c r="E122" s="995">
        <v>3056111076.8372149</v>
      </c>
      <c r="F122" s="995">
        <v>423776079.204413</v>
      </c>
      <c r="G122" s="7">
        <f t="shared" si="10"/>
        <v>2632334997.632802</v>
      </c>
      <c r="H122" s="7">
        <f t="shared" si="12"/>
        <v>125783.9500002861</v>
      </c>
    </row>
    <row r="123" spans="1:9" ht="13">
      <c r="A123" s="509">
        <f t="shared" si="11"/>
        <v>59</v>
      </c>
      <c r="C123" s="496" t="s">
        <v>185</v>
      </c>
      <c r="D123" s="613">
        <v>2019</v>
      </c>
      <c r="E123" s="995">
        <v>3056253537.2472153</v>
      </c>
      <c r="F123" s="995">
        <v>430203664.89134127</v>
      </c>
      <c r="G123" s="7">
        <f t="shared" si="10"/>
        <v>2626049872.3558741</v>
      </c>
      <c r="H123" s="7">
        <f t="shared" si="12"/>
        <v>142460.41000032425</v>
      </c>
    </row>
    <row r="124" spans="1:9" ht="13">
      <c r="A124" s="509">
        <f t="shared" si="11"/>
        <v>60</v>
      </c>
      <c r="C124" s="498" t="s">
        <v>186</v>
      </c>
      <c r="D124" s="613">
        <v>2019</v>
      </c>
      <c r="E124" s="995">
        <v>3056494463.987215</v>
      </c>
      <c r="F124" s="995">
        <v>436631406.73119676</v>
      </c>
      <c r="G124" s="7">
        <f t="shared" si="10"/>
        <v>2619863057.2560182</v>
      </c>
      <c r="H124" s="7">
        <f t="shared" si="12"/>
        <v>240926.73999977112</v>
      </c>
    </row>
    <row r="125" spans="1:9" ht="13">
      <c r="A125" s="509">
        <f t="shared" si="11"/>
        <v>61</v>
      </c>
      <c r="C125" s="496" t="s">
        <v>187</v>
      </c>
      <c r="D125" s="613">
        <v>2019</v>
      </c>
      <c r="E125" s="995">
        <v>3056604727.8372154</v>
      </c>
      <c r="F125" s="995">
        <v>443014084.52898538</v>
      </c>
      <c r="G125" s="7">
        <f t="shared" si="10"/>
        <v>2613590643.3082299</v>
      </c>
      <c r="H125" s="7">
        <f t="shared" si="12"/>
        <v>110263.85000038147</v>
      </c>
    </row>
    <row r="126" spans="1:9" ht="13">
      <c r="A126" s="509">
        <f t="shared" si="11"/>
        <v>62</v>
      </c>
      <c r="C126" s="496" t="s">
        <v>188</v>
      </c>
      <c r="D126" s="613">
        <v>2019</v>
      </c>
      <c r="E126" s="995">
        <v>3057895453.1272149</v>
      </c>
      <c r="F126" s="995">
        <v>449397025.79031593</v>
      </c>
      <c r="G126" s="7">
        <f t="shared" si="10"/>
        <v>2608498427.3368988</v>
      </c>
      <c r="H126" s="7">
        <f t="shared" si="12"/>
        <v>1290725.289999485</v>
      </c>
    </row>
    <row r="127" spans="1:9" ht="13">
      <c r="A127" s="509">
        <f t="shared" si="11"/>
        <v>63</v>
      </c>
      <c r="C127" s="498" t="s">
        <v>189</v>
      </c>
      <c r="D127" s="613">
        <v>2019</v>
      </c>
      <c r="E127" s="995">
        <v>3059422137.8272157</v>
      </c>
      <c r="F127" s="995">
        <v>455782705.29507315</v>
      </c>
      <c r="G127" s="7">
        <f t="shared" si="10"/>
        <v>2603639432.5321426</v>
      </c>
      <c r="H127" s="7">
        <f t="shared" si="12"/>
        <v>1526684.7000007629</v>
      </c>
    </row>
    <row r="128" spans="1:9" ht="13">
      <c r="A128" s="509">
        <f t="shared" si="11"/>
        <v>64</v>
      </c>
      <c r="C128" s="498" t="s">
        <v>190</v>
      </c>
      <c r="D128" s="613">
        <v>2019</v>
      </c>
      <c r="E128" s="995">
        <v>3060278462.1972151</v>
      </c>
      <c r="F128" s="995">
        <v>462410733.43318194</v>
      </c>
      <c r="G128" s="7">
        <f t="shared" si="10"/>
        <v>2597867728.7640333</v>
      </c>
      <c r="H128" s="7">
        <f t="shared" si="12"/>
        <v>856324.36999940872</v>
      </c>
    </row>
    <row r="129" spans="1:8" ht="13">
      <c r="A129" s="509">
        <f t="shared" si="11"/>
        <v>65</v>
      </c>
      <c r="C129" s="498" t="s">
        <v>180</v>
      </c>
      <c r="D129" s="613">
        <v>2019</v>
      </c>
      <c r="E129" s="995">
        <v>3061615451.5972152</v>
      </c>
      <c r="F129" s="995">
        <v>469179068.49913371</v>
      </c>
      <c r="G129" s="7">
        <f t="shared" si="10"/>
        <v>2592436383.0980816</v>
      </c>
      <c r="H129" s="7">
        <f t="shared" si="12"/>
        <v>1336989.4000000954</v>
      </c>
    </row>
    <row r="130" spans="1:8" ht="13">
      <c r="A130" s="509"/>
      <c r="C130" s="498"/>
      <c r="D130" s="502"/>
    </row>
    <row r="132" spans="1:8" ht="13">
      <c r="C132" s="189" t="s">
        <v>1544</v>
      </c>
      <c r="E132" s="84" t="s">
        <v>358</v>
      </c>
      <c r="F132" s="84" t="s">
        <v>342</v>
      </c>
      <c r="G132" s="84" t="s">
        <v>343</v>
      </c>
      <c r="H132" s="84" t="s">
        <v>344</v>
      </c>
    </row>
    <row r="133" spans="1:8">
      <c r="G133" s="529" t="s">
        <v>1645</v>
      </c>
      <c r="H133" s="529" t="s">
        <v>1646</v>
      </c>
    </row>
    <row r="134" spans="1:8" ht="13">
      <c r="C134" s="509" t="s">
        <v>528</v>
      </c>
      <c r="G134" s="14"/>
      <c r="H134" s="1168" t="s">
        <v>1647</v>
      </c>
    </row>
    <row r="135" spans="1:8" ht="13">
      <c r="C135" s="509" t="s">
        <v>193</v>
      </c>
      <c r="E135" s="509" t="s">
        <v>371</v>
      </c>
      <c r="F135" s="509" t="s">
        <v>1542</v>
      </c>
      <c r="G135" s="110" t="s">
        <v>994</v>
      </c>
      <c r="H135" s="110" t="s">
        <v>1118</v>
      </c>
    </row>
    <row r="136" spans="1:8" ht="13">
      <c r="C136" s="25" t="s">
        <v>192</v>
      </c>
      <c r="D136" s="25" t="s">
        <v>193</v>
      </c>
      <c r="E136" s="3" t="s">
        <v>1543</v>
      </c>
      <c r="F136" s="3" t="s">
        <v>1082</v>
      </c>
      <c r="G136" s="3" t="s">
        <v>3</v>
      </c>
      <c r="H136" s="3" t="s">
        <v>1538</v>
      </c>
    </row>
    <row r="137" spans="1:8" ht="13">
      <c r="A137" s="509">
        <f>A129+1</f>
        <v>66</v>
      </c>
      <c r="C137" s="498" t="s">
        <v>180</v>
      </c>
      <c r="D137" s="1065">
        <v>2018</v>
      </c>
      <c r="E137" s="995">
        <v>191500873.53999996</v>
      </c>
      <c r="F137" s="995">
        <v>46007879.809684336</v>
      </c>
      <c r="G137" s="7">
        <f>E137-F137</f>
        <v>145492993.73031563</v>
      </c>
      <c r="H137" s="7">
        <f>E137-E137</f>
        <v>0</v>
      </c>
    </row>
    <row r="138" spans="1:8" ht="13">
      <c r="A138" s="509">
        <f>A137+1</f>
        <v>67</v>
      </c>
      <c r="C138" s="498" t="s">
        <v>181</v>
      </c>
      <c r="D138" s="613">
        <v>2019</v>
      </c>
      <c r="E138" s="995">
        <v>191500873.53999996</v>
      </c>
      <c r="F138" s="995">
        <v>46402800.563138589</v>
      </c>
      <c r="G138" s="7">
        <f t="shared" ref="G138:G149" si="13">E138-F138</f>
        <v>145098072.97686136</v>
      </c>
      <c r="H138" s="7">
        <f>E138-E137</f>
        <v>0</v>
      </c>
    </row>
    <row r="139" spans="1:8" ht="13">
      <c r="A139" s="509">
        <f t="shared" ref="A139:A149" si="14">A138+1</f>
        <v>68</v>
      </c>
      <c r="C139" s="496" t="s">
        <v>182</v>
      </c>
      <c r="D139" s="613">
        <v>2019</v>
      </c>
      <c r="E139" s="995">
        <v>191500873.53999996</v>
      </c>
      <c r="F139" s="995">
        <v>46797721.316592835</v>
      </c>
      <c r="G139" s="7">
        <f t="shared" si="13"/>
        <v>144703152.22340712</v>
      </c>
      <c r="H139" s="7">
        <f t="shared" ref="H139:H149" si="15">E139-E138</f>
        <v>0</v>
      </c>
    </row>
    <row r="140" spans="1:8" ht="13">
      <c r="A140" s="509">
        <f t="shared" si="14"/>
        <v>69</v>
      </c>
      <c r="C140" s="496" t="s">
        <v>195</v>
      </c>
      <c r="D140" s="613">
        <v>2019</v>
      </c>
      <c r="E140" s="995">
        <v>191500873.53999996</v>
      </c>
      <c r="F140" s="995">
        <v>47192642.070047081</v>
      </c>
      <c r="G140" s="7">
        <f t="shared" si="13"/>
        <v>144308231.46995288</v>
      </c>
      <c r="H140" s="7">
        <f t="shared" si="15"/>
        <v>0</v>
      </c>
    </row>
    <row r="141" spans="1:8" ht="13">
      <c r="A141" s="509">
        <f t="shared" si="14"/>
        <v>70</v>
      </c>
      <c r="C141" s="498" t="s">
        <v>183</v>
      </c>
      <c r="D141" s="613">
        <v>2019</v>
      </c>
      <c r="E141" s="995">
        <v>191500873.53999996</v>
      </c>
      <c r="F141" s="995">
        <v>47587562.823501326</v>
      </c>
      <c r="G141" s="7">
        <f t="shared" si="13"/>
        <v>143913310.71649864</v>
      </c>
      <c r="H141" s="7">
        <f t="shared" si="15"/>
        <v>0</v>
      </c>
    </row>
    <row r="142" spans="1:8" ht="13">
      <c r="A142" s="509">
        <f t="shared" si="14"/>
        <v>71</v>
      </c>
      <c r="C142" s="496" t="s">
        <v>184</v>
      </c>
      <c r="D142" s="613">
        <v>2019</v>
      </c>
      <c r="E142" s="995">
        <v>191500873.53999996</v>
      </c>
      <c r="F142" s="995">
        <v>47982483.576955579</v>
      </c>
      <c r="G142" s="7">
        <f t="shared" si="13"/>
        <v>143518389.96304438</v>
      </c>
      <c r="H142" s="7">
        <f t="shared" si="15"/>
        <v>0</v>
      </c>
    </row>
    <row r="143" spans="1:8" ht="13">
      <c r="A143" s="509">
        <f t="shared" si="14"/>
        <v>72</v>
      </c>
      <c r="C143" s="496" t="s">
        <v>185</v>
      </c>
      <c r="D143" s="613">
        <v>2019</v>
      </c>
      <c r="E143" s="995">
        <v>191500873.53999996</v>
      </c>
      <c r="F143" s="995">
        <v>48377404.33040984</v>
      </c>
      <c r="G143" s="7">
        <f t="shared" si="13"/>
        <v>143123469.20959014</v>
      </c>
      <c r="H143" s="7">
        <f t="shared" si="15"/>
        <v>0</v>
      </c>
    </row>
    <row r="144" spans="1:8" ht="13">
      <c r="A144" s="509">
        <f t="shared" si="14"/>
        <v>73</v>
      </c>
      <c r="C144" s="498" t="s">
        <v>186</v>
      </c>
      <c r="D144" s="613">
        <v>2019</v>
      </c>
      <c r="E144" s="995">
        <v>191500873.53999996</v>
      </c>
      <c r="F144" s="995">
        <v>48772325.083864085</v>
      </c>
      <c r="G144" s="7">
        <f t="shared" si="13"/>
        <v>142728548.45613587</v>
      </c>
      <c r="H144" s="7">
        <f t="shared" si="15"/>
        <v>0</v>
      </c>
    </row>
    <row r="145" spans="1:8" ht="13">
      <c r="A145" s="509">
        <f t="shared" si="14"/>
        <v>74</v>
      </c>
      <c r="C145" s="496" t="s">
        <v>187</v>
      </c>
      <c r="D145" s="613">
        <v>2019</v>
      </c>
      <c r="E145" s="995">
        <v>191500873.53999996</v>
      </c>
      <c r="F145" s="995">
        <v>49167245.837318331</v>
      </c>
      <c r="G145" s="7">
        <f t="shared" si="13"/>
        <v>142333627.70268163</v>
      </c>
      <c r="H145" s="7">
        <f t="shared" si="15"/>
        <v>0</v>
      </c>
    </row>
    <row r="146" spans="1:8" ht="13">
      <c r="A146" s="509">
        <f t="shared" si="14"/>
        <v>75</v>
      </c>
      <c r="C146" s="496" t="s">
        <v>188</v>
      </c>
      <c r="D146" s="613">
        <v>2019</v>
      </c>
      <c r="E146" s="995">
        <v>191500873.53999996</v>
      </c>
      <c r="F146" s="995">
        <v>49562166.590772584</v>
      </c>
      <c r="G146" s="7">
        <f t="shared" si="13"/>
        <v>141938706.94922739</v>
      </c>
      <c r="H146" s="7">
        <f t="shared" si="15"/>
        <v>0</v>
      </c>
    </row>
    <row r="147" spans="1:8" ht="13">
      <c r="A147" s="509">
        <f t="shared" si="14"/>
        <v>76</v>
      </c>
      <c r="C147" s="498" t="s">
        <v>189</v>
      </c>
      <c r="D147" s="613">
        <v>2019</v>
      </c>
      <c r="E147" s="995">
        <v>191500873.53999996</v>
      </c>
      <c r="F147" s="995">
        <v>49957087.34422683</v>
      </c>
      <c r="G147" s="7">
        <f t="shared" si="13"/>
        <v>141543786.19577312</v>
      </c>
      <c r="H147" s="7">
        <f t="shared" si="15"/>
        <v>0</v>
      </c>
    </row>
    <row r="148" spans="1:8" ht="13">
      <c r="A148" s="509">
        <f t="shared" si="14"/>
        <v>77</v>
      </c>
      <c r="C148" s="498" t="s">
        <v>190</v>
      </c>
      <c r="D148" s="613">
        <v>2019</v>
      </c>
      <c r="E148" s="995">
        <v>191500873.53999996</v>
      </c>
      <c r="F148" s="995">
        <v>50382529.563025437</v>
      </c>
      <c r="G148" s="7">
        <f t="shared" si="13"/>
        <v>141118343.97697452</v>
      </c>
      <c r="H148" s="7">
        <f t="shared" si="15"/>
        <v>0</v>
      </c>
    </row>
    <row r="149" spans="1:8" ht="13">
      <c r="A149" s="509">
        <f t="shared" si="14"/>
        <v>78</v>
      </c>
      <c r="C149" s="498" t="s">
        <v>180</v>
      </c>
      <c r="D149" s="613">
        <v>2019</v>
      </c>
      <c r="E149" s="995">
        <v>191500873.53999996</v>
      </c>
      <c r="F149" s="995">
        <v>50825642.103865519</v>
      </c>
      <c r="G149" s="7">
        <f t="shared" si="13"/>
        <v>140675231.43613446</v>
      </c>
      <c r="H149" s="7">
        <f t="shared" si="15"/>
        <v>0</v>
      </c>
    </row>
    <row r="150" spans="1:8" ht="13">
      <c r="A150" s="509"/>
    </row>
    <row r="151" spans="1:8" ht="12.75" customHeight="1"/>
    <row r="152" spans="1:8" ht="13">
      <c r="C152" s="189" t="s">
        <v>1545</v>
      </c>
      <c r="E152" s="84" t="s">
        <v>358</v>
      </c>
      <c r="F152" s="84" t="s">
        <v>342</v>
      </c>
      <c r="G152" s="84" t="s">
        <v>343</v>
      </c>
      <c r="H152" s="84" t="s">
        <v>344</v>
      </c>
    </row>
    <row r="153" spans="1:8">
      <c r="G153" s="529" t="s">
        <v>1645</v>
      </c>
      <c r="H153" s="476" t="s">
        <v>1646</v>
      </c>
    </row>
    <row r="154" spans="1:8" ht="13">
      <c r="C154" s="509" t="s">
        <v>528</v>
      </c>
      <c r="H154" s="468" t="s">
        <v>1647</v>
      </c>
    </row>
    <row r="155" spans="1:8" ht="13">
      <c r="C155" s="509" t="s">
        <v>193</v>
      </c>
      <c r="E155" s="509" t="s">
        <v>371</v>
      </c>
      <c r="F155" s="509" t="s">
        <v>1542</v>
      </c>
      <c r="G155" s="509" t="s">
        <v>994</v>
      </c>
      <c r="H155" s="509" t="s">
        <v>1118</v>
      </c>
    </row>
    <row r="156" spans="1:8" ht="13">
      <c r="C156" s="25" t="s">
        <v>192</v>
      </c>
      <c r="D156" s="25" t="s">
        <v>193</v>
      </c>
      <c r="E156" s="3" t="s">
        <v>1543</v>
      </c>
      <c r="F156" s="3" t="s">
        <v>1082</v>
      </c>
      <c r="G156" s="3" t="s">
        <v>3</v>
      </c>
      <c r="H156" s="3" t="s">
        <v>1538</v>
      </c>
    </row>
    <row r="157" spans="1:8" ht="13">
      <c r="A157" s="509">
        <f>A149+1</f>
        <v>79</v>
      </c>
      <c r="C157" s="498" t="s">
        <v>180</v>
      </c>
      <c r="D157" s="1065">
        <v>2018</v>
      </c>
      <c r="E157" s="995">
        <v>774692622.82999992</v>
      </c>
      <c r="F157" s="995">
        <v>105527701.63699973</v>
      </c>
      <c r="G157" s="7">
        <f t="shared" ref="G157:G169" si="16">E157-F157</f>
        <v>669164921.1930002</v>
      </c>
      <c r="H157" s="7">
        <f>E157-E157</f>
        <v>0</v>
      </c>
    </row>
    <row r="158" spans="1:8" ht="13">
      <c r="A158" s="509">
        <f>A157+1</f>
        <v>80</v>
      </c>
      <c r="C158" s="498" t="s">
        <v>181</v>
      </c>
      <c r="D158" s="613">
        <v>2019</v>
      </c>
      <c r="E158" s="995">
        <v>774692622.82999992</v>
      </c>
      <c r="F158" s="995">
        <v>107171760.92935821</v>
      </c>
      <c r="G158" s="7">
        <f t="shared" si="16"/>
        <v>667520861.90064168</v>
      </c>
      <c r="H158" s="7">
        <f>E158-E157</f>
        <v>0</v>
      </c>
    </row>
    <row r="159" spans="1:8" ht="13">
      <c r="A159" s="509">
        <f t="shared" ref="A159:A169" si="17">A158+1</f>
        <v>81</v>
      </c>
      <c r="C159" s="496" t="s">
        <v>182</v>
      </c>
      <c r="D159" s="613">
        <v>2019</v>
      </c>
      <c r="E159" s="995">
        <v>774692622.82999992</v>
      </c>
      <c r="F159" s="995">
        <v>108815820.22171672</v>
      </c>
      <c r="G159" s="7">
        <f t="shared" si="16"/>
        <v>665876802.60828316</v>
      </c>
      <c r="H159" s="7">
        <f t="shared" ref="H159:H169" si="18">E159-E158</f>
        <v>0</v>
      </c>
    </row>
    <row r="160" spans="1:8" ht="13">
      <c r="A160" s="509">
        <f t="shared" si="17"/>
        <v>82</v>
      </c>
      <c r="C160" s="496" t="s">
        <v>195</v>
      </c>
      <c r="D160" s="613">
        <v>2019</v>
      </c>
      <c r="E160" s="995">
        <v>774692622.82999992</v>
      </c>
      <c r="F160" s="995">
        <v>110459879.5140752</v>
      </c>
      <c r="G160" s="7">
        <f t="shared" si="16"/>
        <v>664232743.31592476</v>
      </c>
      <c r="H160" s="7">
        <f t="shared" si="18"/>
        <v>0</v>
      </c>
    </row>
    <row r="161" spans="1:8" ht="13">
      <c r="A161" s="509">
        <f t="shared" si="17"/>
        <v>83</v>
      </c>
      <c r="C161" s="498" t="s">
        <v>183</v>
      </c>
      <c r="D161" s="613">
        <v>2019</v>
      </c>
      <c r="E161" s="995">
        <v>774692622.82999992</v>
      </c>
      <c r="F161" s="995">
        <v>112103938.80643374</v>
      </c>
      <c r="G161" s="7">
        <f t="shared" si="16"/>
        <v>662588684.02356625</v>
      </c>
      <c r="H161" s="7">
        <f t="shared" si="18"/>
        <v>0</v>
      </c>
    </row>
    <row r="162" spans="1:8" ht="13">
      <c r="A162" s="509">
        <f t="shared" si="17"/>
        <v>84</v>
      </c>
      <c r="C162" s="496" t="s">
        <v>184</v>
      </c>
      <c r="D162" s="613">
        <v>2019</v>
      </c>
      <c r="E162" s="995">
        <v>774693439.91999984</v>
      </c>
      <c r="F162" s="995">
        <v>113747998.09879223</v>
      </c>
      <c r="G162" s="7">
        <f t="shared" si="16"/>
        <v>660945441.82120764</v>
      </c>
      <c r="H162" s="7">
        <f t="shared" si="18"/>
        <v>817.08999991416931</v>
      </c>
    </row>
    <row r="163" spans="1:8" ht="13">
      <c r="A163" s="509">
        <f t="shared" si="17"/>
        <v>85</v>
      </c>
      <c r="C163" s="496" t="s">
        <v>185</v>
      </c>
      <c r="D163" s="613">
        <v>2019</v>
      </c>
      <c r="E163" s="995">
        <v>774695010.89999986</v>
      </c>
      <c r="F163" s="995">
        <v>115392059.11082514</v>
      </c>
      <c r="G163" s="7">
        <f t="shared" si="16"/>
        <v>659302951.78917468</v>
      </c>
      <c r="H163" s="7">
        <f t="shared" si="18"/>
        <v>1570.9800000190735</v>
      </c>
    </row>
    <row r="164" spans="1:8" ht="13">
      <c r="A164" s="509">
        <f t="shared" si="17"/>
        <v>86</v>
      </c>
      <c r="C164" s="498" t="s">
        <v>186</v>
      </c>
      <c r="D164" s="613">
        <v>2019</v>
      </c>
      <c r="E164" s="995">
        <v>774695348.47999978</v>
      </c>
      <c r="F164" s="995">
        <v>117036123.39135939</v>
      </c>
      <c r="G164" s="7">
        <f t="shared" si="16"/>
        <v>657659225.08864045</v>
      </c>
      <c r="H164" s="7">
        <f t="shared" si="18"/>
        <v>337.57999992370605</v>
      </c>
    </row>
    <row r="165" spans="1:8" ht="13">
      <c r="A165" s="509">
        <f t="shared" si="17"/>
        <v>87</v>
      </c>
      <c r="C165" s="496" t="s">
        <v>187</v>
      </c>
      <c r="D165" s="613">
        <v>2019</v>
      </c>
      <c r="E165" s="995">
        <v>774699160.31999993</v>
      </c>
      <c r="F165" s="995">
        <v>118680188.30964246</v>
      </c>
      <c r="G165" s="7">
        <f t="shared" si="16"/>
        <v>656018972.0103575</v>
      </c>
      <c r="H165" s="7">
        <f t="shared" si="18"/>
        <v>3811.8400001525879</v>
      </c>
    </row>
    <row r="166" spans="1:8" ht="13">
      <c r="A166" s="509">
        <f t="shared" si="17"/>
        <v>88</v>
      </c>
      <c r="C166" s="496" t="s">
        <v>188</v>
      </c>
      <c r="D166" s="613">
        <v>2019</v>
      </c>
      <c r="E166" s="995">
        <v>774699193.5999999</v>
      </c>
      <c r="F166" s="995">
        <v>120324261.23480789</v>
      </c>
      <c r="G166" s="7">
        <f t="shared" si="16"/>
        <v>654374932.36519206</v>
      </c>
      <c r="H166" s="7">
        <f t="shared" si="18"/>
        <v>33.279999971389771</v>
      </c>
    </row>
    <row r="167" spans="1:8" ht="13">
      <c r="A167" s="509">
        <f t="shared" si="17"/>
        <v>89</v>
      </c>
      <c r="C167" s="498" t="s">
        <v>189</v>
      </c>
      <c r="D167" s="613">
        <v>2019</v>
      </c>
      <c r="E167" s="995">
        <v>774699320.80999994</v>
      </c>
      <c r="F167" s="995">
        <v>121968334.05354129</v>
      </c>
      <c r="G167" s="7">
        <f t="shared" si="16"/>
        <v>652730986.75645864</v>
      </c>
      <c r="H167" s="7">
        <f t="shared" si="18"/>
        <v>127.21000003814697</v>
      </c>
    </row>
    <row r="168" spans="1:8" ht="13">
      <c r="A168" s="509">
        <f t="shared" si="17"/>
        <v>90</v>
      </c>
      <c r="C168" s="498" t="s">
        <v>190</v>
      </c>
      <c r="D168" s="613">
        <v>2019</v>
      </c>
      <c r="E168" s="995">
        <v>774699320.80999994</v>
      </c>
      <c r="F168" s="995">
        <v>123719238.8904468</v>
      </c>
      <c r="G168" s="7">
        <f t="shared" si="16"/>
        <v>650980081.91955316</v>
      </c>
      <c r="H168" s="7">
        <f t="shared" si="18"/>
        <v>0</v>
      </c>
    </row>
    <row r="169" spans="1:8" ht="13">
      <c r="A169" s="509">
        <f t="shared" si="17"/>
        <v>91</v>
      </c>
      <c r="C169" s="498" t="s">
        <v>180</v>
      </c>
      <c r="D169" s="613">
        <v>2019</v>
      </c>
      <c r="E169" s="995">
        <v>774699350.07999992</v>
      </c>
      <c r="F169" s="995">
        <v>125531993.7143683</v>
      </c>
      <c r="G169" s="7">
        <f t="shared" si="16"/>
        <v>649167356.36563158</v>
      </c>
      <c r="H169" s="7">
        <f t="shared" si="18"/>
        <v>29.269999980926514</v>
      </c>
    </row>
    <row r="171" spans="1:8" ht="13">
      <c r="C171" s="189" t="s">
        <v>2336</v>
      </c>
      <c r="E171" s="84" t="s">
        <v>358</v>
      </c>
      <c r="F171" s="84" t="s">
        <v>342</v>
      </c>
      <c r="G171" s="84" t="s">
        <v>343</v>
      </c>
      <c r="H171" s="84" t="s">
        <v>344</v>
      </c>
    </row>
    <row r="172" spans="1:8">
      <c r="G172" s="529" t="s">
        <v>1645</v>
      </c>
      <c r="H172" s="529" t="s">
        <v>1646</v>
      </c>
    </row>
    <row r="173" spans="1:8" ht="13">
      <c r="C173" s="509" t="s">
        <v>528</v>
      </c>
      <c r="G173" s="14"/>
      <c r="H173" s="1168" t="s">
        <v>1647</v>
      </c>
    </row>
    <row r="174" spans="1:8" ht="13">
      <c r="C174" s="509" t="s">
        <v>193</v>
      </c>
      <c r="E174" s="509" t="s">
        <v>371</v>
      </c>
      <c r="F174" s="509" t="s">
        <v>1542</v>
      </c>
      <c r="G174" s="509" t="s">
        <v>994</v>
      </c>
      <c r="H174" s="509" t="s">
        <v>1118</v>
      </c>
    </row>
    <row r="175" spans="1:8" ht="13">
      <c r="C175" s="25" t="s">
        <v>192</v>
      </c>
      <c r="D175" s="25" t="s">
        <v>193</v>
      </c>
      <c r="E175" s="3" t="s">
        <v>1543</v>
      </c>
      <c r="F175" s="3" t="s">
        <v>1082</v>
      </c>
      <c r="G175" s="3" t="s">
        <v>3</v>
      </c>
      <c r="H175" s="3" t="s">
        <v>1538</v>
      </c>
    </row>
    <row r="176" spans="1:8" ht="13">
      <c r="A176" s="509">
        <f>A169+1</f>
        <v>92</v>
      </c>
      <c r="C176" s="498" t="s">
        <v>180</v>
      </c>
      <c r="D176" s="1065">
        <v>2018</v>
      </c>
      <c r="E176" s="995">
        <v>0</v>
      </c>
      <c r="F176" s="995">
        <v>0</v>
      </c>
      <c r="G176" s="7">
        <f t="shared" ref="G176:G188" si="19">E176-F176</f>
        <v>0</v>
      </c>
      <c r="H176" s="7">
        <f>E176-E176</f>
        <v>0</v>
      </c>
    </row>
    <row r="177" spans="1:8" ht="13">
      <c r="A177" s="509">
        <f>A176+1</f>
        <v>93</v>
      </c>
      <c r="C177" s="498" t="s">
        <v>181</v>
      </c>
      <c r="D177" s="613">
        <v>2019</v>
      </c>
      <c r="E177" s="995">
        <v>0</v>
      </c>
      <c r="F177" s="995">
        <v>0</v>
      </c>
      <c r="G177" s="7">
        <f t="shared" si="19"/>
        <v>0</v>
      </c>
      <c r="H177" s="7">
        <f>E177-E176</f>
        <v>0</v>
      </c>
    </row>
    <row r="178" spans="1:8" ht="13">
      <c r="A178" s="509">
        <f t="shared" ref="A178:A188" si="20">A177+1</f>
        <v>94</v>
      </c>
      <c r="C178" s="496" t="s">
        <v>182</v>
      </c>
      <c r="D178" s="613">
        <v>2019</v>
      </c>
      <c r="E178" s="995">
        <v>0</v>
      </c>
      <c r="F178" s="995">
        <v>0</v>
      </c>
      <c r="G178" s="7">
        <f t="shared" si="19"/>
        <v>0</v>
      </c>
      <c r="H178" s="7">
        <f t="shared" ref="H178:H188" si="21">E178-E177</f>
        <v>0</v>
      </c>
    </row>
    <row r="179" spans="1:8" ht="13">
      <c r="A179" s="509">
        <f t="shared" si="20"/>
        <v>95</v>
      </c>
      <c r="C179" s="496" t="s">
        <v>195</v>
      </c>
      <c r="D179" s="613">
        <v>2019</v>
      </c>
      <c r="E179" s="995">
        <v>0</v>
      </c>
      <c r="F179" s="995">
        <v>0</v>
      </c>
      <c r="G179" s="7">
        <f t="shared" si="19"/>
        <v>0</v>
      </c>
      <c r="H179" s="7">
        <f t="shared" si="21"/>
        <v>0</v>
      </c>
    </row>
    <row r="180" spans="1:8" ht="13">
      <c r="A180" s="509">
        <f t="shared" si="20"/>
        <v>96</v>
      </c>
      <c r="C180" s="498" t="s">
        <v>183</v>
      </c>
      <c r="D180" s="613">
        <v>2019</v>
      </c>
      <c r="E180" s="995">
        <v>0</v>
      </c>
      <c r="F180" s="995">
        <v>0</v>
      </c>
      <c r="G180" s="7">
        <f t="shared" si="19"/>
        <v>0</v>
      </c>
      <c r="H180" s="7">
        <f t="shared" si="21"/>
        <v>0</v>
      </c>
    </row>
    <row r="181" spans="1:8" ht="13">
      <c r="A181" s="509">
        <f t="shared" si="20"/>
        <v>97</v>
      </c>
      <c r="C181" s="496" t="s">
        <v>184</v>
      </c>
      <c r="D181" s="613">
        <v>2019</v>
      </c>
      <c r="E181" s="995">
        <v>0</v>
      </c>
      <c r="F181" s="995">
        <v>0</v>
      </c>
      <c r="G181" s="7">
        <f t="shared" si="19"/>
        <v>0</v>
      </c>
      <c r="H181" s="7">
        <f t="shared" si="21"/>
        <v>0</v>
      </c>
    </row>
    <row r="182" spans="1:8" ht="13">
      <c r="A182" s="509">
        <f t="shared" si="20"/>
        <v>98</v>
      </c>
      <c r="C182" s="496" t="s">
        <v>185</v>
      </c>
      <c r="D182" s="613">
        <v>2019</v>
      </c>
      <c r="E182" s="995">
        <v>0</v>
      </c>
      <c r="F182" s="995">
        <v>0</v>
      </c>
      <c r="G182" s="7">
        <f t="shared" si="19"/>
        <v>0</v>
      </c>
      <c r="H182" s="7">
        <f t="shared" si="21"/>
        <v>0</v>
      </c>
    </row>
    <row r="183" spans="1:8" ht="13">
      <c r="A183" s="509">
        <f t="shared" si="20"/>
        <v>99</v>
      </c>
      <c r="C183" s="498" t="s">
        <v>186</v>
      </c>
      <c r="D183" s="613">
        <v>2019</v>
      </c>
      <c r="E183" s="995">
        <v>0</v>
      </c>
      <c r="F183" s="995">
        <v>0</v>
      </c>
      <c r="G183" s="7">
        <f t="shared" si="19"/>
        <v>0</v>
      </c>
      <c r="H183" s="7">
        <f t="shared" si="21"/>
        <v>0</v>
      </c>
    </row>
    <row r="184" spans="1:8" ht="13">
      <c r="A184" s="509">
        <f t="shared" si="20"/>
        <v>100</v>
      </c>
      <c r="C184" s="496" t="s">
        <v>187</v>
      </c>
      <c r="D184" s="613">
        <v>2019</v>
      </c>
      <c r="E184" s="995">
        <v>0</v>
      </c>
      <c r="F184" s="995">
        <v>0</v>
      </c>
      <c r="G184" s="7">
        <f t="shared" si="19"/>
        <v>0</v>
      </c>
      <c r="H184" s="7">
        <f t="shared" si="21"/>
        <v>0</v>
      </c>
    </row>
    <row r="185" spans="1:8" ht="13">
      <c r="A185" s="509">
        <f t="shared" si="20"/>
        <v>101</v>
      </c>
      <c r="C185" s="496" t="s">
        <v>188</v>
      </c>
      <c r="D185" s="613">
        <v>2019</v>
      </c>
      <c r="E185" s="995">
        <v>0</v>
      </c>
      <c r="F185" s="995">
        <v>0</v>
      </c>
      <c r="G185" s="7">
        <f t="shared" si="19"/>
        <v>0</v>
      </c>
      <c r="H185" s="7">
        <f t="shared" si="21"/>
        <v>0</v>
      </c>
    </row>
    <row r="186" spans="1:8" ht="13">
      <c r="A186" s="509">
        <f t="shared" si="20"/>
        <v>102</v>
      </c>
      <c r="C186" s="498" t="s">
        <v>189</v>
      </c>
      <c r="D186" s="613">
        <v>2019</v>
      </c>
      <c r="E186" s="995">
        <v>0</v>
      </c>
      <c r="F186" s="995">
        <v>0</v>
      </c>
      <c r="G186" s="7">
        <f t="shared" si="19"/>
        <v>0</v>
      </c>
      <c r="H186" s="7">
        <f t="shared" si="21"/>
        <v>0</v>
      </c>
    </row>
    <row r="187" spans="1:8" ht="13">
      <c r="A187" s="509">
        <f t="shared" si="20"/>
        <v>103</v>
      </c>
      <c r="C187" s="498" t="s">
        <v>190</v>
      </c>
      <c r="D187" s="613">
        <v>2019</v>
      </c>
      <c r="E187" s="995">
        <v>0</v>
      </c>
      <c r="F187" s="995">
        <v>0</v>
      </c>
      <c r="G187" s="7">
        <f t="shared" si="19"/>
        <v>0</v>
      </c>
      <c r="H187" s="7">
        <f t="shared" si="21"/>
        <v>0</v>
      </c>
    </row>
    <row r="188" spans="1:8" ht="13">
      <c r="A188" s="509">
        <f t="shared" si="20"/>
        <v>104</v>
      </c>
      <c r="C188" s="498" t="s">
        <v>180</v>
      </c>
      <c r="D188" s="613">
        <v>2019</v>
      </c>
      <c r="E188" s="995">
        <v>0</v>
      </c>
      <c r="F188" s="995">
        <v>0</v>
      </c>
      <c r="G188" s="7">
        <f t="shared" si="19"/>
        <v>0</v>
      </c>
      <c r="H188" s="7">
        <f t="shared" si="21"/>
        <v>0</v>
      </c>
    </row>
    <row r="190" spans="1:8" ht="13">
      <c r="C190" s="189" t="s">
        <v>2337</v>
      </c>
      <c r="E190" s="84" t="s">
        <v>358</v>
      </c>
      <c r="F190" s="84" t="s">
        <v>342</v>
      </c>
      <c r="G190" s="84" t="s">
        <v>343</v>
      </c>
      <c r="H190" s="84" t="s">
        <v>344</v>
      </c>
    </row>
    <row r="191" spans="1:8">
      <c r="G191" s="529" t="s">
        <v>1645</v>
      </c>
      <c r="H191" s="529" t="s">
        <v>1646</v>
      </c>
    </row>
    <row r="192" spans="1:8" ht="13">
      <c r="C192" s="509" t="s">
        <v>528</v>
      </c>
      <c r="G192" s="14"/>
      <c r="H192" s="1168" t="s">
        <v>1647</v>
      </c>
    </row>
    <row r="193" spans="1:8" ht="13">
      <c r="C193" s="509" t="s">
        <v>193</v>
      </c>
      <c r="E193" s="509" t="s">
        <v>371</v>
      </c>
      <c r="F193" s="509" t="s">
        <v>1542</v>
      </c>
      <c r="G193" s="509" t="s">
        <v>994</v>
      </c>
      <c r="H193" s="509" t="s">
        <v>1118</v>
      </c>
    </row>
    <row r="194" spans="1:8" ht="13">
      <c r="C194" s="25" t="s">
        <v>192</v>
      </c>
      <c r="D194" s="25" t="s">
        <v>193</v>
      </c>
      <c r="E194" s="3" t="s">
        <v>1543</v>
      </c>
      <c r="F194" s="3" t="s">
        <v>1082</v>
      </c>
      <c r="G194" s="3" t="s">
        <v>3</v>
      </c>
      <c r="H194" s="3" t="s">
        <v>1538</v>
      </c>
    </row>
    <row r="195" spans="1:8" ht="13">
      <c r="A195" s="509">
        <f>A188+1</f>
        <v>105</v>
      </c>
      <c r="C195" s="498" t="s">
        <v>180</v>
      </c>
      <c r="D195" s="1065">
        <v>2018</v>
      </c>
      <c r="E195" s="995">
        <v>3046911.14</v>
      </c>
      <c r="F195" s="995">
        <v>24982.966493333333</v>
      </c>
      <c r="G195" s="7">
        <f t="shared" ref="G195:G207" si="22">E195-F195</f>
        <v>3021928.1735066669</v>
      </c>
      <c r="H195" s="7">
        <f>E195-E195</f>
        <v>0</v>
      </c>
    </row>
    <row r="196" spans="1:8" ht="13">
      <c r="A196" s="509">
        <f>A195+1</f>
        <v>106</v>
      </c>
      <c r="C196" s="498" t="s">
        <v>181</v>
      </c>
      <c r="D196" s="613">
        <v>2019</v>
      </c>
      <c r="E196" s="995">
        <v>3084212.95</v>
      </c>
      <c r="F196" s="995">
        <v>31254.525256500001</v>
      </c>
      <c r="G196" s="7">
        <f t="shared" si="22"/>
        <v>3052958.4247435001</v>
      </c>
      <c r="H196" s="7">
        <f>E196-E195</f>
        <v>37301.810000000056</v>
      </c>
    </row>
    <row r="197" spans="1:8" ht="13">
      <c r="A197" s="509">
        <f t="shared" ref="A197:A207" si="23">A196+1</f>
        <v>107</v>
      </c>
      <c r="C197" s="496" t="s">
        <v>182</v>
      </c>
      <c r="D197" s="613">
        <v>2019</v>
      </c>
      <c r="E197" s="995">
        <v>3091993.4200000004</v>
      </c>
      <c r="F197" s="995">
        <v>37602.863578583332</v>
      </c>
      <c r="G197" s="7">
        <f t="shared" si="22"/>
        <v>3054390.5564214173</v>
      </c>
      <c r="H197" s="7">
        <f t="shared" ref="H197:H207" si="24">E197-E196</f>
        <v>7780.4700000002049</v>
      </c>
    </row>
    <row r="198" spans="1:8" ht="13">
      <c r="A198" s="509">
        <f t="shared" si="23"/>
        <v>108</v>
      </c>
      <c r="C198" s="496" t="s">
        <v>195</v>
      </c>
      <c r="D198" s="613">
        <v>2019</v>
      </c>
      <c r="E198" s="995">
        <v>3120340.6200000006</v>
      </c>
      <c r="F198" s="995">
        <v>43967.21670141667</v>
      </c>
      <c r="G198" s="7">
        <f t="shared" si="22"/>
        <v>3076373.4032985838</v>
      </c>
      <c r="H198" s="7">
        <f t="shared" si="24"/>
        <v>28347.200000000186</v>
      </c>
    </row>
    <row r="199" spans="1:8" ht="13">
      <c r="A199" s="509">
        <f t="shared" si="23"/>
        <v>109</v>
      </c>
      <c r="C199" s="498" t="s">
        <v>183</v>
      </c>
      <c r="D199" s="613">
        <v>2019</v>
      </c>
      <c r="E199" s="995">
        <v>3144961.8000000007</v>
      </c>
      <c r="F199" s="995">
        <v>50389.917810916675</v>
      </c>
      <c r="G199" s="7">
        <f t="shared" si="22"/>
        <v>3094571.8821890838</v>
      </c>
      <c r="H199" s="7">
        <f t="shared" si="24"/>
        <v>24621.180000000168</v>
      </c>
    </row>
    <row r="200" spans="1:8" ht="13">
      <c r="A200" s="509">
        <f t="shared" si="23"/>
        <v>110</v>
      </c>
      <c r="C200" s="496" t="s">
        <v>184</v>
      </c>
      <c r="D200" s="613">
        <v>2019</v>
      </c>
      <c r="E200" s="995">
        <v>3151141.7100000009</v>
      </c>
      <c r="F200" s="995">
        <v>56863.297515916667</v>
      </c>
      <c r="G200" s="7">
        <f t="shared" si="22"/>
        <v>3094278.4124840843</v>
      </c>
      <c r="H200" s="7">
        <f t="shared" si="24"/>
        <v>6179.910000000149</v>
      </c>
    </row>
    <row r="201" spans="1:8" ht="13">
      <c r="A201" s="509">
        <f t="shared" si="23"/>
        <v>111</v>
      </c>
      <c r="C201" s="496" t="s">
        <v>185</v>
      </c>
      <c r="D201" s="613">
        <v>2019</v>
      </c>
      <c r="E201" s="995">
        <v>3151900.370000001</v>
      </c>
      <c r="F201" s="995">
        <v>63349.397535666678</v>
      </c>
      <c r="G201" s="7">
        <f t="shared" si="22"/>
        <v>3088550.9724643342</v>
      </c>
      <c r="H201" s="7">
        <f t="shared" si="24"/>
        <v>758.66000000014901</v>
      </c>
    </row>
    <row r="202" spans="1:8" ht="13">
      <c r="A202" s="509">
        <f t="shared" si="23"/>
        <v>112</v>
      </c>
      <c r="C202" s="498" t="s">
        <v>186</v>
      </c>
      <c r="D202" s="613">
        <v>2019</v>
      </c>
      <c r="E202" s="995">
        <v>3152039.4600000009</v>
      </c>
      <c r="F202" s="995">
        <v>69837.059130583337</v>
      </c>
      <c r="G202" s="7">
        <f t="shared" si="22"/>
        <v>3082202.4008694175</v>
      </c>
      <c r="H202" s="7">
        <f t="shared" si="24"/>
        <v>139.08999999985099</v>
      </c>
    </row>
    <row r="203" spans="1:8" ht="13">
      <c r="A203" s="509">
        <f t="shared" si="23"/>
        <v>113</v>
      </c>
      <c r="C203" s="496" t="s">
        <v>187</v>
      </c>
      <c r="D203" s="613">
        <v>2019</v>
      </c>
      <c r="E203" s="995">
        <v>3155354.0200000009</v>
      </c>
      <c r="F203" s="995">
        <v>76325.00701908335</v>
      </c>
      <c r="G203" s="7">
        <f t="shared" si="22"/>
        <v>3079029.0129809175</v>
      </c>
      <c r="H203" s="7">
        <f t="shared" si="24"/>
        <v>3314.5600000000559</v>
      </c>
    </row>
    <row r="204" spans="1:8" ht="13">
      <c r="A204" s="509">
        <f t="shared" si="23"/>
        <v>114</v>
      </c>
      <c r="C204" s="496" t="s">
        <v>188</v>
      </c>
      <c r="D204" s="613">
        <v>2019</v>
      </c>
      <c r="E204" s="995">
        <v>3156224.790000001</v>
      </c>
      <c r="F204" s="995">
        <v>82819.777376916696</v>
      </c>
      <c r="G204" s="7">
        <f t="shared" si="22"/>
        <v>3073405.0126230842</v>
      </c>
      <c r="H204" s="7">
        <f t="shared" si="24"/>
        <v>870.77000000001863</v>
      </c>
    </row>
    <row r="205" spans="1:8" ht="13">
      <c r="A205" s="509">
        <f t="shared" si="23"/>
        <v>115</v>
      </c>
      <c r="C205" s="498" t="s">
        <v>189</v>
      </c>
      <c r="D205" s="613">
        <v>2019</v>
      </c>
      <c r="E205" s="995">
        <v>3156346.3000000007</v>
      </c>
      <c r="F205" s="995">
        <v>89316.340069666694</v>
      </c>
      <c r="G205" s="7">
        <f t="shared" si="22"/>
        <v>3067029.9599303342</v>
      </c>
      <c r="H205" s="7">
        <f t="shared" si="24"/>
        <v>121.50999999977648</v>
      </c>
    </row>
    <row r="206" spans="1:8" ht="13">
      <c r="A206" s="509">
        <f t="shared" si="23"/>
        <v>116</v>
      </c>
      <c r="C206" s="498" t="s">
        <v>190</v>
      </c>
      <c r="D206" s="613">
        <v>2019</v>
      </c>
      <c r="E206" s="995">
        <v>3156346.3000000007</v>
      </c>
      <c r="F206" s="995">
        <v>96429.517161861135</v>
      </c>
      <c r="G206" s="7">
        <f t="shared" si="22"/>
        <v>3059916.7828381397</v>
      </c>
      <c r="H206" s="7">
        <f t="shared" si="24"/>
        <v>0</v>
      </c>
    </row>
    <row r="207" spans="1:8" ht="13">
      <c r="A207" s="509">
        <f t="shared" si="23"/>
        <v>117</v>
      </c>
      <c r="C207" s="498" t="s">
        <v>180</v>
      </c>
      <c r="D207" s="613">
        <v>2019</v>
      </c>
      <c r="E207" s="995">
        <v>3156346.3000000007</v>
      </c>
      <c r="F207" s="995">
        <v>103899.53673852779</v>
      </c>
      <c r="G207" s="7">
        <f t="shared" si="22"/>
        <v>3052446.7632614728</v>
      </c>
      <c r="H207" s="7">
        <f t="shared" si="24"/>
        <v>0</v>
      </c>
    </row>
    <row r="209" spans="1:8" ht="13">
      <c r="C209" s="189" t="s">
        <v>1546</v>
      </c>
      <c r="E209" s="84" t="s">
        <v>358</v>
      </c>
      <c r="F209" s="84" t="s">
        <v>342</v>
      </c>
      <c r="G209" s="84" t="s">
        <v>343</v>
      </c>
      <c r="H209" s="84" t="s">
        <v>344</v>
      </c>
    </row>
    <row r="210" spans="1:8">
      <c r="G210" s="529" t="s">
        <v>1645</v>
      </c>
      <c r="H210" s="529" t="s">
        <v>1646</v>
      </c>
    </row>
    <row r="211" spans="1:8" ht="13">
      <c r="C211" s="509" t="s">
        <v>528</v>
      </c>
      <c r="G211" s="14"/>
      <c r="H211" s="1168" t="s">
        <v>1647</v>
      </c>
    </row>
    <row r="212" spans="1:8" ht="13">
      <c r="C212" s="509" t="s">
        <v>193</v>
      </c>
      <c r="E212" s="509" t="s">
        <v>371</v>
      </c>
      <c r="F212" s="509" t="s">
        <v>1542</v>
      </c>
      <c r="G212" s="509" t="s">
        <v>994</v>
      </c>
      <c r="H212" s="509" t="s">
        <v>1118</v>
      </c>
    </row>
    <row r="213" spans="1:8" ht="13">
      <c r="C213" s="25" t="s">
        <v>192</v>
      </c>
      <c r="D213" s="25" t="s">
        <v>193</v>
      </c>
      <c r="E213" s="3" t="s">
        <v>1543</v>
      </c>
      <c r="F213" s="3" t="s">
        <v>1082</v>
      </c>
      <c r="G213" s="3" t="s">
        <v>3</v>
      </c>
      <c r="H213" s="3" t="s">
        <v>1538</v>
      </c>
    </row>
    <row r="214" spans="1:8" ht="13">
      <c r="A214" s="509">
        <f>A207+1</f>
        <v>118</v>
      </c>
      <c r="C214" s="498" t="s">
        <v>180</v>
      </c>
      <c r="D214" s="1065">
        <v>2018</v>
      </c>
      <c r="E214" s="995">
        <v>235653780.98999995</v>
      </c>
      <c r="F214" s="995">
        <v>31507861.621809158</v>
      </c>
      <c r="G214" s="7">
        <f t="shared" ref="G214:G226" si="25">E214-F214</f>
        <v>204145919.3681908</v>
      </c>
      <c r="H214" s="7">
        <f>E214-E214</f>
        <v>0</v>
      </c>
    </row>
    <row r="215" spans="1:8" ht="13">
      <c r="A215" s="509">
        <f>A214+1</f>
        <v>119</v>
      </c>
      <c r="C215" s="498" t="s">
        <v>181</v>
      </c>
      <c r="D215" s="613">
        <v>2019</v>
      </c>
      <c r="E215" s="995">
        <v>235653780.98999995</v>
      </c>
      <c r="F215" s="995">
        <v>32004612.322411489</v>
      </c>
      <c r="G215" s="7">
        <f t="shared" si="25"/>
        <v>203649168.66758847</v>
      </c>
      <c r="H215" s="7">
        <f>E215-E214</f>
        <v>0</v>
      </c>
    </row>
    <row r="216" spans="1:8" ht="13">
      <c r="A216" s="509">
        <f t="shared" ref="A216:A226" si="26">A215+1</f>
        <v>120</v>
      </c>
      <c r="C216" s="496" t="s">
        <v>182</v>
      </c>
      <c r="D216" s="613">
        <v>2019</v>
      </c>
      <c r="E216" s="995">
        <v>235653780.98999995</v>
      </c>
      <c r="F216" s="995">
        <v>32501363.023013823</v>
      </c>
      <c r="G216" s="7">
        <f t="shared" si="25"/>
        <v>203152417.96698612</v>
      </c>
      <c r="H216" s="7">
        <f t="shared" ref="H216:H226" si="27">E216-E215</f>
        <v>0</v>
      </c>
    </row>
    <row r="217" spans="1:8" ht="13">
      <c r="A217" s="509">
        <f t="shared" si="26"/>
        <v>121</v>
      </c>
      <c r="C217" s="496" t="s">
        <v>195</v>
      </c>
      <c r="D217" s="613">
        <v>2019</v>
      </c>
      <c r="E217" s="995">
        <v>235653780.98999995</v>
      </c>
      <c r="F217" s="995">
        <v>32998113.723616153</v>
      </c>
      <c r="G217" s="7">
        <f t="shared" si="25"/>
        <v>202655667.2663838</v>
      </c>
      <c r="H217" s="7">
        <f t="shared" si="27"/>
        <v>0</v>
      </c>
    </row>
    <row r="218" spans="1:8" ht="13">
      <c r="A218" s="509">
        <f t="shared" si="26"/>
        <v>122</v>
      </c>
      <c r="C218" s="498" t="s">
        <v>183</v>
      </c>
      <c r="D218" s="613">
        <v>2019</v>
      </c>
      <c r="E218" s="995">
        <v>235653780.98999995</v>
      </c>
      <c r="F218" s="995">
        <v>33494864.424218491</v>
      </c>
      <c r="G218" s="7">
        <f t="shared" si="25"/>
        <v>202158916.56578147</v>
      </c>
      <c r="H218" s="7">
        <f t="shared" si="27"/>
        <v>0</v>
      </c>
    </row>
    <row r="219" spans="1:8" ht="13">
      <c r="A219" s="509">
        <f t="shared" si="26"/>
        <v>123</v>
      </c>
      <c r="C219" s="496" t="s">
        <v>184</v>
      </c>
      <c r="D219" s="613">
        <v>2019</v>
      </c>
      <c r="E219" s="995">
        <v>235653780.98999995</v>
      </c>
      <c r="F219" s="995">
        <v>33991615.124820828</v>
      </c>
      <c r="G219" s="7">
        <f t="shared" si="25"/>
        <v>201662165.86517912</v>
      </c>
      <c r="H219" s="7">
        <f t="shared" si="27"/>
        <v>0</v>
      </c>
    </row>
    <row r="220" spans="1:8" ht="13">
      <c r="A220" s="509">
        <f t="shared" si="26"/>
        <v>124</v>
      </c>
      <c r="C220" s="496" t="s">
        <v>185</v>
      </c>
      <c r="D220" s="613">
        <v>2019</v>
      </c>
      <c r="E220" s="995">
        <v>235653780.98999995</v>
      </c>
      <c r="F220" s="995">
        <v>34488365.825423151</v>
      </c>
      <c r="G220" s="7">
        <f t="shared" si="25"/>
        <v>201165415.1645768</v>
      </c>
      <c r="H220" s="7">
        <f t="shared" si="27"/>
        <v>0</v>
      </c>
    </row>
    <row r="221" spans="1:8" ht="13">
      <c r="A221" s="509">
        <f t="shared" si="26"/>
        <v>125</v>
      </c>
      <c r="C221" s="498" t="s">
        <v>186</v>
      </c>
      <c r="D221" s="613">
        <v>2019</v>
      </c>
      <c r="E221" s="995">
        <v>235653780.98999995</v>
      </c>
      <c r="F221" s="995">
        <v>34985116.526025489</v>
      </c>
      <c r="G221" s="7">
        <f t="shared" si="25"/>
        <v>200668664.46397448</v>
      </c>
      <c r="H221" s="7">
        <f t="shared" si="27"/>
        <v>0</v>
      </c>
    </row>
    <row r="222" spans="1:8" ht="13">
      <c r="A222" s="509">
        <f t="shared" si="26"/>
        <v>126</v>
      </c>
      <c r="C222" s="496" t="s">
        <v>187</v>
      </c>
      <c r="D222" s="613">
        <v>2019</v>
      </c>
      <c r="E222" s="995">
        <v>235653780.98999995</v>
      </c>
      <c r="F222" s="995">
        <v>35481867.226627819</v>
      </c>
      <c r="G222" s="7">
        <f t="shared" si="25"/>
        <v>200171913.76337212</v>
      </c>
      <c r="H222" s="7">
        <f t="shared" si="27"/>
        <v>0</v>
      </c>
    </row>
    <row r="223" spans="1:8" ht="13">
      <c r="A223" s="509">
        <f t="shared" si="26"/>
        <v>127</v>
      </c>
      <c r="C223" s="496" t="s">
        <v>188</v>
      </c>
      <c r="D223" s="613">
        <v>2019</v>
      </c>
      <c r="E223" s="995">
        <v>235653780.98999995</v>
      </c>
      <c r="F223" s="995">
        <v>35978617.92723015</v>
      </c>
      <c r="G223" s="7">
        <f t="shared" si="25"/>
        <v>199675163.0627698</v>
      </c>
      <c r="H223" s="7">
        <f t="shared" si="27"/>
        <v>0</v>
      </c>
    </row>
    <row r="224" spans="1:8" ht="13">
      <c r="A224" s="509">
        <f t="shared" si="26"/>
        <v>128</v>
      </c>
      <c r="C224" s="498" t="s">
        <v>189</v>
      </c>
      <c r="D224" s="613">
        <v>2019</v>
      </c>
      <c r="E224" s="995">
        <v>235653780.98999995</v>
      </c>
      <c r="F224" s="995">
        <v>36475368.627832495</v>
      </c>
      <c r="G224" s="7">
        <f t="shared" si="25"/>
        <v>199178412.36216745</v>
      </c>
      <c r="H224" s="7">
        <f t="shared" si="27"/>
        <v>0</v>
      </c>
    </row>
    <row r="225" spans="1:8" ht="13">
      <c r="A225" s="509">
        <f t="shared" si="26"/>
        <v>129</v>
      </c>
      <c r="C225" s="498" t="s">
        <v>190</v>
      </c>
      <c r="D225" s="613">
        <v>2019</v>
      </c>
      <c r="E225" s="995">
        <v>235653780.98999995</v>
      </c>
      <c r="F225" s="995">
        <v>36990109.477842763</v>
      </c>
      <c r="G225" s="7">
        <f t="shared" si="25"/>
        <v>198663671.5121572</v>
      </c>
      <c r="H225" s="7">
        <f t="shared" si="27"/>
        <v>0</v>
      </c>
    </row>
    <row r="226" spans="1:8" ht="13">
      <c r="A226" s="509">
        <f t="shared" si="26"/>
        <v>130</v>
      </c>
      <c r="C226" s="498" t="s">
        <v>180</v>
      </c>
      <c r="D226" s="613">
        <v>2019</v>
      </c>
      <c r="E226" s="995">
        <v>235653780.98999995</v>
      </c>
      <c r="F226" s="995">
        <v>37515265.677510254</v>
      </c>
      <c r="G226" s="7">
        <f t="shared" si="25"/>
        <v>198138515.31248969</v>
      </c>
      <c r="H226" s="7">
        <f t="shared" si="27"/>
        <v>0</v>
      </c>
    </row>
    <row r="228" spans="1:8" ht="13">
      <c r="C228" s="619" t="s">
        <v>2469</v>
      </c>
      <c r="H228" s="84" t="s">
        <v>344</v>
      </c>
    </row>
    <row r="229" spans="1:8" ht="13">
      <c r="E229" s="84" t="s">
        <v>358</v>
      </c>
      <c r="F229" s="84" t="s">
        <v>342</v>
      </c>
      <c r="G229" s="352" t="s">
        <v>343</v>
      </c>
      <c r="H229" s="529" t="s">
        <v>1646</v>
      </c>
    </row>
    <row r="230" spans="1:8" ht="13">
      <c r="C230" s="509" t="s">
        <v>528</v>
      </c>
      <c r="G230" s="529" t="s">
        <v>1645</v>
      </c>
      <c r="H230" s="1168" t="s">
        <v>1647</v>
      </c>
    </row>
    <row r="231" spans="1:8" ht="13">
      <c r="C231" s="509" t="s">
        <v>193</v>
      </c>
      <c r="E231" s="509" t="s">
        <v>371</v>
      </c>
      <c r="F231" s="509" t="s">
        <v>1542</v>
      </c>
      <c r="G231" s="509" t="s">
        <v>994</v>
      </c>
      <c r="H231" s="509" t="s">
        <v>1118</v>
      </c>
    </row>
    <row r="232" spans="1:8" ht="13">
      <c r="C232" s="25" t="s">
        <v>192</v>
      </c>
      <c r="D232" s="25" t="s">
        <v>193</v>
      </c>
      <c r="E232" s="3" t="s">
        <v>1543</v>
      </c>
      <c r="F232" s="3" t="s">
        <v>1082</v>
      </c>
      <c r="G232" s="3" t="s">
        <v>3</v>
      </c>
      <c r="H232" s="3" t="s">
        <v>1538</v>
      </c>
    </row>
    <row r="233" spans="1:8" ht="13">
      <c r="A233" s="509">
        <f>A226+1</f>
        <v>131</v>
      </c>
      <c r="C233" s="498" t="s">
        <v>180</v>
      </c>
      <c r="D233" s="1065">
        <v>2018</v>
      </c>
      <c r="E233" s="995">
        <v>87571819.89000003</v>
      </c>
      <c r="F233" s="995">
        <v>7061028.9865846671</v>
      </c>
      <c r="G233" s="7">
        <f t="shared" ref="G233:G245" si="28">E233-F233</f>
        <v>80510790.903415367</v>
      </c>
      <c r="H233" s="7">
        <f>E233-E233</f>
        <v>0</v>
      </c>
    </row>
    <row r="234" spans="1:8" ht="13">
      <c r="A234" s="509">
        <f>A233+1</f>
        <v>132</v>
      </c>
      <c r="C234" s="498" t="s">
        <v>181</v>
      </c>
      <c r="D234" s="613">
        <v>2019</v>
      </c>
      <c r="E234" s="995">
        <v>87575646.26000002</v>
      </c>
      <c r="F234" s="995">
        <v>7241381.754407418</v>
      </c>
      <c r="G234" s="7">
        <f t="shared" si="28"/>
        <v>80334264.5055926</v>
      </c>
      <c r="H234" s="7">
        <f>E234-E233</f>
        <v>3826.3699999898672</v>
      </c>
    </row>
    <row r="235" spans="1:8" ht="13">
      <c r="A235" s="509">
        <f t="shared" ref="A235:A245" si="29">A234+1</f>
        <v>133</v>
      </c>
      <c r="C235" s="496" t="s">
        <v>182</v>
      </c>
      <c r="D235" s="613">
        <v>2019</v>
      </c>
      <c r="E235" s="995">
        <v>87581454.440000027</v>
      </c>
      <c r="F235" s="995">
        <v>7421742.3982575852</v>
      </c>
      <c r="G235" s="7">
        <f t="shared" si="28"/>
        <v>80159712.041742444</v>
      </c>
      <c r="H235" s="7">
        <f t="shared" ref="H235:H245" si="30">E235-E234</f>
        <v>5808.1800000071526</v>
      </c>
    </row>
    <row r="236" spans="1:8" ht="13">
      <c r="A236" s="509">
        <f t="shared" si="29"/>
        <v>134</v>
      </c>
      <c r="C236" s="496" t="s">
        <v>195</v>
      </c>
      <c r="D236" s="613">
        <v>2019</v>
      </c>
      <c r="E236" s="995">
        <v>87584451.50000003</v>
      </c>
      <c r="F236" s="995">
        <v>7602114.9972782508</v>
      </c>
      <c r="G236" s="7">
        <f t="shared" si="28"/>
        <v>79982336.502721786</v>
      </c>
      <c r="H236" s="7">
        <f t="shared" si="30"/>
        <v>2997.0600000023842</v>
      </c>
    </row>
    <row r="237" spans="1:8" ht="13">
      <c r="A237" s="509">
        <f t="shared" si="29"/>
        <v>135</v>
      </c>
      <c r="C237" s="498" t="s">
        <v>183</v>
      </c>
      <c r="D237" s="613">
        <v>2019</v>
      </c>
      <c r="E237" s="995">
        <v>87584293.680000037</v>
      </c>
      <c r="F237" s="995">
        <v>7782493.7663882514</v>
      </c>
      <c r="G237" s="7">
        <f t="shared" si="28"/>
        <v>79801799.913611785</v>
      </c>
      <c r="H237" s="7">
        <f t="shared" si="30"/>
        <v>-157.81999999284744</v>
      </c>
    </row>
    <row r="238" spans="1:8" ht="13">
      <c r="A238" s="509">
        <f t="shared" si="29"/>
        <v>136</v>
      </c>
      <c r="C238" s="496" t="s">
        <v>184</v>
      </c>
      <c r="D238" s="613">
        <v>2019</v>
      </c>
      <c r="E238" s="995">
        <v>87584457.970000029</v>
      </c>
      <c r="F238" s="995">
        <v>7962872.2105354182</v>
      </c>
      <c r="G238" s="7">
        <f t="shared" si="28"/>
        <v>79621585.759464607</v>
      </c>
      <c r="H238" s="7">
        <f t="shared" si="30"/>
        <v>164.28999999165535</v>
      </c>
    </row>
    <row r="239" spans="1:8" ht="13">
      <c r="A239" s="509">
        <f t="shared" si="29"/>
        <v>137</v>
      </c>
      <c r="C239" s="496" t="s">
        <v>185</v>
      </c>
      <c r="D239" s="613">
        <v>2019</v>
      </c>
      <c r="E239" s="995">
        <v>87588108.790000021</v>
      </c>
      <c r="F239" s="995">
        <v>8143250.9929336682</v>
      </c>
      <c r="G239" s="7">
        <f t="shared" si="28"/>
        <v>79444857.797066361</v>
      </c>
      <c r="H239" s="7">
        <f t="shared" si="30"/>
        <v>3650.8199999928474</v>
      </c>
    </row>
    <row r="240" spans="1:8" ht="13">
      <c r="A240" s="509">
        <f t="shared" si="29"/>
        <v>138</v>
      </c>
      <c r="C240" s="498" t="s">
        <v>186</v>
      </c>
      <c r="D240" s="613">
        <v>2019</v>
      </c>
      <c r="E240" s="995">
        <v>87588176.930000022</v>
      </c>
      <c r="F240" s="995">
        <v>8323637.2900164183</v>
      </c>
      <c r="G240" s="7">
        <f t="shared" si="28"/>
        <v>79264539.639983609</v>
      </c>
      <c r="H240" s="7">
        <f t="shared" si="30"/>
        <v>68.140000000596046</v>
      </c>
    </row>
    <row r="241" spans="1:8" ht="13">
      <c r="A241" s="509">
        <f t="shared" si="29"/>
        <v>139</v>
      </c>
      <c r="C241" s="496" t="s">
        <v>187</v>
      </c>
      <c r="D241" s="613">
        <v>2019</v>
      </c>
      <c r="E241" s="995">
        <v>87602865.730000019</v>
      </c>
      <c r="F241" s="995">
        <v>8504023.7273540013</v>
      </c>
      <c r="G241" s="7">
        <f t="shared" si="28"/>
        <v>79098842.002646014</v>
      </c>
      <c r="H241" s="7">
        <f t="shared" si="30"/>
        <v>14688.79999999702</v>
      </c>
    </row>
    <row r="242" spans="1:8" ht="13">
      <c r="A242" s="509">
        <f t="shared" si="29"/>
        <v>140</v>
      </c>
      <c r="C242" s="496" t="s">
        <v>188</v>
      </c>
      <c r="D242" s="613">
        <v>2019</v>
      </c>
      <c r="E242" s="995">
        <v>87603313.350000024</v>
      </c>
      <c r="F242" s="995">
        <v>8684440.4063349199</v>
      </c>
      <c r="G242" s="7">
        <f t="shared" si="28"/>
        <v>78918872.943665102</v>
      </c>
      <c r="H242" s="7">
        <f t="shared" si="30"/>
        <v>447.62000000476837</v>
      </c>
    </row>
    <row r="243" spans="1:8" ht="13">
      <c r="A243" s="509">
        <f t="shared" si="29"/>
        <v>141</v>
      </c>
      <c r="C243" s="498" t="s">
        <v>189</v>
      </c>
      <c r="D243" s="613">
        <v>2019</v>
      </c>
      <c r="E243" s="995">
        <v>87603588.700000018</v>
      </c>
      <c r="F243" s="995">
        <v>8864858.0067486688</v>
      </c>
      <c r="G243" s="7">
        <f t="shared" si="28"/>
        <v>78738730.693251342</v>
      </c>
      <c r="H243" s="7">
        <f t="shared" si="30"/>
        <v>275.34999999403954</v>
      </c>
    </row>
    <row r="244" spans="1:8" ht="13">
      <c r="A244" s="509">
        <f t="shared" si="29"/>
        <v>142</v>
      </c>
      <c r="C244" s="498" t="s">
        <v>190</v>
      </c>
      <c r="D244" s="613">
        <v>2019</v>
      </c>
      <c r="E244" s="995">
        <v>87603588.700000018</v>
      </c>
      <c r="F244" s="995">
        <v>9062044.9213551674</v>
      </c>
      <c r="G244" s="7">
        <f t="shared" si="28"/>
        <v>78541543.778644845</v>
      </c>
      <c r="H244" s="7">
        <f t="shared" si="30"/>
        <v>0</v>
      </c>
    </row>
    <row r="245" spans="1:8" ht="13">
      <c r="A245" s="509">
        <f t="shared" si="29"/>
        <v>143</v>
      </c>
      <c r="C245" s="498" t="s">
        <v>180</v>
      </c>
      <c r="D245" s="613">
        <v>2019</v>
      </c>
      <c r="E245" s="995">
        <v>87605814.650000021</v>
      </c>
      <c r="F245" s="995">
        <v>9268940.0580676682</v>
      </c>
      <c r="G245" s="7">
        <f t="shared" si="28"/>
        <v>78336874.591932356</v>
      </c>
      <c r="H245" s="7">
        <f t="shared" si="30"/>
        <v>2225.9500000029802</v>
      </c>
    </row>
    <row r="247" spans="1:8" ht="13">
      <c r="C247" s="189" t="s">
        <v>1580</v>
      </c>
      <c r="H247" s="84" t="s">
        <v>344</v>
      </c>
    </row>
    <row r="248" spans="1:8" ht="13">
      <c r="E248" s="84" t="s">
        <v>358</v>
      </c>
      <c r="F248" s="84" t="s">
        <v>342</v>
      </c>
      <c r="G248" s="352" t="s">
        <v>343</v>
      </c>
      <c r="H248" s="529" t="s">
        <v>1646</v>
      </c>
    </row>
    <row r="249" spans="1:8" ht="13">
      <c r="C249" s="509" t="s">
        <v>528</v>
      </c>
      <c r="G249" s="529" t="s">
        <v>1645</v>
      </c>
      <c r="H249" s="1168" t="s">
        <v>1647</v>
      </c>
    </row>
    <row r="250" spans="1:8" ht="13">
      <c r="C250" s="509" t="s">
        <v>193</v>
      </c>
      <c r="E250" s="509" t="s">
        <v>371</v>
      </c>
      <c r="F250" s="509" t="s">
        <v>1542</v>
      </c>
      <c r="G250" s="509" t="s">
        <v>994</v>
      </c>
      <c r="H250" s="509" t="s">
        <v>1118</v>
      </c>
    </row>
    <row r="251" spans="1:8" ht="13">
      <c r="C251" s="25" t="s">
        <v>192</v>
      </c>
      <c r="D251" s="25" t="s">
        <v>193</v>
      </c>
      <c r="E251" s="3" t="s">
        <v>1543</v>
      </c>
      <c r="F251" s="3" t="s">
        <v>1082</v>
      </c>
      <c r="G251" s="3" t="s">
        <v>3</v>
      </c>
      <c r="H251" s="3" t="s">
        <v>1538</v>
      </c>
    </row>
    <row r="252" spans="1:8" ht="13">
      <c r="A252" s="509">
        <f>A245+1</f>
        <v>144</v>
      </c>
      <c r="C252" s="498" t="s">
        <v>180</v>
      </c>
      <c r="D252" s="1065">
        <v>2018</v>
      </c>
      <c r="E252" s="995">
        <v>71454672.110000044</v>
      </c>
      <c r="F252" s="995">
        <v>9546889.4922696687</v>
      </c>
      <c r="G252" s="7">
        <f t="shared" ref="G252:G264" si="31">E252-F252</f>
        <v>61907782.617730379</v>
      </c>
      <c r="H252" s="7">
        <f>E252-E252</f>
        <v>0</v>
      </c>
    </row>
    <row r="253" spans="1:8" ht="13">
      <c r="A253" s="509">
        <f>A252+1</f>
        <v>145</v>
      </c>
      <c r="C253" s="498" t="s">
        <v>181</v>
      </c>
      <c r="D253" s="613">
        <v>2019</v>
      </c>
      <c r="E253" s="995">
        <v>71454672.110000044</v>
      </c>
      <c r="F253" s="995">
        <v>9694957.665733587</v>
      </c>
      <c r="G253" s="7">
        <f t="shared" si="31"/>
        <v>61759714.444266453</v>
      </c>
      <c r="H253" s="7">
        <f>E253-E252</f>
        <v>0</v>
      </c>
    </row>
    <row r="254" spans="1:8" ht="13">
      <c r="A254" s="509">
        <f t="shared" ref="A254:A264" si="32">A253+1</f>
        <v>146</v>
      </c>
      <c r="C254" s="496" t="s">
        <v>182</v>
      </c>
      <c r="D254" s="613">
        <v>2019</v>
      </c>
      <c r="E254" s="995">
        <v>71454672.110000044</v>
      </c>
      <c r="F254" s="995">
        <v>9843025.8391975015</v>
      </c>
      <c r="G254" s="7">
        <f t="shared" si="31"/>
        <v>61611646.270802543</v>
      </c>
      <c r="H254" s="7">
        <f t="shared" ref="H254:H264" si="33">E254-E253</f>
        <v>0</v>
      </c>
    </row>
    <row r="255" spans="1:8" ht="13">
      <c r="A255" s="509">
        <f t="shared" si="32"/>
        <v>147</v>
      </c>
      <c r="C255" s="496" t="s">
        <v>195</v>
      </c>
      <c r="D255" s="613">
        <v>2019</v>
      </c>
      <c r="E255" s="995">
        <v>71454672.110000044</v>
      </c>
      <c r="F255" s="995">
        <v>9991094.0126614179</v>
      </c>
      <c r="G255" s="7">
        <f t="shared" si="31"/>
        <v>61463578.097338624</v>
      </c>
      <c r="H255" s="7">
        <f t="shared" si="33"/>
        <v>0</v>
      </c>
    </row>
    <row r="256" spans="1:8" ht="13">
      <c r="A256" s="509">
        <f t="shared" si="32"/>
        <v>148</v>
      </c>
      <c r="C256" s="498" t="s">
        <v>183</v>
      </c>
      <c r="D256" s="613">
        <v>2019</v>
      </c>
      <c r="E256" s="995">
        <v>71454672.110000044</v>
      </c>
      <c r="F256" s="995">
        <v>10139162.186125334</v>
      </c>
      <c r="G256" s="7">
        <f t="shared" si="31"/>
        <v>61315509.923874706</v>
      </c>
      <c r="H256" s="7">
        <f t="shared" si="33"/>
        <v>0</v>
      </c>
    </row>
    <row r="257" spans="1:8" ht="13">
      <c r="A257" s="509">
        <f t="shared" si="32"/>
        <v>149</v>
      </c>
      <c r="C257" s="496" t="s">
        <v>184</v>
      </c>
      <c r="D257" s="613">
        <v>2019</v>
      </c>
      <c r="E257" s="995">
        <v>71454672.110000044</v>
      </c>
      <c r="F257" s="995">
        <v>10287230.359589253</v>
      </c>
      <c r="G257" s="7">
        <f t="shared" si="31"/>
        <v>61167441.750410795</v>
      </c>
      <c r="H257" s="7">
        <f t="shared" si="33"/>
        <v>0</v>
      </c>
    </row>
    <row r="258" spans="1:8" ht="13">
      <c r="A258" s="509">
        <f t="shared" si="32"/>
        <v>150</v>
      </c>
      <c r="C258" s="496" t="s">
        <v>185</v>
      </c>
      <c r="D258" s="613">
        <v>2019</v>
      </c>
      <c r="E258" s="995">
        <v>71454672.110000044</v>
      </c>
      <c r="F258" s="995">
        <v>10435298.533053169</v>
      </c>
      <c r="G258" s="7">
        <f t="shared" si="31"/>
        <v>61019373.576946877</v>
      </c>
      <c r="H258" s="7">
        <f t="shared" si="33"/>
        <v>0</v>
      </c>
    </row>
    <row r="259" spans="1:8" ht="13">
      <c r="A259" s="509">
        <f t="shared" si="32"/>
        <v>151</v>
      </c>
      <c r="C259" s="498" t="s">
        <v>186</v>
      </c>
      <c r="D259" s="613">
        <v>2019</v>
      </c>
      <c r="E259" s="995">
        <v>71454672.110000044</v>
      </c>
      <c r="F259" s="995">
        <v>10583366.706517085</v>
      </c>
      <c r="G259" s="7">
        <f t="shared" si="31"/>
        <v>60871305.403482959</v>
      </c>
      <c r="H259" s="7">
        <f t="shared" si="33"/>
        <v>0</v>
      </c>
    </row>
    <row r="260" spans="1:8" ht="13">
      <c r="A260" s="509">
        <f t="shared" si="32"/>
        <v>152</v>
      </c>
      <c r="C260" s="496" t="s">
        <v>187</v>
      </c>
      <c r="D260" s="613">
        <v>2019</v>
      </c>
      <c r="E260" s="995">
        <v>71454672.110000044</v>
      </c>
      <c r="F260" s="995">
        <v>10731434.879981002</v>
      </c>
      <c r="G260" s="7">
        <f t="shared" si="31"/>
        <v>60723237.23001904</v>
      </c>
      <c r="H260" s="7">
        <f t="shared" si="33"/>
        <v>0</v>
      </c>
    </row>
    <row r="261" spans="1:8" ht="13">
      <c r="A261" s="509">
        <f t="shared" si="32"/>
        <v>153</v>
      </c>
      <c r="C261" s="496" t="s">
        <v>188</v>
      </c>
      <c r="D261" s="613">
        <v>2019</v>
      </c>
      <c r="E261" s="995">
        <v>71454672.110000044</v>
      </c>
      <c r="F261" s="995">
        <v>10879503.053444918</v>
      </c>
      <c r="G261" s="7">
        <f t="shared" si="31"/>
        <v>60575169.056555122</v>
      </c>
      <c r="H261" s="7">
        <f t="shared" si="33"/>
        <v>0</v>
      </c>
    </row>
    <row r="262" spans="1:8" ht="13">
      <c r="A262" s="509">
        <f t="shared" si="32"/>
        <v>154</v>
      </c>
      <c r="C262" s="498" t="s">
        <v>189</v>
      </c>
      <c r="D262" s="613">
        <v>2019</v>
      </c>
      <c r="E262" s="995">
        <v>71454672.110000044</v>
      </c>
      <c r="F262" s="995">
        <v>11027571.226908835</v>
      </c>
      <c r="G262" s="7">
        <f t="shared" si="31"/>
        <v>60427100.883091211</v>
      </c>
      <c r="H262" s="7">
        <f t="shared" si="33"/>
        <v>0</v>
      </c>
    </row>
    <row r="263" spans="1:8" ht="13">
      <c r="A263" s="509">
        <f t="shared" si="32"/>
        <v>155</v>
      </c>
      <c r="C263" s="498" t="s">
        <v>190</v>
      </c>
      <c r="D263" s="613">
        <v>2019</v>
      </c>
      <c r="E263" s="995">
        <v>71454672.110000044</v>
      </c>
      <c r="F263" s="995">
        <v>11186267.66156169</v>
      </c>
      <c r="G263" s="7">
        <f t="shared" si="31"/>
        <v>60268404.448438354</v>
      </c>
      <c r="H263" s="7">
        <f t="shared" si="33"/>
        <v>0</v>
      </c>
    </row>
    <row r="264" spans="1:8" ht="13">
      <c r="A264" s="509">
        <f t="shared" si="32"/>
        <v>156</v>
      </c>
      <c r="C264" s="498" t="s">
        <v>180</v>
      </c>
      <c r="D264" s="613">
        <v>2019</v>
      </c>
      <c r="E264" s="995">
        <v>71454672.110000044</v>
      </c>
      <c r="F264" s="995">
        <v>11351117.300060773</v>
      </c>
      <c r="G264" s="7">
        <f t="shared" si="31"/>
        <v>60103554.809939273</v>
      </c>
      <c r="H264" s="7">
        <f t="shared" si="33"/>
        <v>0</v>
      </c>
    </row>
    <row r="266" spans="1:8" ht="13">
      <c r="C266" s="1390" t="s">
        <v>2623</v>
      </c>
      <c r="E266" s="84" t="s">
        <v>358</v>
      </c>
      <c r="F266" s="84" t="s">
        <v>342</v>
      </c>
      <c r="G266" s="84" t="s">
        <v>343</v>
      </c>
      <c r="H266" s="84" t="s">
        <v>344</v>
      </c>
    </row>
    <row r="267" spans="1:8">
      <c r="G267" s="529" t="s">
        <v>1645</v>
      </c>
      <c r="H267" s="529" t="s">
        <v>1646</v>
      </c>
    </row>
    <row r="268" spans="1:8" ht="13">
      <c r="C268" s="509" t="s">
        <v>528</v>
      </c>
      <c r="G268" s="14"/>
      <c r="H268" s="1168" t="s">
        <v>1647</v>
      </c>
    </row>
    <row r="269" spans="1:8" ht="13">
      <c r="C269" s="509" t="s">
        <v>193</v>
      </c>
      <c r="E269" s="509" t="s">
        <v>371</v>
      </c>
      <c r="F269" s="509" t="s">
        <v>1542</v>
      </c>
      <c r="G269" s="509" t="s">
        <v>994</v>
      </c>
      <c r="H269" s="509" t="s">
        <v>1118</v>
      </c>
    </row>
    <row r="270" spans="1:8" ht="13">
      <c r="C270" s="25" t="s">
        <v>192</v>
      </c>
      <c r="D270" s="25" t="s">
        <v>193</v>
      </c>
      <c r="E270" s="3" t="s">
        <v>1543</v>
      </c>
      <c r="F270" s="3" t="s">
        <v>1082</v>
      </c>
      <c r="G270" s="3" t="s">
        <v>3</v>
      </c>
      <c r="H270" s="3" t="s">
        <v>1538</v>
      </c>
    </row>
    <row r="271" spans="1:8" ht="13">
      <c r="A271" s="509">
        <f>A264+1</f>
        <v>157</v>
      </c>
      <c r="C271" s="498" t="s">
        <v>180</v>
      </c>
      <c r="D271" s="1065">
        <v>2018</v>
      </c>
      <c r="E271" s="107">
        <v>9207853.4755000006</v>
      </c>
      <c r="F271" s="107">
        <v>99441.523526003337</v>
      </c>
      <c r="G271" s="7">
        <f t="shared" ref="G271:G283" si="34">E271-F271</f>
        <v>9108411.9519739971</v>
      </c>
      <c r="H271" s="7">
        <f>E271-E271</f>
        <v>0</v>
      </c>
    </row>
    <row r="272" spans="1:8" ht="13">
      <c r="A272" s="509">
        <f>A271+1</f>
        <v>158</v>
      </c>
      <c r="C272" s="498" t="s">
        <v>181</v>
      </c>
      <c r="D272" s="613">
        <v>2019</v>
      </c>
      <c r="E272" s="107">
        <v>9210997.5655000005</v>
      </c>
      <c r="F272" s="107">
        <v>115612.62110363666</v>
      </c>
      <c r="G272" s="7">
        <f t="shared" si="34"/>
        <v>9095384.9443963636</v>
      </c>
      <c r="H272" s="7">
        <f>E272-E271</f>
        <v>3144.089999999851</v>
      </c>
    </row>
    <row r="273" spans="1:8" ht="13">
      <c r="A273" s="509">
        <f t="shared" ref="A273:A283" si="35">A272+1</f>
        <v>159</v>
      </c>
      <c r="C273" s="496" t="s">
        <v>182</v>
      </c>
      <c r="D273" s="613">
        <v>2019</v>
      </c>
      <c r="E273" s="107">
        <v>9215554.2955000009</v>
      </c>
      <c r="F273" s="107">
        <v>131791.70991002</v>
      </c>
      <c r="G273" s="7">
        <f t="shared" si="34"/>
        <v>9083762.5855899807</v>
      </c>
      <c r="H273" s="7">
        <f t="shared" ref="H273:H283" si="36">E273-E272</f>
        <v>4556.730000000447</v>
      </c>
    </row>
    <row r="274" spans="1:8" ht="13">
      <c r="A274" s="509">
        <f t="shared" si="35"/>
        <v>160</v>
      </c>
      <c r="C274" s="496" t="s">
        <v>195</v>
      </c>
      <c r="D274" s="613">
        <v>2019</v>
      </c>
      <c r="E274" s="107">
        <v>9221232.2555</v>
      </c>
      <c r="F274" s="107">
        <v>147982.38040515332</v>
      </c>
      <c r="G274" s="7">
        <f t="shared" si="34"/>
        <v>9073249.8750948459</v>
      </c>
      <c r="H274" s="7">
        <f t="shared" si="36"/>
        <v>5677.9599999990314</v>
      </c>
    </row>
    <row r="275" spans="1:8" ht="13">
      <c r="A275" s="509">
        <f t="shared" si="35"/>
        <v>161</v>
      </c>
      <c r="C275" s="498" t="s">
        <v>183</v>
      </c>
      <c r="D275" s="613">
        <v>2019</v>
      </c>
      <c r="E275" s="107">
        <v>9222912.7155000009</v>
      </c>
      <c r="F275" s="107">
        <v>164187.4823819533</v>
      </c>
      <c r="G275" s="7">
        <f t="shared" si="34"/>
        <v>9058725.2331180479</v>
      </c>
      <c r="H275" s="7">
        <f t="shared" si="36"/>
        <v>1680.4600000008941</v>
      </c>
    </row>
    <row r="276" spans="1:8" ht="13">
      <c r="A276" s="509">
        <f t="shared" si="35"/>
        <v>162</v>
      </c>
      <c r="C276" s="496" t="s">
        <v>184</v>
      </c>
      <c r="D276" s="613">
        <v>2019</v>
      </c>
      <c r="E276" s="107">
        <v>9224571.9254999999</v>
      </c>
      <c r="F276" s="107">
        <v>180396.85552791998</v>
      </c>
      <c r="G276" s="7">
        <f t="shared" si="34"/>
        <v>9044175.0699720792</v>
      </c>
      <c r="H276" s="7">
        <f t="shared" si="36"/>
        <v>1659.2099999990314</v>
      </c>
    </row>
    <row r="277" spans="1:8" ht="13">
      <c r="A277" s="509">
        <f t="shared" si="35"/>
        <v>163</v>
      </c>
      <c r="C277" s="496" t="s">
        <v>185</v>
      </c>
      <c r="D277" s="613">
        <v>2019</v>
      </c>
      <c r="E277" s="107">
        <v>9224571.9155000001</v>
      </c>
      <c r="F277" s="107">
        <v>196610.44583263667</v>
      </c>
      <c r="G277" s="7">
        <f t="shared" si="34"/>
        <v>9027961.4696673639</v>
      </c>
      <c r="H277" s="7">
        <f t="shared" si="36"/>
        <v>-9.9999997764825821E-3</v>
      </c>
    </row>
    <row r="278" spans="1:8" ht="13">
      <c r="A278" s="509">
        <f t="shared" si="35"/>
        <v>164</v>
      </c>
      <c r="C278" s="498" t="s">
        <v>186</v>
      </c>
      <c r="D278" s="613">
        <v>2019</v>
      </c>
      <c r="E278" s="107">
        <v>9262889.7155000009</v>
      </c>
      <c r="F278" s="107">
        <v>212824.03611193664</v>
      </c>
      <c r="G278" s="7">
        <f t="shared" si="34"/>
        <v>9050065.6793880649</v>
      </c>
      <c r="H278" s="7">
        <f t="shared" si="36"/>
        <v>38317.800000000745</v>
      </c>
    </row>
    <row r="279" spans="1:8" ht="13">
      <c r="A279" s="509">
        <f t="shared" si="35"/>
        <v>165</v>
      </c>
      <c r="C279" s="496" t="s">
        <v>187</v>
      </c>
      <c r="D279" s="613">
        <v>2019</v>
      </c>
      <c r="E279" s="107">
        <v>9267509.4155000001</v>
      </c>
      <c r="F279" s="107">
        <v>229135.01746623666</v>
      </c>
      <c r="G279" s="7">
        <f t="shared" si="34"/>
        <v>9038374.3980337642</v>
      </c>
      <c r="H279" s="7">
        <f t="shared" si="36"/>
        <v>4619.6999999992549</v>
      </c>
    </row>
    <row r="280" spans="1:8" ht="13">
      <c r="A280" s="509">
        <f t="shared" si="35"/>
        <v>166</v>
      </c>
      <c r="C280" s="496" t="s">
        <v>188</v>
      </c>
      <c r="D280" s="613">
        <v>2019</v>
      </c>
      <c r="E280" s="107">
        <v>9271948.9055000003</v>
      </c>
      <c r="F280" s="107">
        <v>245457.74055803666</v>
      </c>
      <c r="G280" s="7">
        <f t="shared" si="34"/>
        <v>9026491.1649419628</v>
      </c>
      <c r="H280" s="7">
        <f t="shared" si="36"/>
        <v>4439.4900000002235</v>
      </c>
    </row>
    <row r="281" spans="1:8" ht="13">
      <c r="A281" s="509">
        <f t="shared" si="35"/>
        <v>167</v>
      </c>
      <c r="C281" s="498" t="s">
        <v>189</v>
      </c>
      <c r="D281" s="613">
        <v>2019</v>
      </c>
      <c r="E281" s="107">
        <v>9276509.375500001</v>
      </c>
      <c r="F281" s="107">
        <v>261791.74735358666</v>
      </c>
      <c r="G281" s="7">
        <f t="shared" si="34"/>
        <v>9014717.6281464137</v>
      </c>
      <c r="H281" s="7">
        <f t="shared" si="36"/>
        <v>4560.4700000006706</v>
      </c>
    </row>
    <row r="282" spans="1:8" ht="13">
      <c r="A282" s="509">
        <f t="shared" si="35"/>
        <v>168</v>
      </c>
      <c r="C282" s="498" t="s">
        <v>190</v>
      </c>
      <c r="D282" s="613">
        <v>2019</v>
      </c>
      <c r="E282" s="107">
        <v>9276294.2155000009</v>
      </c>
      <c r="F282" s="107">
        <v>279494.96706964885</v>
      </c>
      <c r="G282" s="7">
        <f t="shared" si="34"/>
        <v>8996799.2484303527</v>
      </c>
      <c r="H282" s="7">
        <f t="shared" si="36"/>
        <v>-215.16000000014901</v>
      </c>
    </row>
    <row r="283" spans="1:8" ht="13">
      <c r="A283" s="509">
        <f t="shared" si="35"/>
        <v>169</v>
      </c>
      <c r="C283" s="498" t="s">
        <v>180</v>
      </c>
      <c r="D283" s="613">
        <v>2019</v>
      </c>
      <c r="E283" s="107">
        <v>153777247.10671204</v>
      </c>
      <c r="F283" s="107">
        <v>297983.59737924888</v>
      </c>
      <c r="G283" s="7">
        <f t="shared" si="34"/>
        <v>153479263.50933281</v>
      </c>
      <c r="H283" s="7">
        <f t="shared" si="36"/>
        <v>144500952.89121205</v>
      </c>
    </row>
    <row r="285" spans="1:8" ht="13">
      <c r="C285" s="619" t="s">
        <v>2624</v>
      </c>
      <c r="E285" s="84" t="s">
        <v>358</v>
      </c>
      <c r="F285" s="84" t="s">
        <v>342</v>
      </c>
      <c r="G285" s="84" t="s">
        <v>343</v>
      </c>
      <c r="H285" s="84" t="s">
        <v>344</v>
      </c>
    </row>
    <row r="286" spans="1:8">
      <c r="G286" s="529" t="s">
        <v>1645</v>
      </c>
      <c r="H286" s="529" t="s">
        <v>1646</v>
      </c>
    </row>
    <row r="287" spans="1:8" ht="13">
      <c r="C287" s="509" t="s">
        <v>528</v>
      </c>
      <c r="G287" s="14"/>
      <c r="H287" s="1168" t="s">
        <v>1647</v>
      </c>
    </row>
    <row r="288" spans="1:8" ht="13">
      <c r="C288" s="509" t="s">
        <v>193</v>
      </c>
      <c r="E288" s="509" t="s">
        <v>371</v>
      </c>
      <c r="F288" s="509" t="s">
        <v>1542</v>
      </c>
      <c r="G288" s="110" t="s">
        <v>994</v>
      </c>
      <c r="H288" s="110" t="s">
        <v>1118</v>
      </c>
    </row>
    <row r="289" spans="1:8" ht="13">
      <c r="C289" s="25" t="s">
        <v>192</v>
      </c>
      <c r="D289" s="25" t="s">
        <v>193</v>
      </c>
      <c r="E289" s="3" t="s">
        <v>1543</v>
      </c>
      <c r="F289" s="3" t="s">
        <v>1082</v>
      </c>
      <c r="G289" s="3" t="s">
        <v>3</v>
      </c>
      <c r="H289" s="3" t="s">
        <v>1538</v>
      </c>
    </row>
    <row r="290" spans="1:8" ht="13">
      <c r="A290" s="509">
        <f>A283+1</f>
        <v>170</v>
      </c>
      <c r="C290" s="498" t="s">
        <v>180</v>
      </c>
      <c r="D290" s="1065">
        <v>2018</v>
      </c>
      <c r="E290" s="107">
        <v>0</v>
      </c>
      <c r="F290" s="107">
        <v>0</v>
      </c>
      <c r="G290" s="7">
        <f t="shared" ref="G290:G302" si="37">E290-F290</f>
        <v>0</v>
      </c>
      <c r="H290" s="7">
        <f>E290-E290</f>
        <v>0</v>
      </c>
    </row>
    <row r="291" spans="1:8" ht="13">
      <c r="A291" s="509">
        <f>A290+1</f>
        <v>171</v>
      </c>
      <c r="C291" s="498" t="s">
        <v>181</v>
      </c>
      <c r="D291" s="613">
        <v>2019</v>
      </c>
      <c r="E291" s="107">
        <v>0</v>
      </c>
      <c r="F291" s="107">
        <v>0</v>
      </c>
      <c r="G291" s="7">
        <f t="shared" si="37"/>
        <v>0</v>
      </c>
      <c r="H291" s="7">
        <f>E291-E290</f>
        <v>0</v>
      </c>
    </row>
    <row r="292" spans="1:8" ht="13">
      <c r="A292" s="509">
        <f t="shared" ref="A292:A302" si="38">A291+1</f>
        <v>172</v>
      </c>
      <c r="C292" s="496" t="s">
        <v>182</v>
      </c>
      <c r="D292" s="613">
        <v>2019</v>
      </c>
      <c r="E292" s="107">
        <v>0</v>
      </c>
      <c r="F292" s="107">
        <v>0</v>
      </c>
      <c r="G292" s="7">
        <f t="shared" si="37"/>
        <v>0</v>
      </c>
      <c r="H292" s="7">
        <f t="shared" ref="H292:H302" si="39">E292-E291</f>
        <v>0</v>
      </c>
    </row>
    <row r="293" spans="1:8" ht="13">
      <c r="A293" s="509">
        <f t="shared" si="38"/>
        <v>173</v>
      </c>
      <c r="C293" s="496" t="s">
        <v>195</v>
      </c>
      <c r="D293" s="613">
        <v>2019</v>
      </c>
      <c r="E293" s="107">
        <v>0</v>
      </c>
      <c r="F293" s="107">
        <v>0</v>
      </c>
      <c r="G293" s="7">
        <f t="shared" si="37"/>
        <v>0</v>
      </c>
      <c r="H293" s="7">
        <f t="shared" si="39"/>
        <v>0</v>
      </c>
    </row>
    <row r="294" spans="1:8" ht="13">
      <c r="A294" s="509">
        <f t="shared" si="38"/>
        <v>174</v>
      </c>
      <c r="C294" s="498" t="s">
        <v>183</v>
      </c>
      <c r="D294" s="613">
        <v>2019</v>
      </c>
      <c r="E294" s="107">
        <v>0</v>
      </c>
      <c r="F294" s="107">
        <v>0</v>
      </c>
      <c r="G294" s="7">
        <f t="shared" si="37"/>
        <v>0</v>
      </c>
      <c r="H294" s="7">
        <f t="shared" si="39"/>
        <v>0</v>
      </c>
    </row>
    <row r="295" spans="1:8" ht="13">
      <c r="A295" s="509">
        <f t="shared" si="38"/>
        <v>175</v>
      </c>
      <c r="C295" s="496" t="s">
        <v>184</v>
      </c>
      <c r="D295" s="613">
        <v>2019</v>
      </c>
      <c r="E295" s="107">
        <v>0</v>
      </c>
      <c r="F295" s="107">
        <v>0</v>
      </c>
      <c r="G295" s="7">
        <f t="shared" si="37"/>
        <v>0</v>
      </c>
      <c r="H295" s="7">
        <f t="shared" si="39"/>
        <v>0</v>
      </c>
    </row>
    <row r="296" spans="1:8" ht="13">
      <c r="A296" s="509">
        <f t="shared" si="38"/>
        <v>176</v>
      </c>
      <c r="C296" s="496" t="s">
        <v>185</v>
      </c>
      <c r="D296" s="613">
        <v>2019</v>
      </c>
      <c r="E296" s="107">
        <v>0</v>
      </c>
      <c r="F296" s="107">
        <v>0</v>
      </c>
      <c r="G296" s="7">
        <f t="shared" si="37"/>
        <v>0</v>
      </c>
      <c r="H296" s="7">
        <f t="shared" si="39"/>
        <v>0</v>
      </c>
    </row>
    <row r="297" spans="1:8" ht="13">
      <c r="A297" s="509">
        <f t="shared" si="38"/>
        <v>177</v>
      </c>
      <c r="C297" s="498" t="s">
        <v>186</v>
      </c>
      <c r="D297" s="613">
        <v>2019</v>
      </c>
      <c r="E297" s="107">
        <v>0</v>
      </c>
      <c r="F297" s="107">
        <v>0</v>
      </c>
      <c r="G297" s="7">
        <f t="shared" si="37"/>
        <v>0</v>
      </c>
      <c r="H297" s="7">
        <f t="shared" si="39"/>
        <v>0</v>
      </c>
    </row>
    <row r="298" spans="1:8" ht="13">
      <c r="A298" s="509">
        <f t="shared" si="38"/>
        <v>178</v>
      </c>
      <c r="C298" s="496" t="s">
        <v>187</v>
      </c>
      <c r="D298" s="613">
        <v>2019</v>
      </c>
      <c r="E298" s="107">
        <v>0</v>
      </c>
      <c r="F298" s="107">
        <v>0</v>
      </c>
      <c r="G298" s="7">
        <f t="shared" si="37"/>
        <v>0</v>
      </c>
      <c r="H298" s="7">
        <f t="shared" si="39"/>
        <v>0</v>
      </c>
    </row>
    <row r="299" spans="1:8" ht="13">
      <c r="A299" s="509">
        <f t="shared" si="38"/>
        <v>179</v>
      </c>
      <c r="C299" s="496" t="s">
        <v>188</v>
      </c>
      <c r="D299" s="613">
        <v>2019</v>
      </c>
      <c r="E299" s="107">
        <v>0</v>
      </c>
      <c r="F299" s="107">
        <v>0</v>
      </c>
      <c r="G299" s="7">
        <f t="shared" si="37"/>
        <v>0</v>
      </c>
      <c r="H299" s="7">
        <f t="shared" si="39"/>
        <v>0</v>
      </c>
    </row>
    <row r="300" spans="1:8" ht="13">
      <c r="A300" s="509">
        <f t="shared" si="38"/>
        <v>180</v>
      </c>
      <c r="C300" s="498" t="s">
        <v>189</v>
      </c>
      <c r="D300" s="613">
        <v>2019</v>
      </c>
      <c r="E300" s="107">
        <v>0</v>
      </c>
      <c r="F300" s="107">
        <v>0</v>
      </c>
      <c r="G300" s="7">
        <f t="shared" si="37"/>
        <v>0</v>
      </c>
      <c r="H300" s="7">
        <f t="shared" si="39"/>
        <v>0</v>
      </c>
    </row>
    <row r="301" spans="1:8" ht="13">
      <c r="A301" s="509">
        <f t="shared" si="38"/>
        <v>181</v>
      </c>
      <c r="C301" s="498" t="s">
        <v>190</v>
      </c>
      <c r="D301" s="613">
        <v>2019</v>
      </c>
      <c r="E301" s="107">
        <v>0</v>
      </c>
      <c r="F301" s="107">
        <v>0</v>
      </c>
      <c r="G301" s="7">
        <f t="shared" si="37"/>
        <v>0</v>
      </c>
      <c r="H301" s="7">
        <f t="shared" si="39"/>
        <v>0</v>
      </c>
    </row>
    <row r="302" spans="1:8" ht="13">
      <c r="A302" s="509">
        <f t="shared" si="38"/>
        <v>182</v>
      </c>
      <c r="C302" s="498" t="s">
        <v>180</v>
      </c>
      <c r="D302" s="613">
        <v>2019</v>
      </c>
      <c r="E302" s="107">
        <v>0</v>
      </c>
      <c r="F302" s="107">
        <v>0</v>
      </c>
      <c r="G302" s="7">
        <f t="shared" si="37"/>
        <v>0</v>
      </c>
      <c r="H302" s="7">
        <f t="shared" si="39"/>
        <v>0</v>
      </c>
    </row>
    <row r="304" spans="1:8" ht="13">
      <c r="A304" s="972"/>
      <c r="B304" s="972"/>
      <c r="C304" s="619" t="s">
        <v>2470</v>
      </c>
      <c r="D304" s="972"/>
      <c r="E304" s="84" t="s">
        <v>358</v>
      </c>
      <c r="F304" s="84" t="s">
        <v>342</v>
      </c>
      <c r="G304" s="84" t="s">
        <v>343</v>
      </c>
      <c r="H304" s="84" t="s">
        <v>344</v>
      </c>
    </row>
    <row r="305" spans="1:8">
      <c r="A305" s="972"/>
      <c r="B305" s="972"/>
      <c r="C305" s="972"/>
      <c r="D305" s="972"/>
      <c r="E305" s="972"/>
      <c r="F305" s="972"/>
      <c r="G305" s="529" t="s">
        <v>1645</v>
      </c>
      <c r="H305" s="529" t="s">
        <v>1646</v>
      </c>
    </row>
    <row r="306" spans="1:8" ht="13">
      <c r="A306" s="972"/>
      <c r="B306" s="972"/>
      <c r="C306" s="553" t="s">
        <v>528</v>
      </c>
      <c r="D306" s="972"/>
      <c r="E306" s="972"/>
      <c r="F306" s="972"/>
      <c r="G306" s="14"/>
      <c r="H306" s="1168" t="s">
        <v>1647</v>
      </c>
    </row>
    <row r="307" spans="1:8" ht="13">
      <c r="A307" s="972"/>
      <c r="B307" s="972"/>
      <c r="C307" s="553" t="s">
        <v>193</v>
      </c>
      <c r="D307" s="972"/>
      <c r="E307" s="553" t="s">
        <v>371</v>
      </c>
      <c r="F307" s="553" t="s">
        <v>1542</v>
      </c>
      <c r="G307" s="553" t="s">
        <v>994</v>
      </c>
      <c r="H307" s="553" t="s">
        <v>1118</v>
      </c>
    </row>
    <row r="308" spans="1:8" ht="13">
      <c r="A308" s="972"/>
      <c r="B308" s="972"/>
      <c r="C308" s="25" t="s">
        <v>192</v>
      </c>
      <c r="D308" s="25" t="s">
        <v>193</v>
      </c>
      <c r="E308" s="3" t="s">
        <v>1543</v>
      </c>
      <c r="F308" s="3" t="s">
        <v>1082</v>
      </c>
      <c r="G308" s="3" t="s">
        <v>3</v>
      </c>
      <c r="H308" s="3" t="s">
        <v>1538</v>
      </c>
    </row>
    <row r="309" spans="1:8" ht="13">
      <c r="A309" s="553">
        <f>A302+1</f>
        <v>183</v>
      </c>
      <c r="B309" s="972"/>
      <c r="C309" s="498" t="s">
        <v>180</v>
      </c>
      <c r="D309" s="1065">
        <v>2018</v>
      </c>
      <c r="E309" s="995">
        <v>0</v>
      </c>
      <c r="F309" s="995">
        <v>0</v>
      </c>
      <c r="G309" s="7">
        <f t="shared" ref="G309:G321" si="40">E309-F309</f>
        <v>0</v>
      </c>
      <c r="H309" s="7">
        <f>E309-E309</f>
        <v>0</v>
      </c>
    </row>
    <row r="310" spans="1:8" ht="13">
      <c r="A310" s="553">
        <f>A309+1</f>
        <v>184</v>
      </c>
      <c r="B310" s="972"/>
      <c r="C310" s="498" t="s">
        <v>181</v>
      </c>
      <c r="D310" s="613">
        <v>2019</v>
      </c>
      <c r="E310" s="995">
        <v>0</v>
      </c>
      <c r="F310" s="995">
        <v>0</v>
      </c>
      <c r="G310" s="7">
        <f t="shared" si="40"/>
        <v>0</v>
      </c>
      <c r="H310" s="7">
        <f>E310-E309</f>
        <v>0</v>
      </c>
    </row>
    <row r="311" spans="1:8" ht="13">
      <c r="A311" s="553">
        <f t="shared" ref="A311:A321" si="41">A310+1</f>
        <v>185</v>
      </c>
      <c r="B311" s="972"/>
      <c r="C311" s="496" t="s">
        <v>182</v>
      </c>
      <c r="D311" s="613">
        <v>2019</v>
      </c>
      <c r="E311" s="995">
        <v>0</v>
      </c>
      <c r="F311" s="995">
        <v>0</v>
      </c>
      <c r="G311" s="7">
        <f t="shared" si="40"/>
        <v>0</v>
      </c>
      <c r="H311" s="7">
        <f t="shared" ref="H311:H321" si="42">E311-E310</f>
        <v>0</v>
      </c>
    </row>
    <row r="312" spans="1:8" ht="13">
      <c r="A312" s="553">
        <f t="shared" si="41"/>
        <v>186</v>
      </c>
      <c r="B312" s="972"/>
      <c r="C312" s="496" t="s">
        <v>195</v>
      </c>
      <c r="D312" s="613">
        <v>2019</v>
      </c>
      <c r="E312" s="995">
        <v>0</v>
      </c>
      <c r="F312" s="995">
        <v>0</v>
      </c>
      <c r="G312" s="7">
        <f t="shared" si="40"/>
        <v>0</v>
      </c>
      <c r="H312" s="7">
        <f t="shared" si="42"/>
        <v>0</v>
      </c>
    </row>
    <row r="313" spans="1:8" ht="13">
      <c r="A313" s="553">
        <f t="shared" si="41"/>
        <v>187</v>
      </c>
      <c r="B313" s="972"/>
      <c r="C313" s="498" t="s">
        <v>183</v>
      </c>
      <c r="D313" s="613">
        <v>2019</v>
      </c>
      <c r="E313" s="995">
        <v>0</v>
      </c>
      <c r="F313" s="995">
        <v>0</v>
      </c>
      <c r="G313" s="7">
        <f t="shared" si="40"/>
        <v>0</v>
      </c>
      <c r="H313" s="7">
        <f t="shared" si="42"/>
        <v>0</v>
      </c>
    </row>
    <row r="314" spans="1:8" ht="13">
      <c r="A314" s="553">
        <f t="shared" si="41"/>
        <v>188</v>
      </c>
      <c r="B314" s="972"/>
      <c r="C314" s="496" t="s">
        <v>184</v>
      </c>
      <c r="D314" s="613">
        <v>2019</v>
      </c>
      <c r="E314" s="995">
        <v>0</v>
      </c>
      <c r="F314" s="995">
        <v>0</v>
      </c>
      <c r="G314" s="7">
        <f t="shared" si="40"/>
        <v>0</v>
      </c>
      <c r="H314" s="7">
        <f t="shared" si="42"/>
        <v>0</v>
      </c>
    </row>
    <row r="315" spans="1:8" ht="13">
      <c r="A315" s="553">
        <f t="shared" si="41"/>
        <v>189</v>
      </c>
      <c r="B315" s="972"/>
      <c r="C315" s="496" t="s">
        <v>185</v>
      </c>
      <c r="D315" s="613">
        <v>2019</v>
      </c>
      <c r="E315" s="995">
        <v>0</v>
      </c>
      <c r="F315" s="995">
        <v>0</v>
      </c>
      <c r="G315" s="7">
        <f t="shared" si="40"/>
        <v>0</v>
      </c>
      <c r="H315" s="7">
        <f t="shared" si="42"/>
        <v>0</v>
      </c>
    </row>
    <row r="316" spans="1:8" ht="13">
      <c r="A316" s="553">
        <f t="shared" si="41"/>
        <v>190</v>
      </c>
      <c r="B316" s="972"/>
      <c r="C316" s="498" t="s">
        <v>186</v>
      </c>
      <c r="D316" s="613">
        <v>2019</v>
      </c>
      <c r="E316" s="995">
        <v>0</v>
      </c>
      <c r="F316" s="995">
        <v>0</v>
      </c>
      <c r="G316" s="7">
        <f t="shared" si="40"/>
        <v>0</v>
      </c>
      <c r="H316" s="7">
        <f t="shared" si="42"/>
        <v>0</v>
      </c>
    </row>
    <row r="317" spans="1:8" ht="13">
      <c r="A317" s="553">
        <f t="shared" si="41"/>
        <v>191</v>
      </c>
      <c r="B317" s="972"/>
      <c r="C317" s="496" t="s">
        <v>187</v>
      </c>
      <c r="D317" s="613">
        <v>2019</v>
      </c>
      <c r="E317" s="995">
        <v>0</v>
      </c>
      <c r="F317" s="995">
        <v>0</v>
      </c>
      <c r="G317" s="7">
        <f t="shared" si="40"/>
        <v>0</v>
      </c>
      <c r="H317" s="7">
        <f t="shared" si="42"/>
        <v>0</v>
      </c>
    </row>
    <row r="318" spans="1:8" ht="13">
      <c r="A318" s="553">
        <f t="shared" si="41"/>
        <v>192</v>
      </c>
      <c r="B318" s="972"/>
      <c r="C318" s="496" t="s">
        <v>188</v>
      </c>
      <c r="D318" s="613">
        <v>2019</v>
      </c>
      <c r="E318" s="995">
        <v>0</v>
      </c>
      <c r="F318" s="995">
        <v>0</v>
      </c>
      <c r="G318" s="7">
        <f t="shared" si="40"/>
        <v>0</v>
      </c>
      <c r="H318" s="7">
        <f t="shared" si="42"/>
        <v>0</v>
      </c>
    </row>
    <row r="319" spans="1:8" ht="13">
      <c r="A319" s="553">
        <f t="shared" si="41"/>
        <v>193</v>
      </c>
      <c r="B319" s="972"/>
      <c r="C319" s="498" t="s">
        <v>189</v>
      </c>
      <c r="D319" s="613">
        <v>2019</v>
      </c>
      <c r="E319" s="995">
        <v>0</v>
      </c>
      <c r="F319" s="995">
        <v>0</v>
      </c>
      <c r="G319" s="7">
        <f t="shared" si="40"/>
        <v>0</v>
      </c>
      <c r="H319" s="7">
        <f t="shared" si="42"/>
        <v>0</v>
      </c>
    </row>
    <row r="320" spans="1:8" ht="13">
      <c r="A320" s="553">
        <f t="shared" si="41"/>
        <v>194</v>
      </c>
      <c r="B320" s="972"/>
      <c r="C320" s="498" t="s">
        <v>190</v>
      </c>
      <c r="D320" s="613">
        <v>2019</v>
      </c>
      <c r="E320" s="995">
        <v>0</v>
      </c>
      <c r="F320" s="995">
        <v>0</v>
      </c>
      <c r="G320" s="7">
        <f t="shared" si="40"/>
        <v>0</v>
      </c>
      <c r="H320" s="7">
        <f t="shared" si="42"/>
        <v>0</v>
      </c>
    </row>
    <row r="321" spans="1:8" ht="13">
      <c r="A321" s="553">
        <f t="shared" si="41"/>
        <v>195</v>
      </c>
      <c r="B321" s="972"/>
      <c r="C321" s="498" t="s">
        <v>180</v>
      </c>
      <c r="D321" s="613">
        <v>2019</v>
      </c>
      <c r="E321" s="995">
        <v>0</v>
      </c>
      <c r="F321" s="995">
        <v>0</v>
      </c>
      <c r="G321" s="7">
        <f t="shared" si="40"/>
        <v>0</v>
      </c>
      <c r="H321" s="7">
        <f t="shared" si="42"/>
        <v>0</v>
      </c>
    </row>
    <row r="322" spans="1:8" s="972" customFormat="1" ht="13">
      <c r="A322" s="553"/>
      <c r="C322" s="498"/>
      <c r="D322" s="498"/>
      <c r="E322" s="498"/>
      <c r="F322" s="498"/>
      <c r="G322" s="7"/>
      <c r="H322" s="7"/>
    </row>
    <row r="323" spans="1:8" s="972" customFormat="1" ht="13">
      <c r="C323" s="1240" t="s">
        <v>2801</v>
      </c>
      <c r="E323" s="84" t="s">
        <v>358</v>
      </c>
      <c r="F323" s="84" t="s">
        <v>342</v>
      </c>
      <c r="G323" s="84" t="s">
        <v>343</v>
      </c>
      <c r="H323" s="84" t="s">
        <v>344</v>
      </c>
    </row>
    <row r="324" spans="1:8" s="972" customFormat="1">
      <c r="G324" s="529" t="s">
        <v>1645</v>
      </c>
      <c r="H324" s="529" t="s">
        <v>1646</v>
      </c>
    </row>
    <row r="325" spans="1:8" s="972" customFormat="1" ht="13">
      <c r="C325" s="553" t="s">
        <v>528</v>
      </c>
      <c r="G325" s="14"/>
      <c r="H325" s="1168" t="s">
        <v>1647</v>
      </c>
    </row>
    <row r="326" spans="1:8" s="972" customFormat="1" ht="13">
      <c r="C326" s="553" t="s">
        <v>193</v>
      </c>
      <c r="E326" s="553" t="s">
        <v>371</v>
      </c>
      <c r="F326" s="553" t="s">
        <v>1542</v>
      </c>
      <c r="G326" s="553" t="s">
        <v>994</v>
      </c>
      <c r="H326" s="553" t="s">
        <v>1118</v>
      </c>
    </row>
    <row r="327" spans="1:8" s="972" customFormat="1" ht="13">
      <c r="C327" s="25" t="s">
        <v>192</v>
      </c>
      <c r="D327" s="25" t="s">
        <v>193</v>
      </c>
      <c r="E327" s="3" t="s">
        <v>1543</v>
      </c>
      <c r="F327" s="3" t="s">
        <v>1082</v>
      </c>
      <c r="G327" s="3" t="s">
        <v>3</v>
      </c>
      <c r="H327" s="3" t="s">
        <v>1538</v>
      </c>
    </row>
    <row r="328" spans="1:8" s="972" customFormat="1" ht="13">
      <c r="A328" s="553">
        <f>A321+1</f>
        <v>196</v>
      </c>
      <c r="C328" s="498" t="s">
        <v>180</v>
      </c>
      <c r="D328" s="1065">
        <v>2018</v>
      </c>
      <c r="E328" s="995">
        <v>0</v>
      </c>
      <c r="F328" s="995">
        <v>0</v>
      </c>
      <c r="G328" s="7">
        <f t="shared" ref="G328:G340" si="43">E328-F328</f>
        <v>0</v>
      </c>
      <c r="H328" s="7">
        <f>E328-E328</f>
        <v>0</v>
      </c>
    </row>
    <row r="329" spans="1:8" s="972" customFormat="1" ht="13">
      <c r="A329" s="553">
        <f>A328+1</f>
        <v>197</v>
      </c>
      <c r="C329" s="498" t="s">
        <v>181</v>
      </c>
      <c r="D329" s="613">
        <v>2019</v>
      </c>
      <c r="E329" s="995">
        <v>0</v>
      </c>
      <c r="F329" s="995">
        <v>0</v>
      </c>
      <c r="G329" s="7">
        <f t="shared" si="43"/>
        <v>0</v>
      </c>
      <c r="H329" s="7">
        <f>E329-E328</f>
        <v>0</v>
      </c>
    </row>
    <row r="330" spans="1:8" s="972" customFormat="1" ht="13">
      <c r="A330" s="553">
        <f t="shared" ref="A330:A340" si="44">A329+1</f>
        <v>198</v>
      </c>
      <c r="C330" s="496" t="s">
        <v>182</v>
      </c>
      <c r="D330" s="613">
        <v>2019</v>
      </c>
      <c r="E330" s="995">
        <v>0</v>
      </c>
      <c r="F330" s="995">
        <v>0</v>
      </c>
      <c r="G330" s="7">
        <f t="shared" si="43"/>
        <v>0</v>
      </c>
      <c r="H330" s="7">
        <f t="shared" ref="H330:H340" si="45">E330-E329</f>
        <v>0</v>
      </c>
    </row>
    <row r="331" spans="1:8" s="972" customFormat="1" ht="13">
      <c r="A331" s="553">
        <f t="shared" si="44"/>
        <v>199</v>
      </c>
      <c r="C331" s="496" t="s">
        <v>195</v>
      </c>
      <c r="D331" s="613">
        <v>2019</v>
      </c>
      <c r="E331" s="995">
        <v>0</v>
      </c>
      <c r="F331" s="995">
        <v>0</v>
      </c>
      <c r="G331" s="7">
        <f t="shared" si="43"/>
        <v>0</v>
      </c>
      <c r="H331" s="7">
        <f t="shared" si="45"/>
        <v>0</v>
      </c>
    </row>
    <row r="332" spans="1:8" s="972" customFormat="1" ht="13">
      <c r="A332" s="553">
        <f t="shared" si="44"/>
        <v>200</v>
      </c>
      <c r="C332" s="498" t="s">
        <v>183</v>
      </c>
      <c r="D332" s="613">
        <v>2019</v>
      </c>
      <c r="E332" s="995">
        <v>0</v>
      </c>
      <c r="F332" s="995">
        <v>0</v>
      </c>
      <c r="G332" s="7">
        <f t="shared" si="43"/>
        <v>0</v>
      </c>
      <c r="H332" s="7">
        <f t="shared" si="45"/>
        <v>0</v>
      </c>
    </row>
    <row r="333" spans="1:8" s="972" customFormat="1" ht="13">
      <c r="A333" s="553">
        <f t="shared" si="44"/>
        <v>201</v>
      </c>
      <c r="C333" s="496" t="s">
        <v>184</v>
      </c>
      <c r="D333" s="613">
        <v>2019</v>
      </c>
      <c r="E333" s="995">
        <v>0</v>
      </c>
      <c r="F333" s="995">
        <v>0</v>
      </c>
      <c r="G333" s="7">
        <f t="shared" si="43"/>
        <v>0</v>
      </c>
      <c r="H333" s="7">
        <f t="shared" si="45"/>
        <v>0</v>
      </c>
    </row>
    <row r="334" spans="1:8" s="972" customFormat="1" ht="13">
      <c r="A334" s="553">
        <f t="shared" si="44"/>
        <v>202</v>
      </c>
      <c r="C334" s="496" t="s">
        <v>185</v>
      </c>
      <c r="D334" s="613">
        <v>2019</v>
      </c>
      <c r="E334" s="995">
        <v>0</v>
      </c>
      <c r="F334" s="995">
        <v>0</v>
      </c>
      <c r="G334" s="7">
        <f t="shared" si="43"/>
        <v>0</v>
      </c>
      <c r="H334" s="7">
        <f t="shared" si="45"/>
        <v>0</v>
      </c>
    </row>
    <row r="335" spans="1:8" s="972" customFormat="1" ht="13">
      <c r="A335" s="553">
        <f t="shared" si="44"/>
        <v>203</v>
      </c>
      <c r="C335" s="498" t="s">
        <v>186</v>
      </c>
      <c r="D335" s="613">
        <v>2019</v>
      </c>
      <c r="E335" s="995">
        <v>0</v>
      </c>
      <c r="F335" s="995">
        <v>0</v>
      </c>
      <c r="G335" s="7">
        <f t="shared" si="43"/>
        <v>0</v>
      </c>
      <c r="H335" s="7">
        <f t="shared" si="45"/>
        <v>0</v>
      </c>
    </row>
    <row r="336" spans="1:8" s="972" customFormat="1" ht="13">
      <c r="A336" s="553">
        <f t="shared" si="44"/>
        <v>204</v>
      </c>
      <c r="C336" s="496" t="s">
        <v>187</v>
      </c>
      <c r="D336" s="613">
        <v>2019</v>
      </c>
      <c r="E336" s="995">
        <v>0</v>
      </c>
      <c r="F336" s="995">
        <v>0</v>
      </c>
      <c r="G336" s="7">
        <f t="shared" si="43"/>
        <v>0</v>
      </c>
      <c r="H336" s="7">
        <f t="shared" si="45"/>
        <v>0</v>
      </c>
    </row>
    <row r="337" spans="1:10" s="972" customFormat="1" ht="13">
      <c r="A337" s="553">
        <f t="shared" si="44"/>
        <v>205</v>
      </c>
      <c r="C337" s="496" t="s">
        <v>188</v>
      </c>
      <c r="D337" s="613">
        <v>2019</v>
      </c>
      <c r="E337" s="995">
        <v>0</v>
      </c>
      <c r="F337" s="995">
        <v>0</v>
      </c>
      <c r="G337" s="7">
        <f t="shared" si="43"/>
        <v>0</v>
      </c>
      <c r="H337" s="7">
        <f t="shared" si="45"/>
        <v>0</v>
      </c>
    </row>
    <row r="338" spans="1:10" s="972" customFormat="1" ht="13">
      <c r="A338" s="553">
        <f t="shared" si="44"/>
        <v>206</v>
      </c>
      <c r="C338" s="498" t="s">
        <v>189</v>
      </c>
      <c r="D338" s="613">
        <v>2019</v>
      </c>
      <c r="E338" s="995">
        <v>0</v>
      </c>
      <c r="F338" s="995">
        <v>0</v>
      </c>
      <c r="G338" s="7">
        <f t="shared" si="43"/>
        <v>0</v>
      </c>
      <c r="H338" s="7">
        <f t="shared" si="45"/>
        <v>0</v>
      </c>
    </row>
    <row r="339" spans="1:10" s="972" customFormat="1" ht="13">
      <c r="A339" s="553">
        <f t="shared" si="44"/>
        <v>207</v>
      </c>
      <c r="C339" s="498" t="s">
        <v>190</v>
      </c>
      <c r="D339" s="613">
        <v>2019</v>
      </c>
      <c r="E339" s="995">
        <v>0</v>
      </c>
      <c r="F339" s="995">
        <v>0</v>
      </c>
      <c r="G339" s="7">
        <f t="shared" si="43"/>
        <v>0</v>
      </c>
      <c r="H339" s="7">
        <f t="shared" si="45"/>
        <v>0</v>
      </c>
    </row>
    <row r="340" spans="1:10" s="972" customFormat="1" ht="13">
      <c r="A340" s="553">
        <f t="shared" si="44"/>
        <v>208</v>
      </c>
      <c r="C340" s="498" t="s">
        <v>180</v>
      </c>
      <c r="D340" s="613">
        <v>2019</v>
      </c>
      <c r="E340" s="995">
        <v>0</v>
      </c>
      <c r="F340" s="995">
        <v>0</v>
      </c>
      <c r="G340" s="7">
        <f t="shared" si="43"/>
        <v>0</v>
      </c>
      <c r="H340" s="7">
        <f t="shared" si="45"/>
        <v>0</v>
      </c>
    </row>
    <row r="341" spans="1:10" s="14" customFormat="1" ht="13">
      <c r="A341" s="110"/>
      <c r="C341" s="1121"/>
      <c r="D341" s="24"/>
      <c r="E341" s="63"/>
      <c r="F341" s="63"/>
      <c r="G341" s="63"/>
      <c r="H341" s="63"/>
    </row>
    <row r="342" spans="1:10" ht="13">
      <c r="B342" s="1"/>
      <c r="C342" s="1" t="s">
        <v>1547</v>
      </c>
      <c r="D342" s="465"/>
      <c r="E342" s="7"/>
    </row>
    <row r="343" spans="1:10" ht="13">
      <c r="B343" s="1"/>
    </row>
    <row r="344" spans="1:10" ht="13">
      <c r="C344" s="381" t="s">
        <v>2625</v>
      </c>
      <c r="D344" s="97"/>
      <c r="E344" s="97"/>
      <c r="F344" s="97"/>
      <c r="G344" s="188" t="s">
        <v>2626</v>
      </c>
      <c r="H344" s="97"/>
      <c r="I344" s="97"/>
      <c r="J344" s="97"/>
    </row>
    <row r="345" spans="1:10" ht="13">
      <c r="A345" s="509">
        <f>A340+1</f>
        <v>209</v>
      </c>
      <c r="C345" s="515" t="s">
        <v>2627</v>
      </c>
      <c r="D345" s="97"/>
      <c r="E345" s="382"/>
      <c r="F345" s="376" t="s">
        <v>221</v>
      </c>
      <c r="G345" s="477" t="s">
        <v>2628</v>
      </c>
      <c r="H345" s="97"/>
      <c r="I345" s="97"/>
      <c r="J345" s="97"/>
    </row>
    <row r="346" spans="1:10" ht="13">
      <c r="A346" s="509">
        <f>A345+1</f>
        <v>210</v>
      </c>
      <c r="C346" s="375" t="s">
        <v>2629</v>
      </c>
      <c r="D346" s="97"/>
      <c r="E346" s="383"/>
      <c r="F346" s="377">
        <v>7.4999999999999997E-3</v>
      </c>
      <c r="G346" s="477" t="s">
        <v>2630</v>
      </c>
      <c r="H346" s="97"/>
      <c r="I346" s="97"/>
      <c r="J346" s="97"/>
    </row>
    <row r="347" spans="1:10" ht="13">
      <c r="A347" s="509">
        <f>A346+1</f>
        <v>211</v>
      </c>
      <c r="C347" s="375" t="s">
        <v>2631</v>
      </c>
      <c r="D347" s="97"/>
      <c r="E347" s="382"/>
      <c r="F347" s="376" t="s">
        <v>222</v>
      </c>
      <c r="G347" s="148" t="s">
        <v>2632</v>
      </c>
      <c r="H347" s="97"/>
      <c r="I347" s="97"/>
      <c r="J347" s="97"/>
    </row>
    <row r="348" spans="1:10">
      <c r="C348" s="97"/>
      <c r="D348" s="97"/>
      <c r="E348" s="382"/>
      <c r="F348" s="378"/>
      <c r="G348" s="97"/>
      <c r="H348" s="97"/>
      <c r="I348" s="97"/>
      <c r="J348" s="97"/>
    </row>
    <row r="349" spans="1:10" ht="13">
      <c r="C349" s="381" t="s">
        <v>2633</v>
      </c>
      <c r="D349" s="97"/>
      <c r="E349" s="97"/>
      <c r="F349" s="378"/>
      <c r="G349" s="188" t="s">
        <v>2626</v>
      </c>
      <c r="H349" s="97"/>
      <c r="I349" s="97"/>
      <c r="J349" s="97"/>
    </row>
    <row r="350" spans="1:10" ht="13">
      <c r="A350" s="509">
        <f>A347+1</f>
        <v>212</v>
      </c>
      <c r="C350" s="515" t="s">
        <v>2627</v>
      </c>
      <c r="D350" s="97"/>
      <c r="E350" s="382"/>
      <c r="F350" s="376" t="s">
        <v>221</v>
      </c>
      <c r="G350" s="477" t="s">
        <v>2628</v>
      </c>
      <c r="H350" s="97"/>
      <c r="I350" s="97"/>
      <c r="J350" s="97"/>
    </row>
    <row r="351" spans="1:10" ht="13">
      <c r="A351" s="509">
        <f>A350+1</f>
        <v>213</v>
      </c>
      <c r="C351" s="375" t="s">
        <v>2629</v>
      </c>
      <c r="D351" s="97"/>
      <c r="E351" s="383"/>
      <c r="F351" s="377">
        <v>1.2500000000000001E-2</v>
      </c>
      <c r="G351" s="477" t="s">
        <v>2630</v>
      </c>
      <c r="H351" s="97"/>
      <c r="I351" s="97"/>
      <c r="J351" s="97"/>
    </row>
    <row r="352" spans="1:10" ht="13">
      <c r="A352" s="509">
        <f>A351+1</f>
        <v>214</v>
      </c>
      <c r="C352" s="375" t="s">
        <v>2631</v>
      </c>
      <c r="D352" s="97"/>
      <c r="E352" s="382"/>
      <c r="F352" s="376" t="s">
        <v>221</v>
      </c>
      <c r="G352" s="477" t="s">
        <v>2634</v>
      </c>
      <c r="H352" s="97"/>
      <c r="I352" s="97"/>
      <c r="J352" s="97"/>
    </row>
    <row r="353" spans="1:10">
      <c r="C353" s="375"/>
      <c r="D353" s="97"/>
      <c r="E353" s="382"/>
      <c r="F353" s="376"/>
      <c r="G353" s="97"/>
      <c r="H353" s="97"/>
      <c r="I353" s="97"/>
      <c r="J353" s="97"/>
    </row>
    <row r="354" spans="1:10" ht="13">
      <c r="C354" s="381" t="s">
        <v>2635</v>
      </c>
      <c r="D354" s="97"/>
      <c r="E354" s="477"/>
      <c r="F354" s="516"/>
      <c r="G354" s="188" t="s">
        <v>2626</v>
      </c>
      <c r="H354" s="97"/>
      <c r="I354" s="97"/>
      <c r="J354" s="97"/>
    </row>
    <row r="355" spans="1:10" ht="13">
      <c r="A355" s="509">
        <f>A352+1</f>
        <v>215</v>
      </c>
      <c r="C355" s="515" t="s">
        <v>2627</v>
      </c>
      <c r="D355" s="97"/>
      <c r="E355" s="382"/>
      <c r="F355" s="376" t="s">
        <v>221</v>
      </c>
      <c r="G355" s="477" t="s">
        <v>2628</v>
      </c>
      <c r="H355" s="97"/>
      <c r="I355" s="97"/>
      <c r="J355" s="97"/>
    </row>
    <row r="356" spans="1:10" ht="13">
      <c r="A356" s="509">
        <f>A355+1</f>
        <v>216</v>
      </c>
      <c r="C356" s="375" t="s">
        <v>2629</v>
      </c>
      <c r="D356" s="97"/>
      <c r="E356" s="383"/>
      <c r="F356" s="377">
        <v>0.01</v>
      </c>
      <c r="G356" s="477" t="s">
        <v>2636</v>
      </c>
      <c r="H356" s="97"/>
      <c r="I356" s="97"/>
      <c r="J356" s="97"/>
    </row>
    <row r="357" spans="1:10" ht="13">
      <c r="A357" s="509">
        <f>A356+1</f>
        <v>217</v>
      </c>
      <c r="C357" s="375"/>
      <c r="D357" s="97"/>
      <c r="E357" s="383"/>
      <c r="F357" s="377"/>
      <c r="G357" s="477" t="s">
        <v>2637</v>
      </c>
      <c r="H357" s="97"/>
      <c r="I357" s="97"/>
      <c r="J357" s="97"/>
    </row>
    <row r="358" spans="1:10" ht="13">
      <c r="A358" s="509">
        <f>A357+1</f>
        <v>218</v>
      </c>
      <c r="C358" s="375" t="s">
        <v>2631</v>
      </c>
      <c r="D358" s="97"/>
      <c r="E358" s="382"/>
      <c r="F358" s="376" t="s">
        <v>221</v>
      </c>
      <c r="G358" s="477" t="s">
        <v>2634</v>
      </c>
      <c r="H358" s="97"/>
      <c r="I358" s="97"/>
      <c r="J358" s="97"/>
    </row>
    <row r="359" spans="1:10">
      <c r="C359" s="375"/>
      <c r="D359" s="97"/>
      <c r="E359" s="382"/>
      <c r="F359" s="376"/>
      <c r="G359" s="97"/>
      <c r="H359" s="97"/>
      <c r="I359" s="97"/>
      <c r="J359" s="97"/>
    </row>
    <row r="360" spans="1:10" ht="13">
      <c r="C360" s="381" t="s">
        <v>2638</v>
      </c>
      <c r="D360" s="97"/>
      <c r="E360" s="477"/>
      <c r="F360" s="516"/>
      <c r="G360" s="188" t="s">
        <v>2626</v>
      </c>
      <c r="H360" s="97"/>
      <c r="I360" s="97"/>
      <c r="J360" s="97"/>
    </row>
    <row r="361" spans="1:10" ht="13">
      <c r="A361" s="509">
        <f>A358+1</f>
        <v>219</v>
      </c>
      <c r="C361" s="515" t="s">
        <v>2627</v>
      </c>
      <c r="D361" s="97"/>
      <c r="E361" s="382"/>
      <c r="F361" s="940" t="s">
        <v>222</v>
      </c>
      <c r="G361" s="477" t="s">
        <v>2639</v>
      </c>
      <c r="H361" s="97"/>
      <c r="I361" s="97"/>
      <c r="J361" s="97"/>
    </row>
    <row r="362" spans="1:10" ht="13">
      <c r="A362" s="509">
        <f>A361+1</f>
        <v>220</v>
      </c>
      <c r="C362" s="515"/>
      <c r="D362" s="97"/>
      <c r="E362" s="382"/>
      <c r="F362" s="940"/>
      <c r="G362" s="97" t="s">
        <v>2640</v>
      </c>
      <c r="H362" s="97"/>
      <c r="I362" s="97"/>
      <c r="J362" s="97"/>
    </row>
    <row r="363" spans="1:10" ht="13">
      <c r="A363" s="509">
        <f>A362+1</f>
        <v>221</v>
      </c>
      <c r="C363" s="375" t="s">
        <v>2629</v>
      </c>
      <c r="D363" s="97"/>
      <c r="E363" s="383"/>
      <c r="F363" s="941">
        <v>0</v>
      </c>
      <c r="G363" s="477" t="s">
        <v>2641</v>
      </c>
      <c r="H363" s="97"/>
      <c r="I363" s="97"/>
      <c r="J363" s="97"/>
    </row>
    <row r="364" spans="1:10" ht="13">
      <c r="A364" s="509">
        <f>A363+1</f>
        <v>222</v>
      </c>
      <c r="C364" s="375"/>
      <c r="D364" s="97"/>
      <c r="E364" s="383"/>
      <c r="F364" s="941"/>
      <c r="G364" s="477" t="s">
        <v>2642</v>
      </c>
      <c r="H364" s="97"/>
      <c r="I364" s="97"/>
      <c r="J364" s="97"/>
    </row>
    <row r="365" spans="1:10" ht="13">
      <c r="A365" s="509">
        <f>A364+1</f>
        <v>223</v>
      </c>
      <c r="C365" s="375" t="s">
        <v>2631</v>
      </c>
      <c r="D365" s="97"/>
      <c r="E365" s="382"/>
      <c r="F365" s="940" t="s">
        <v>221</v>
      </c>
      <c r="G365" s="477" t="s">
        <v>2634</v>
      </c>
      <c r="H365" s="97"/>
      <c r="I365" s="97"/>
      <c r="J365" s="97"/>
    </row>
    <row r="366" spans="1:10">
      <c r="C366" s="375"/>
      <c r="D366" s="97"/>
      <c r="E366" s="382"/>
      <c r="F366" s="376"/>
      <c r="G366" s="97"/>
      <c r="H366" s="97"/>
      <c r="I366" s="97"/>
      <c r="J366" s="97"/>
    </row>
    <row r="367" spans="1:10" ht="13">
      <c r="C367" s="381" t="s">
        <v>2643</v>
      </c>
      <c r="D367" s="97"/>
      <c r="E367" s="978"/>
      <c r="F367" s="516"/>
      <c r="G367" s="188" t="s">
        <v>2626</v>
      </c>
      <c r="H367" s="97"/>
      <c r="I367" s="97"/>
      <c r="J367" s="97"/>
    </row>
    <row r="368" spans="1:10" ht="13">
      <c r="A368" s="509">
        <f>A365+1</f>
        <v>224</v>
      </c>
      <c r="C368" s="515" t="s">
        <v>2627</v>
      </c>
      <c r="D368" s="97"/>
      <c r="E368" s="382"/>
      <c r="F368" s="949" t="s">
        <v>221</v>
      </c>
      <c r="G368" s="517" t="s">
        <v>2644</v>
      </c>
      <c r="H368" s="97"/>
      <c r="I368" s="97"/>
      <c r="J368" s="97"/>
    </row>
    <row r="369" spans="1:10" ht="13">
      <c r="A369" s="509">
        <f>A368+1</f>
        <v>225</v>
      </c>
      <c r="C369" s="375" t="s">
        <v>2629</v>
      </c>
      <c r="D369" s="97"/>
      <c r="E369" s="383"/>
      <c r="F369" s="950">
        <v>0</v>
      </c>
      <c r="G369" s="946" t="s">
        <v>76</v>
      </c>
      <c r="H369" s="97"/>
      <c r="I369" s="97"/>
      <c r="J369" s="97"/>
    </row>
    <row r="370" spans="1:10" ht="13">
      <c r="A370" s="509">
        <f>A369+1</f>
        <v>226</v>
      </c>
      <c r="C370" s="375" t="s">
        <v>2631</v>
      </c>
      <c r="D370" s="97"/>
      <c r="E370" s="382"/>
      <c r="F370" s="949" t="s">
        <v>221</v>
      </c>
      <c r="G370" s="517" t="s">
        <v>2644</v>
      </c>
      <c r="H370" s="97"/>
      <c r="I370" s="97"/>
      <c r="J370" s="97"/>
    </row>
    <row r="371" spans="1:10">
      <c r="C371" s="97"/>
      <c r="D371" s="97"/>
      <c r="E371" s="97"/>
      <c r="F371" s="949"/>
      <c r="G371" s="97"/>
      <c r="H371" s="97"/>
      <c r="I371" s="97"/>
      <c r="J371" s="97"/>
    </row>
    <row r="372" spans="1:10" ht="13">
      <c r="C372" s="381" t="s">
        <v>2645</v>
      </c>
      <c r="D372" s="97"/>
      <c r="E372" s="978"/>
      <c r="F372" s="516"/>
      <c r="G372" s="188" t="s">
        <v>2626</v>
      </c>
      <c r="H372" s="97"/>
      <c r="I372" s="97"/>
      <c r="J372" s="97"/>
    </row>
    <row r="373" spans="1:10" ht="13">
      <c r="A373" s="509">
        <f>A370+1</f>
        <v>227</v>
      </c>
      <c r="C373" s="515" t="s">
        <v>2627</v>
      </c>
      <c r="D373" s="97"/>
      <c r="E373" s="382"/>
      <c r="F373" s="949" t="s">
        <v>221</v>
      </c>
      <c r="G373" s="517" t="s">
        <v>2644</v>
      </c>
      <c r="H373" s="97"/>
      <c r="I373" s="477"/>
      <c r="J373" s="477"/>
    </row>
    <row r="374" spans="1:10" ht="13">
      <c r="A374" s="509">
        <f>A373+1</f>
        <v>228</v>
      </c>
      <c r="C374" s="375" t="s">
        <v>2629</v>
      </c>
      <c r="D374" s="97"/>
      <c r="E374" s="383"/>
      <c r="F374" s="950">
        <v>0</v>
      </c>
      <c r="G374" s="946" t="s">
        <v>76</v>
      </c>
      <c r="H374" s="97"/>
      <c r="I374" s="477"/>
      <c r="J374" s="477"/>
    </row>
    <row r="375" spans="1:10" ht="13">
      <c r="A375" s="509">
        <f>A374+1</f>
        <v>229</v>
      </c>
      <c r="C375" s="375" t="s">
        <v>2631</v>
      </c>
      <c r="D375" s="97"/>
      <c r="E375" s="382"/>
      <c r="F375" s="949" t="s">
        <v>221</v>
      </c>
      <c r="G375" s="517" t="s">
        <v>2644</v>
      </c>
      <c r="H375" s="97"/>
      <c r="I375" s="477"/>
      <c r="J375" s="477"/>
    </row>
    <row r="376" spans="1:10">
      <c r="C376" s="375"/>
      <c r="D376" s="97"/>
      <c r="E376" s="383"/>
      <c r="F376" s="377"/>
      <c r="G376" s="477"/>
      <c r="H376" s="97"/>
      <c r="I376" s="477"/>
      <c r="J376" s="477"/>
    </row>
    <row r="377" spans="1:10" ht="13">
      <c r="C377" s="381" t="s">
        <v>2646</v>
      </c>
      <c r="D377" s="97"/>
      <c r="E377" s="477"/>
      <c r="F377" s="516"/>
      <c r="G377" s="188" t="s">
        <v>2626</v>
      </c>
      <c r="H377" s="97"/>
      <c r="I377" s="477"/>
      <c r="J377" s="477"/>
    </row>
    <row r="378" spans="1:10" ht="13">
      <c r="A378" s="509">
        <f>A375+1</f>
        <v>230</v>
      </c>
      <c r="C378" s="515" t="s">
        <v>2627</v>
      </c>
      <c r="D378" s="97"/>
      <c r="E378" s="382"/>
      <c r="F378" s="942" t="s">
        <v>221</v>
      </c>
      <c r="G378" s="477" t="s">
        <v>2647</v>
      </c>
      <c r="H378" s="97"/>
      <c r="I378" s="477"/>
      <c r="J378" s="477"/>
    </row>
    <row r="379" spans="1:10" ht="13">
      <c r="A379" s="509">
        <f>A378+1</f>
        <v>231</v>
      </c>
      <c r="C379" s="375" t="s">
        <v>2629</v>
      </c>
      <c r="D379" s="97"/>
      <c r="E379" s="383"/>
      <c r="F379" s="943">
        <v>0</v>
      </c>
      <c r="G379" s="477" t="s">
        <v>2648</v>
      </c>
      <c r="H379" s="97"/>
      <c r="I379" s="477"/>
      <c r="J379" s="477"/>
    </row>
    <row r="380" spans="1:10" ht="13">
      <c r="A380" s="509">
        <f>A379+1</f>
        <v>232</v>
      </c>
      <c r="C380" s="375" t="s">
        <v>2631</v>
      </c>
      <c r="D380" s="97"/>
      <c r="E380" s="382"/>
      <c r="F380" s="942" t="s">
        <v>221</v>
      </c>
      <c r="G380" s="477" t="s">
        <v>2649</v>
      </c>
      <c r="H380" s="97"/>
      <c r="I380" s="477"/>
      <c r="J380" s="477"/>
    </row>
    <row r="381" spans="1:10">
      <c r="C381" s="97"/>
      <c r="D381" s="97"/>
      <c r="E381" s="97"/>
      <c r="F381" s="376"/>
      <c r="G381" s="97"/>
      <c r="H381" s="97"/>
      <c r="I381" s="97"/>
      <c r="J381" s="97"/>
    </row>
    <row r="382" spans="1:10" ht="13">
      <c r="C382" s="381" t="s">
        <v>2650</v>
      </c>
      <c r="D382" s="97"/>
      <c r="E382" s="477"/>
      <c r="F382" s="516"/>
      <c r="G382" s="188" t="s">
        <v>2626</v>
      </c>
      <c r="H382" s="97"/>
      <c r="I382" s="97"/>
      <c r="J382" s="97"/>
    </row>
    <row r="383" spans="1:10" ht="13">
      <c r="A383" s="509">
        <f>A380+1</f>
        <v>233</v>
      </c>
      <c r="C383" s="515" t="s">
        <v>2627</v>
      </c>
      <c r="D383" s="97"/>
      <c r="E383" s="382"/>
      <c r="F383" s="944" t="s">
        <v>221</v>
      </c>
      <c r="G383" s="517" t="s">
        <v>2644</v>
      </c>
      <c r="H383" s="97"/>
      <c r="I383" s="97"/>
      <c r="J383" s="97"/>
    </row>
    <row r="384" spans="1:10" ht="13">
      <c r="A384" s="509">
        <f>A383+1</f>
        <v>234</v>
      </c>
      <c r="C384" s="375" t="s">
        <v>2629</v>
      </c>
      <c r="D384" s="97"/>
      <c r="E384" s="383"/>
      <c r="F384" s="945">
        <v>0</v>
      </c>
      <c r="G384" s="946" t="s">
        <v>76</v>
      </c>
      <c r="H384" s="97"/>
      <c r="I384" s="97"/>
      <c r="J384" s="97"/>
    </row>
    <row r="385" spans="1:10" ht="13">
      <c r="A385" s="509">
        <f>A384+1</f>
        <v>235</v>
      </c>
      <c r="C385" s="375" t="s">
        <v>2631</v>
      </c>
      <c r="D385" s="97"/>
      <c r="E385" s="382"/>
      <c r="F385" s="944" t="s">
        <v>221</v>
      </c>
      <c r="G385" s="517" t="s">
        <v>2644</v>
      </c>
      <c r="H385" s="97"/>
      <c r="I385" s="97"/>
      <c r="J385" s="97"/>
    </row>
    <row r="386" spans="1:10">
      <c r="C386" s="97"/>
      <c r="D386" s="97"/>
      <c r="E386" s="97"/>
      <c r="F386" s="376"/>
      <c r="G386" s="97"/>
      <c r="H386" s="97"/>
      <c r="I386" s="97"/>
      <c r="J386" s="97"/>
    </row>
    <row r="387" spans="1:10" ht="13">
      <c r="C387" s="381" t="s">
        <v>2651</v>
      </c>
      <c r="D387" s="97"/>
      <c r="E387" s="477"/>
      <c r="F387" s="516"/>
      <c r="G387" s="188" t="s">
        <v>2626</v>
      </c>
      <c r="H387" s="97"/>
      <c r="I387" s="97"/>
      <c r="J387" s="97"/>
    </row>
    <row r="388" spans="1:10" ht="13">
      <c r="A388" s="509">
        <f>A385+1</f>
        <v>236</v>
      </c>
      <c r="C388" s="515" t="s">
        <v>2627</v>
      </c>
      <c r="D388" s="97"/>
      <c r="E388" s="382"/>
      <c r="F388" s="947" t="s">
        <v>221</v>
      </c>
      <c r="G388" s="517" t="s">
        <v>2644</v>
      </c>
      <c r="H388" s="97"/>
      <c r="I388" s="97"/>
      <c r="J388" s="97"/>
    </row>
    <row r="389" spans="1:10" ht="13">
      <c r="A389" s="509">
        <f>A388+1</f>
        <v>237</v>
      </c>
      <c r="C389" s="375" t="s">
        <v>2629</v>
      </c>
      <c r="D389" s="97"/>
      <c r="E389" s="383"/>
      <c r="F389" s="948">
        <v>0</v>
      </c>
      <c r="G389" s="946" t="s">
        <v>76</v>
      </c>
      <c r="H389" s="97"/>
      <c r="I389" s="97"/>
      <c r="J389" s="97"/>
    </row>
    <row r="390" spans="1:10" ht="13">
      <c r="A390" s="509">
        <f>A389+1</f>
        <v>238</v>
      </c>
      <c r="C390" s="375" t="s">
        <v>2631</v>
      </c>
      <c r="D390" s="97"/>
      <c r="E390" s="382"/>
      <c r="F390" s="947" t="s">
        <v>221</v>
      </c>
      <c r="G390" s="517" t="s">
        <v>2644</v>
      </c>
      <c r="H390" s="97"/>
      <c r="I390" s="97"/>
      <c r="J390" s="97"/>
    </row>
    <row r="391" spans="1:10">
      <c r="C391" s="97"/>
      <c r="D391" s="97"/>
      <c r="E391" s="97"/>
      <c r="F391" s="376"/>
      <c r="G391" s="97"/>
      <c r="H391" s="97"/>
      <c r="I391" s="97"/>
      <c r="J391" s="97"/>
    </row>
    <row r="392" spans="1:10" ht="13">
      <c r="C392" s="1117" t="s">
        <v>2652</v>
      </c>
      <c r="D392" s="97"/>
      <c r="E392" s="97"/>
      <c r="F392" s="97"/>
      <c r="G392" s="188" t="s">
        <v>2626</v>
      </c>
      <c r="H392" s="97"/>
      <c r="I392" s="97"/>
      <c r="J392" s="97"/>
    </row>
    <row r="393" spans="1:10" ht="13">
      <c r="A393" s="509">
        <f>A390+1</f>
        <v>239</v>
      </c>
      <c r="C393" s="515" t="s">
        <v>2627</v>
      </c>
      <c r="D393" s="97"/>
      <c r="E393" s="97"/>
      <c r="F393" s="978" t="s">
        <v>221</v>
      </c>
      <c r="G393" s="978" t="s">
        <v>2653</v>
      </c>
      <c r="H393" s="97"/>
      <c r="I393" s="97"/>
      <c r="J393" s="97"/>
    </row>
    <row r="394" spans="1:10" ht="13">
      <c r="A394" s="509">
        <f>A393+1</f>
        <v>240</v>
      </c>
      <c r="C394" s="375" t="s">
        <v>2629</v>
      </c>
      <c r="D394" s="97"/>
      <c r="E394" s="97"/>
      <c r="F394" s="950">
        <v>0</v>
      </c>
      <c r="G394" s="946" t="s">
        <v>76</v>
      </c>
      <c r="H394" s="97"/>
      <c r="I394" s="97"/>
      <c r="J394" s="97"/>
    </row>
    <row r="395" spans="1:10" ht="13">
      <c r="A395" s="509">
        <f>A394+1</f>
        <v>241</v>
      </c>
      <c r="C395" s="375" t="s">
        <v>2631</v>
      </c>
      <c r="D395" s="97"/>
      <c r="E395" s="97"/>
      <c r="F395" s="978" t="s">
        <v>222</v>
      </c>
      <c r="G395" s="946" t="s">
        <v>76</v>
      </c>
      <c r="H395" s="97"/>
      <c r="I395" s="97"/>
      <c r="J395" s="97"/>
    </row>
    <row r="396" spans="1:10">
      <c r="C396" s="97"/>
      <c r="D396" s="97"/>
      <c r="E396" s="97"/>
      <c r="F396" s="97"/>
      <c r="G396" s="97"/>
      <c r="H396" s="97"/>
      <c r="I396" s="97"/>
      <c r="J396" s="97"/>
    </row>
    <row r="397" spans="1:10" ht="13">
      <c r="C397" s="1117" t="s">
        <v>2654</v>
      </c>
      <c r="D397" s="97"/>
      <c r="E397" s="97"/>
      <c r="F397" s="97"/>
      <c r="G397" s="188" t="s">
        <v>2626</v>
      </c>
      <c r="H397" s="97"/>
      <c r="I397" s="97"/>
      <c r="J397" s="97"/>
    </row>
    <row r="398" spans="1:10" ht="13">
      <c r="A398" s="509">
        <f>A395+1</f>
        <v>242</v>
      </c>
      <c r="C398" s="515" t="s">
        <v>2627</v>
      </c>
      <c r="D398" s="97"/>
      <c r="E398" s="97"/>
      <c r="F398" s="978" t="s">
        <v>221</v>
      </c>
      <c r="G398" s="978" t="s">
        <v>2653</v>
      </c>
      <c r="H398" s="97"/>
      <c r="I398" s="97"/>
      <c r="J398" s="97"/>
    </row>
    <row r="399" spans="1:10" ht="13">
      <c r="A399" s="509">
        <f>A398+1</f>
        <v>243</v>
      </c>
      <c r="C399" s="375" t="s">
        <v>2629</v>
      </c>
      <c r="D399" s="97"/>
      <c r="E399" s="97"/>
      <c r="F399" s="950">
        <v>0</v>
      </c>
      <c r="G399" s="946" t="s">
        <v>76</v>
      </c>
      <c r="H399" s="97"/>
      <c r="I399" s="97"/>
      <c r="J399" s="97"/>
    </row>
    <row r="400" spans="1:10" ht="13">
      <c r="A400" s="509">
        <f>A399+1</f>
        <v>244</v>
      </c>
      <c r="C400" s="375" t="s">
        <v>2631</v>
      </c>
      <c r="D400" s="97"/>
      <c r="E400" s="97"/>
      <c r="F400" s="978" t="s">
        <v>221</v>
      </c>
      <c r="G400" s="978" t="s">
        <v>2655</v>
      </c>
      <c r="H400" s="97"/>
      <c r="I400" s="97"/>
      <c r="J400" s="97"/>
    </row>
    <row r="401" spans="1:10">
      <c r="C401" s="97"/>
      <c r="D401" s="97"/>
      <c r="E401" s="97"/>
      <c r="F401" s="97"/>
      <c r="G401" s="97"/>
      <c r="H401" s="97"/>
      <c r="I401" s="97"/>
      <c r="J401" s="97"/>
    </row>
    <row r="402" spans="1:10" ht="13">
      <c r="C402" s="1117" t="s">
        <v>2656</v>
      </c>
      <c r="D402" s="97"/>
      <c r="E402" s="97"/>
      <c r="F402" s="97"/>
      <c r="G402" s="188" t="s">
        <v>2626</v>
      </c>
      <c r="H402" s="97"/>
      <c r="I402" s="97"/>
      <c r="J402" s="97"/>
    </row>
    <row r="403" spans="1:10" ht="13">
      <c r="A403" s="509">
        <f>A400+1</f>
        <v>245</v>
      </c>
      <c r="C403" s="515" t="s">
        <v>2627</v>
      </c>
      <c r="D403" s="97"/>
      <c r="E403" s="97"/>
      <c r="F403" s="978" t="s">
        <v>221</v>
      </c>
      <c r="G403" s="978" t="s">
        <v>2653</v>
      </c>
      <c r="H403" s="97"/>
      <c r="I403" s="97"/>
      <c r="J403" s="97"/>
    </row>
    <row r="404" spans="1:10" ht="13">
      <c r="A404" s="509">
        <f>A403+1</f>
        <v>246</v>
      </c>
      <c r="C404" s="375" t="s">
        <v>2629</v>
      </c>
      <c r="D404" s="97"/>
      <c r="E404" s="97"/>
      <c r="F404" s="950">
        <v>0</v>
      </c>
      <c r="G404" s="946" t="s">
        <v>76</v>
      </c>
      <c r="H404" s="97"/>
      <c r="I404" s="97"/>
      <c r="J404" s="97"/>
    </row>
    <row r="405" spans="1:10" ht="13">
      <c r="A405" s="509">
        <f>A404+1</f>
        <v>247</v>
      </c>
      <c r="C405" s="375" t="s">
        <v>2631</v>
      </c>
      <c r="D405" s="97"/>
      <c r="E405" s="97"/>
      <c r="F405" s="978" t="s">
        <v>221</v>
      </c>
      <c r="G405" s="978" t="s">
        <v>2655</v>
      </c>
      <c r="H405" s="97"/>
      <c r="I405" s="97"/>
      <c r="J405" s="97"/>
    </row>
    <row r="406" spans="1:10" s="972" customFormat="1" ht="13">
      <c r="A406" s="553"/>
      <c r="C406" s="375"/>
      <c r="D406" s="97"/>
      <c r="E406" s="97"/>
      <c r="F406" s="978"/>
      <c r="G406" s="978"/>
      <c r="H406" s="97"/>
      <c r="I406" s="97"/>
      <c r="J406" s="97"/>
    </row>
    <row r="407" spans="1:10" s="972" customFormat="1" ht="13">
      <c r="A407" s="553"/>
      <c r="C407" s="381" t="s">
        <v>2802</v>
      </c>
      <c r="D407" s="97"/>
      <c r="E407" s="97"/>
      <c r="F407" s="978"/>
      <c r="G407" s="188" t="s">
        <v>2626</v>
      </c>
      <c r="H407" s="97"/>
      <c r="I407" s="97"/>
      <c r="J407" s="97"/>
    </row>
    <row r="408" spans="1:10" s="972" customFormat="1" ht="13">
      <c r="A408" s="553">
        <f>A405+1</f>
        <v>248</v>
      </c>
      <c r="C408" s="515" t="s">
        <v>2627</v>
      </c>
      <c r="D408" s="97"/>
      <c r="E408" s="97"/>
      <c r="F408" s="978"/>
      <c r="G408" s="978"/>
      <c r="H408" s="97"/>
      <c r="I408" s="97"/>
      <c r="J408" s="97"/>
    </row>
    <row r="409" spans="1:10" s="972" customFormat="1" ht="13">
      <c r="A409" s="553">
        <f t="shared" ref="A409:A410" si="46">A408+1</f>
        <v>249</v>
      </c>
      <c r="C409" s="515" t="s">
        <v>2629</v>
      </c>
      <c r="D409" s="97"/>
      <c r="E409" s="97"/>
      <c r="F409" s="978"/>
      <c r="G409" s="978"/>
      <c r="H409" s="97"/>
      <c r="I409" s="97"/>
      <c r="J409" s="97"/>
    </row>
    <row r="410" spans="1:10" s="972" customFormat="1" ht="13">
      <c r="A410" s="553">
        <f t="shared" si="46"/>
        <v>250</v>
      </c>
      <c r="C410" s="515" t="s">
        <v>2631</v>
      </c>
      <c r="D410" s="97"/>
      <c r="E410" s="97"/>
      <c r="F410" s="978"/>
      <c r="G410" s="978"/>
      <c r="H410" s="97"/>
      <c r="I410" s="97"/>
      <c r="J410" s="97"/>
    </row>
    <row r="411" spans="1:10" s="972" customFormat="1">
      <c r="C411" s="1391" t="s">
        <v>504</v>
      </c>
      <c r="D411" s="14"/>
      <c r="E411" s="14"/>
      <c r="F411" s="14"/>
      <c r="G411" s="14"/>
      <c r="H411" s="14"/>
      <c r="I411" s="14"/>
      <c r="J411" s="14"/>
    </row>
    <row r="412" spans="1:10" ht="13">
      <c r="B412" s="379" t="s">
        <v>377</v>
      </c>
    </row>
    <row r="413" spans="1:10">
      <c r="C413" s="467" t="s">
        <v>1190</v>
      </c>
    </row>
    <row r="414" spans="1:10">
      <c r="C414" t="s">
        <v>1103</v>
      </c>
    </row>
  </sheetData>
  <phoneticPr fontId="23" type="noConversion"/>
  <pageMargins left="0.75" right="0.75" top="1" bottom="1" header="0.5" footer="0.5"/>
  <pageSetup scale="68" orientation="portrait" cellComments="asDisplayed" r:id="rId1"/>
  <headerFooter alignWithMargins="0">
    <oddHeader>&amp;CSchedule 14
Incentive Plant
&amp;RTO2021 Draft Annual Update 
Attachment 1</oddHeader>
    <oddFooter>&amp;R&amp;A</oddFooter>
  </headerFooter>
  <rowBreaks count="6" manualBreakCount="6">
    <brk id="66" max="16383" man="1"/>
    <brk id="131" max="16383" man="1"/>
    <brk id="189" max="16383" man="1"/>
    <brk id="246" max="16383" man="1"/>
    <brk id="303" max="16383" man="1"/>
    <brk id="341"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election activeCell="B11" sqref="B11"/>
    </sheetView>
  </sheetViews>
  <sheetFormatPr defaultRowHeight="12.5"/>
  <cols>
    <col min="1" max="2" width="4.54296875" customWidth="1"/>
    <col min="3" max="4" width="10.54296875" customWidth="1"/>
    <col min="5" max="9" width="15.54296875" customWidth="1"/>
  </cols>
  <sheetData>
    <row r="1" spans="1:9" ht="13">
      <c r="A1" s="1" t="s">
        <v>150</v>
      </c>
      <c r="B1" s="1"/>
    </row>
    <row r="2" spans="1:9" ht="13">
      <c r="A2" s="1"/>
      <c r="B2" s="1"/>
      <c r="G2" s="95" t="s">
        <v>246</v>
      </c>
      <c r="H2" s="95"/>
    </row>
    <row r="3" spans="1:9" ht="13">
      <c r="A3" s="1"/>
      <c r="B3" s="12" t="s">
        <v>979</v>
      </c>
    </row>
    <row r="4" spans="1:9" ht="13">
      <c r="A4" s="1"/>
      <c r="B4" s="13" t="s">
        <v>980</v>
      </c>
    </row>
    <row r="5" spans="1:9" ht="13">
      <c r="A5" s="1"/>
      <c r="B5" s="471" t="s">
        <v>1493</v>
      </c>
    </row>
    <row r="7" spans="1:9" ht="13.5" customHeight="1">
      <c r="B7" s="1" t="s">
        <v>272</v>
      </c>
    </row>
    <row r="8" spans="1:9" ht="13">
      <c r="A8" s="1"/>
      <c r="B8" s="1"/>
    </row>
    <row r="9" spans="1:9" ht="13">
      <c r="A9" s="1"/>
      <c r="B9" s="1"/>
      <c r="C9" s="12" t="s">
        <v>295</v>
      </c>
    </row>
    <row r="10" spans="1:9" ht="13">
      <c r="A10" s="1"/>
      <c r="B10" s="1"/>
      <c r="C10" s="12" t="s">
        <v>1115</v>
      </c>
    </row>
    <row r="11" spans="1:9" ht="13">
      <c r="A11" s="1"/>
      <c r="B11" s="1"/>
      <c r="C11" s="12"/>
    </row>
    <row r="12" spans="1:9" ht="13">
      <c r="A12" s="1"/>
      <c r="B12" s="1"/>
      <c r="C12" s="467" t="s">
        <v>1464</v>
      </c>
    </row>
    <row r="13" spans="1:9" ht="13">
      <c r="A13" s="1"/>
      <c r="B13" s="1"/>
    </row>
    <row r="14" spans="1:9" ht="13">
      <c r="A14" s="51" t="s">
        <v>329</v>
      </c>
      <c r="B14" s="1"/>
      <c r="C14" s="12" t="s">
        <v>363</v>
      </c>
      <c r="G14" s="118" t="s">
        <v>171</v>
      </c>
      <c r="I14" s="3" t="s">
        <v>179</v>
      </c>
    </row>
    <row r="15" spans="1:9" ht="13">
      <c r="A15" s="110">
        <v>1</v>
      </c>
      <c r="B15" s="44"/>
      <c r="C15" s="46" t="s">
        <v>364</v>
      </c>
      <c r="D15" s="14"/>
      <c r="E15" s="14"/>
      <c r="F15" s="14"/>
      <c r="G15" s="67">
        <f>'1-BaseTRR'!K82</f>
        <v>0.47499999999999998</v>
      </c>
      <c r="H15" s="14"/>
      <c r="I15" s="15" t="str">
        <f>"1-BaseTRR, L "&amp;'1-BaseTRR'!A82&amp;""</f>
        <v>1-BaseTRR, L 47</v>
      </c>
    </row>
    <row r="16" spans="1:9" ht="13">
      <c r="A16" s="110">
        <v>2</v>
      </c>
      <c r="B16" s="44"/>
      <c r="C16" s="46" t="s">
        <v>218</v>
      </c>
      <c r="D16" s="14"/>
      <c r="E16" s="14"/>
      <c r="F16" s="14"/>
      <c r="G16" s="67">
        <f>'1-BaseTRR'!K104</f>
        <v>0.27983599999999997</v>
      </c>
      <c r="H16" s="14"/>
      <c r="I16" s="15" t="str">
        <f>"1-BaseTRR, L "&amp;'1-BaseTRR'!A104&amp;""</f>
        <v>1-BaseTRR, L 59</v>
      </c>
    </row>
    <row r="17" spans="1:9" ht="13">
      <c r="A17" s="110">
        <v>3</v>
      </c>
      <c r="B17" s="44"/>
      <c r="C17" s="14"/>
      <c r="D17" s="14"/>
      <c r="E17" s="14"/>
      <c r="F17" s="357" t="s">
        <v>489</v>
      </c>
      <c r="G17" s="63">
        <f>G15*(1/(1-G16))* 10000</f>
        <v>6595.7198638087975</v>
      </c>
      <c r="H17" s="14"/>
      <c r="I17" s="15" t="s">
        <v>365</v>
      </c>
    </row>
    <row r="18" spans="1:9">
      <c r="A18" s="14"/>
      <c r="B18" s="14"/>
      <c r="C18" s="14"/>
      <c r="D18" s="14"/>
      <c r="E18" s="14"/>
      <c r="F18" s="14"/>
      <c r="G18" s="14"/>
      <c r="H18" s="14"/>
      <c r="I18" s="14"/>
    </row>
    <row r="19" spans="1:9" ht="13">
      <c r="A19" s="14"/>
      <c r="B19" s="44" t="s">
        <v>273</v>
      </c>
      <c r="C19" s="14"/>
      <c r="D19" s="14"/>
      <c r="E19" s="14"/>
      <c r="F19" s="14"/>
      <c r="G19" s="14"/>
      <c r="H19" s="14"/>
      <c r="I19" s="14"/>
    </row>
    <row r="20" spans="1:9" ht="13">
      <c r="A20" s="44"/>
      <c r="B20" s="44"/>
      <c r="C20" s="15" t="s">
        <v>300</v>
      </c>
      <c r="D20" s="14"/>
      <c r="E20" s="14"/>
      <c r="F20" s="14"/>
      <c r="G20" s="14"/>
      <c r="H20" s="14"/>
      <c r="I20" s="14"/>
    </row>
    <row r="21" spans="1:9" ht="13">
      <c r="A21" s="44"/>
      <c r="B21" s="44"/>
      <c r="C21" s="15" t="s">
        <v>490</v>
      </c>
      <c r="D21" s="14"/>
      <c r="E21" s="14"/>
      <c r="F21" s="14"/>
      <c r="G21" s="14"/>
      <c r="H21" s="14"/>
      <c r="I21" s="14"/>
    </row>
    <row r="22" spans="1:9" ht="13">
      <c r="A22" s="44"/>
      <c r="B22" s="44"/>
      <c r="C22" s="14"/>
      <c r="D22" s="14"/>
      <c r="E22" s="14"/>
      <c r="F22" s="14"/>
      <c r="G22" s="14"/>
      <c r="H22" s="14"/>
      <c r="I22" s="14"/>
    </row>
    <row r="23" spans="1:9" ht="13">
      <c r="A23" s="44"/>
      <c r="B23" s="44"/>
      <c r="C23" s="14"/>
      <c r="D23" s="14"/>
      <c r="E23" s="14"/>
      <c r="F23" s="110" t="s">
        <v>275</v>
      </c>
      <c r="G23" s="14"/>
      <c r="H23" s="14"/>
      <c r="I23" s="14"/>
    </row>
    <row r="24" spans="1:9" ht="13">
      <c r="A24" s="840" t="s">
        <v>329</v>
      </c>
      <c r="B24" s="840"/>
      <c r="C24" s="14"/>
      <c r="D24" s="14"/>
      <c r="E24" s="123" t="s">
        <v>9</v>
      </c>
      <c r="F24" s="123" t="s">
        <v>35</v>
      </c>
      <c r="G24" s="123" t="s">
        <v>179</v>
      </c>
      <c r="H24" s="14"/>
      <c r="I24" s="14"/>
    </row>
    <row r="25" spans="1:9" ht="13">
      <c r="A25" s="110">
        <f>A17+1</f>
        <v>4</v>
      </c>
      <c r="B25" s="110"/>
      <c r="C25" s="14" t="s">
        <v>225</v>
      </c>
      <c r="D25" s="14"/>
      <c r="E25" s="78">
        <f>'14-IncentivePlant'!F346</f>
        <v>7.4999999999999997E-3</v>
      </c>
      <c r="F25" s="879">
        <f>E25/0.01</f>
        <v>0.75</v>
      </c>
      <c r="G25" s="46" t="str">
        <f>"14-IncentivePlant, L "&amp;'14-IncentivePlant'!A346&amp;""</f>
        <v>14-IncentivePlant, L 210</v>
      </c>
      <c r="H25" s="14"/>
      <c r="I25" s="14"/>
    </row>
    <row r="26" spans="1:9" ht="13">
      <c r="A26" s="110">
        <f>A25+1</f>
        <v>5</v>
      </c>
      <c r="B26" s="110"/>
      <c r="C26" s="14" t="s">
        <v>226</v>
      </c>
      <c r="D26" s="14"/>
      <c r="E26" s="78">
        <f>'14-IncentivePlant'!F351</f>
        <v>1.2500000000000001E-2</v>
      </c>
      <c r="F26" s="879">
        <f>E26/0.01</f>
        <v>1.25</v>
      </c>
      <c r="G26" s="46" t="str">
        <f>"14-IncentivePlant, L "&amp;'14-IncentivePlant'!A351&amp;""</f>
        <v>14-IncentivePlant, L 213</v>
      </c>
      <c r="H26" s="14"/>
      <c r="I26" s="14"/>
    </row>
    <row r="27" spans="1:9" ht="13">
      <c r="A27" s="110">
        <f>A26+1</f>
        <v>6</v>
      </c>
      <c r="B27" s="110"/>
      <c r="C27" s="469" t="s">
        <v>2156</v>
      </c>
      <c r="D27" s="14"/>
      <c r="E27" s="78">
        <f>'14-IncentivePlant'!F356</f>
        <v>0.01</v>
      </c>
      <c r="F27" s="879">
        <f>E27/0.01</f>
        <v>1</v>
      </c>
      <c r="G27" s="46" t="str">
        <f>"14-IncentivePlant, L "&amp;'14-IncentivePlant'!A356&amp;""</f>
        <v>14-IncentivePlant, L 216</v>
      </c>
      <c r="H27" s="14"/>
      <c r="I27" s="14"/>
    </row>
    <row r="28" spans="1:9" ht="13">
      <c r="A28" s="2">
        <f>A27+1</f>
        <v>7</v>
      </c>
      <c r="B28" s="2"/>
      <c r="C28" s="115"/>
      <c r="D28" s="97"/>
      <c r="E28" s="42"/>
      <c r="F28" s="98"/>
    </row>
    <row r="29" spans="1:9" ht="13">
      <c r="A29" s="2">
        <f>A28+1</f>
        <v>8</v>
      </c>
      <c r="B29" s="2"/>
      <c r="C29" s="186" t="s">
        <v>504</v>
      </c>
      <c r="E29" s="42"/>
      <c r="F29" s="98"/>
    </row>
    <row r="31" spans="1:9" ht="13">
      <c r="B31" s="1" t="s">
        <v>274</v>
      </c>
    </row>
    <row r="32" spans="1:9" ht="13">
      <c r="A32" s="1"/>
      <c r="B32" s="1"/>
      <c r="C32" s="12" t="s">
        <v>1422</v>
      </c>
    </row>
    <row r="33" spans="1:9" ht="13">
      <c r="A33" s="1"/>
      <c r="B33" s="1"/>
      <c r="C33" s="12" t="s">
        <v>491</v>
      </c>
    </row>
    <row r="34" spans="1:9" ht="13">
      <c r="A34" s="1"/>
      <c r="B34" s="1"/>
      <c r="C34" s="12" t="s">
        <v>492</v>
      </c>
    </row>
    <row r="35" spans="1:9" ht="13">
      <c r="E35" s="2"/>
      <c r="G35" s="2"/>
    </row>
    <row r="36" spans="1:9" ht="13">
      <c r="E36" s="2" t="s">
        <v>63</v>
      </c>
      <c r="G36" s="2" t="s">
        <v>63</v>
      </c>
    </row>
    <row r="37" spans="1:9" ht="13">
      <c r="E37" s="2" t="s">
        <v>8</v>
      </c>
      <c r="F37" s="2" t="s">
        <v>275</v>
      </c>
      <c r="G37" s="2" t="s">
        <v>8</v>
      </c>
    </row>
    <row r="38" spans="1:9" ht="13">
      <c r="A38" s="51" t="s">
        <v>329</v>
      </c>
      <c r="B38" s="51"/>
      <c r="E38" s="3" t="s">
        <v>173</v>
      </c>
      <c r="F38" s="3" t="s">
        <v>35</v>
      </c>
      <c r="G38" s="3" t="s">
        <v>276</v>
      </c>
      <c r="H38" s="3" t="s">
        <v>179</v>
      </c>
    </row>
    <row r="39" spans="1:9" ht="13">
      <c r="A39" s="2">
        <f>A29+1</f>
        <v>9</v>
      </c>
      <c r="B39" s="2"/>
      <c r="C39" t="s">
        <v>225</v>
      </c>
      <c r="E39" s="7">
        <f>'14-IncentivePlant'!E46</f>
        <v>140675231.43613446</v>
      </c>
      <c r="F39" s="98">
        <f>F25</f>
        <v>0.75</v>
      </c>
      <c r="G39" s="7">
        <f>(E39/1000000)*(F39*$G$17)</f>
        <v>695890.81374690891</v>
      </c>
      <c r="H39" s="46" t="str">
        <f>"14-IncentivePlant, L "&amp;'14-IncentivePlant'!A46&amp;", Col. 1"</f>
        <v>14-IncentivePlant, L 13, Col. 1</v>
      </c>
      <c r="I39" s="14"/>
    </row>
    <row r="40" spans="1:9" ht="13">
      <c r="A40" s="2">
        <f>A39+1</f>
        <v>10</v>
      </c>
      <c r="B40" s="2"/>
      <c r="C40" t="s">
        <v>226</v>
      </c>
      <c r="E40" s="7">
        <f>'14-IncentivePlant'!E47</f>
        <v>2592594066.0880814</v>
      </c>
      <c r="F40" s="98">
        <f>F26</f>
        <v>1.25</v>
      </c>
      <c r="G40" s="7">
        <f>(E40/1000000)*(F40*$G$17)</f>
        <v>21375030.225612473</v>
      </c>
      <c r="H40" s="46" t="str">
        <f>"14-IncentivePlant, L "&amp;'14-IncentivePlant'!A47&amp;", Col. 1"</f>
        <v>14-IncentivePlant, L 14, Col. 1</v>
      </c>
      <c r="I40" s="14"/>
    </row>
    <row r="41" spans="1:9" ht="13">
      <c r="A41" s="2">
        <f>A40+1</f>
        <v>11</v>
      </c>
      <c r="B41" s="2"/>
      <c r="C41" s="467" t="s">
        <v>2156</v>
      </c>
      <c r="E41" s="7">
        <f>'14-IncentivePlant'!E48</f>
        <v>649167356.36563158</v>
      </c>
      <c r="F41" s="98">
        <f>F27</f>
        <v>1</v>
      </c>
      <c r="G41" s="7">
        <f>(E41/1000000)*(F41*$G$17)</f>
        <v>4281726.0273170406</v>
      </c>
      <c r="H41" s="46" t="str">
        <f>"14-IncentivePlant, L "&amp;'14-IncentivePlant'!A48&amp;", Col. 1"</f>
        <v>14-IncentivePlant, L 15, Col. 1</v>
      </c>
      <c r="I41" s="14"/>
    </row>
    <row r="42" spans="1:9" ht="13">
      <c r="A42" s="2">
        <f>A41+1</f>
        <v>12</v>
      </c>
      <c r="B42" s="2"/>
      <c r="C42" s="115"/>
      <c r="D42" s="97"/>
      <c r="H42" s="14"/>
    </row>
    <row r="43" spans="1:9" ht="13">
      <c r="A43" s="2">
        <f>A42+1</f>
        <v>13</v>
      </c>
      <c r="B43" s="2"/>
      <c r="C43" s="186" t="s">
        <v>504</v>
      </c>
      <c r="H43" s="14"/>
    </row>
    <row r="44" spans="1:9" ht="13">
      <c r="A44" s="2">
        <f>A43+1</f>
        <v>14</v>
      </c>
      <c r="F44" s="37" t="s">
        <v>78</v>
      </c>
      <c r="G44" s="7">
        <f>SUM(G39:G42)</f>
        <v>26352647.066676423</v>
      </c>
      <c r="H44" s="466" t="s">
        <v>1652</v>
      </c>
      <c r="I44" s="14"/>
    </row>
    <row r="45" spans="1:9">
      <c r="H45" s="466" t="s">
        <v>1653</v>
      </c>
      <c r="I45" s="63"/>
    </row>
    <row r="46" spans="1:9" ht="13">
      <c r="B46" s="1" t="s">
        <v>1450</v>
      </c>
      <c r="H46" s="14"/>
    </row>
    <row r="47" spans="1:9" ht="13">
      <c r="A47" s="1"/>
      <c r="B47" s="1"/>
      <c r="C47" s="467" t="s">
        <v>1451</v>
      </c>
      <c r="H47" s="14"/>
    </row>
    <row r="48" spans="1:9" ht="13">
      <c r="A48" s="1"/>
      <c r="B48" s="1"/>
      <c r="C48" s="467" t="s">
        <v>1494</v>
      </c>
      <c r="H48" s="14"/>
    </row>
    <row r="49" spans="1:9" ht="13">
      <c r="A49" s="1"/>
      <c r="B49" s="1"/>
      <c r="C49" s="467" t="s">
        <v>1651</v>
      </c>
      <c r="H49" s="14"/>
    </row>
    <row r="50" spans="1:9">
      <c r="H50" s="14"/>
    </row>
    <row r="51" spans="1:9" ht="13">
      <c r="E51" s="2" t="s">
        <v>0</v>
      </c>
      <c r="G51" s="2" t="s">
        <v>0</v>
      </c>
      <c r="H51" s="14"/>
    </row>
    <row r="52" spans="1:9" ht="13">
      <c r="E52" s="2" t="s">
        <v>8</v>
      </c>
      <c r="F52" s="2" t="s">
        <v>275</v>
      </c>
      <c r="G52" s="2" t="s">
        <v>8</v>
      </c>
      <c r="H52" s="14"/>
    </row>
    <row r="53" spans="1:9" ht="13">
      <c r="A53" s="51" t="s">
        <v>329</v>
      </c>
      <c r="B53" s="51"/>
      <c r="E53" s="3" t="s">
        <v>994</v>
      </c>
      <c r="F53" s="3" t="s">
        <v>35</v>
      </c>
      <c r="G53" s="3" t="s">
        <v>276</v>
      </c>
      <c r="H53" s="123" t="s">
        <v>179</v>
      </c>
    </row>
    <row r="54" spans="1:9" ht="13">
      <c r="A54" s="2">
        <f>A44+1</f>
        <v>15</v>
      </c>
      <c r="B54" s="2"/>
      <c r="C54" t="s">
        <v>225</v>
      </c>
      <c r="E54" s="7">
        <f>'14-IncentivePlant'!E60</f>
        <v>143115066.53896901</v>
      </c>
      <c r="F54" s="98">
        <f>F25</f>
        <v>0.75</v>
      </c>
      <c r="G54" s="7">
        <f>(E54/1000000)*(F54*$G$17)</f>
        <v>707960.16538604675</v>
      </c>
      <c r="H54" s="46" t="str">
        <f>"14-IncentivePlant, L "&amp;'14-IncentivePlant'!A60&amp;", Col. 1"</f>
        <v>14-IncentivePlant, L 19, Col. 1</v>
      </c>
      <c r="I54" s="14"/>
    </row>
    <row r="55" spans="1:9" ht="13">
      <c r="A55" s="2">
        <f>A54+1</f>
        <v>16</v>
      </c>
      <c r="B55" s="2"/>
      <c r="C55" t="s">
        <v>226</v>
      </c>
      <c r="E55" s="7">
        <f>'14-IncentivePlant'!E61</f>
        <v>2626937258.942555</v>
      </c>
      <c r="F55" s="98">
        <f>F26</f>
        <v>1.25</v>
      </c>
      <c r="G55" s="7">
        <f>(E55/1000000)*(F55*$G$17)</f>
        <v>21658177.824733555</v>
      </c>
      <c r="H55" s="46" t="str">
        <f>"14-IncentivePlant, L "&amp;'14-IncentivePlant'!A61&amp;", Col. 1"</f>
        <v>14-IncentivePlant, L 20, Col. 1</v>
      </c>
      <c r="I55" s="14"/>
    </row>
    <row r="56" spans="1:9" ht="13">
      <c r="A56" s="2">
        <f>A55+1</f>
        <v>17</v>
      </c>
      <c r="B56" s="2"/>
      <c r="C56" s="467" t="s">
        <v>2156</v>
      </c>
      <c r="E56" s="7">
        <f>'14-IncentivePlant'!E62</f>
        <v>659274150.85827935</v>
      </c>
      <c r="F56" s="98">
        <f>F27</f>
        <v>1</v>
      </c>
      <c r="G56" s="7">
        <f>(E56/1000000)*(F56*$G$17)</f>
        <v>4348387.6125116311</v>
      </c>
      <c r="H56" s="46" t="str">
        <f>"14-IncentivePlant, L "&amp;'14-IncentivePlant'!A62&amp;", Col. 1"</f>
        <v>14-IncentivePlant, L 21, Col. 1</v>
      </c>
      <c r="I56" s="14"/>
    </row>
    <row r="57" spans="1:9" ht="13">
      <c r="A57" s="2">
        <f>A56+1</f>
        <v>18</v>
      </c>
      <c r="B57" s="2"/>
      <c r="C57" s="115"/>
      <c r="D57" s="97"/>
      <c r="H57" s="14"/>
      <c r="I57" s="14"/>
    </row>
    <row r="58" spans="1:9" ht="13">
      <c r="A58" s="2">
        <f>A57+1</f>
        <v>19</v>
      </c>
      <c r="B58" s="2"/>
      <c r="C58" s="186" t="s">
        <v>504</v>
      </c>
      <c r="H58" s="14"/>
      <c r="I58" s="14"/>
    </row>
    <row r="59" spans="1:9" ht="13">
      <c r="A59" s="2">
        <f>A58+1</f>
        <v>20</v>
      </c>
      <c r="F59" s="465" t="s">
        <v>1452</v>
      </c>
      <c r="G59" s="7">
        <f>SUM(G54:G57)</f>
        <v>26714525.602631234</v>
      </c>
      <c r="H59" s="466" t="s">
        <v>1652</v>
      </c>
      <c r="I59" s="14"/>
    </row>
    <row r="60" spans="1:9">
      <c r="H60" s="466" t="s">
        <v>1653</v>
      </c>
      <c r="I60" s="63"/>
    </row>
    <row r="61" spans="1:9" ht="13">
      <c r="B61" s="1" t="s">
        <v>1509</v>
      </c>
    </row>
    <row r="63" spans="1:9" ht="13">
      <c r="C63" s="1" t="s">
        <v>1510</v>
      </c>
    </row>
    <row r="65" spans="1:7" ht="13">
      <c r="E65" s="490" t="s">
        <v>10</v>
      </c>
    </row>
    <row r="66" spans="1:7" ht="13">
      <c r="C66" s="490" t="s">
        <v>8</v>
      </c>
      <c r="E66" s="490" t="s">
        <v>298</v>
      </c>
    </row>
    <row r="67" spans="1:7" ht="13">
      <c r="A67" s="51" t="s">
        <v>329</v>
      </c>
      <c r="C67" s="3" t="s">
        <v>224</v>
      </c>
      <c r="E67" s="3" t="s">
        <v>3</v>
      </c>
      <c r="F67" s="3" t="s">
        <v>179</v>
      </c>
    </row>
    <row r="68" spans="1:7" ht="13">
      <c r="A68" s="490">
        <f>A59+1</f>
        <v>21</v>
      </c>
      <c r="C68" t="s">
        <v>225</v>
      </c>
      <c r="E68" s="7">
        <f>'14-IncentivePlant'!G60</f>
        <v>143115066.53896901</v>
      </c>
      <c r="F68" s="466" t="str">
        <f>"14-IncentivePlant, L "&amp;'14-IncentivePlant'!A60&amp;", Col. 3"</f>
        <v>14-IncentivePlant, L 19, Col. 3</v>
      </c>
      <c r="G68" s="14"/>
    </row>
    <row r="69" spans="1:7" ht="13">
      <c r="A69" s="490">
        <f t="shared" ref="A69:A71" si="0">A68+1</f>
        <v>22</v>
      </c>
      <c r="C69" t="s">
        <v>226</v>
      </c>
      <c r="E69" s="7">
        <f>'14-IncentivePlant'!G61</f>
        <v>2626780479.4294782</v>
      </c>
      <c r="F69" s="466" t="str">
        <f>"14-IncentivePlant, L "&amp;'14-IncentivePlant'!A61&amp;", Col. 3"</f>
        <v>14-IncentivePlant, L 20, Col. 3</v>
      </c>
      <c r="G69" s="14"/>
    </row>
    <row r="70" spans="1:7" ht="13">
      <c r="A70" s="490">
        <f t="shared" si="0"/>
        <v>23</v>
      </c>
      <c r="C70" s="467" t="s">
        <v>2156</v>
      </c>
      <c r="E70" s="7">
        <f>'14-IncentivePlant'!G62</f>
        <v>659274150.85827935</v>
      </c>
      <c r="F70" s="466" t="str">
        <f>"14-IncentivePlant, L "&amp;'14-IncentivePlant'!A62&amp;", Col. 3"</f>
        <v>14-IncentivePlant, L 21, Col. 3</v>
      </c>
      <c r="G70" s="14"/>
    </row>
    <row r="71" spans="1:7" ht="13">
      <c r="A71" s="490">
        <f t="shared" si="0"/>
        <v>24</v>
      </c>
      <c r="C71" s="115"/>
      <c r="F71" s="466"/>
      <c r="G71" s="14"/>
    </row>
    <row r="72" spans="1:7">
      <c r="C72" s="491" t="s">
        <v>504</v>
      </c>
      <c r="F72" s="14"/>
      <c r="G72" s="14"/>
    </row>
    <row r="73" spans="1:7">
      <c r="C73" s="491"/>
      <c r="F73" s="14"/>
      <c r="G73" s="14"/>
    </row>
    <row r="74" spans="1:7" ht="13">
      <c r="C74" s="1" t="s">
        <v>1511</v>
      </c>
      <c r="F74" s="14"/>
      <c r="G74" s="14"/>
    </row>
    <row r="75" spans="1:7" ht="13">
      <c r="C75" s="1"/>
      <c r="F75" s="14"/>
      <c r="G75" s="14"/>
    </row>
    <row r="76" spans="1:7" ht="13">
      <c r="E76" s="3" t="s">
        <v>358</v>
      </c>
      <c r="F76" s="123" t="s">
        <v>342</v>
      </c>
      <c r="G76" s="14"/>
    </row>
    <row r="77" spans="1:7" ht="13">
      <c r="E77" s="3"/>
      <c r="F77" s="110" t="s">
        <v>1512</v>
      </c>
      <c r="G77" s="14"/>
    </row>
    <row r="78" spans="1:7" ht="13">
      <c r="E78" s="490" t="s">
        <v>279</v>
      </c>
      <c r="F78" s="110" t="s">
        <v>279</v>
      </c>
      <c r="G78" s="14"/>
    </row>
    <row r="79" spans="1:7" ht="13">
      <c r="C79" s="490" t="s">
        <v>8</v>
      </c>
      <c r="E79" s="490" t="s">
        <v>8</v>
      </c>
      <c r="F79" s="110" t="s">
        <v>8</v>
      </c>
      <c r="G79" s="14"/>
    </row>
    <row r="80" spans="1:7" ht="13">
      <c r="A80" s="51" t="s">
        <v>329</v>
      </c>
      <c r="C80" s="3" t="s">
        <v>224</v>
      </c>
      <c r="E80" s="3" t="s">
        <v>276</v>
      </c>
      <c r="F80" s="123" t="s">
        <v>276</v>
      </c>
      <c r="G80" s="123" t="s">
        <v>179</v>
      </c>
    </row>
    <row r="81" spans="1:8" ht="13">
      <c r="A81" s="490">
        <f>A71+1</f>
        <v>25</v>
      </c>
      <c r="C81" t="s">
        <v>225</v>
      </c>
      <c r="E81" s="7">
        <f>(E68/1000000)*(F54*$G$17)</f>
        <v>707960.16538604675</v>
      </c>
      <c r="F81" s="63">
        <f>E81*(1-$G$16)</f>
        <v>509847.42454507697</v>
      </c>
      <c r="G81" s="466" t="s">
        <v>212</v>
      </c>
    </row>
    <row r="82" spans="1:8" ht="13">
      <c r="A82" s="490">
        <f t="shared" ref="A82:A86" si="1">A81+1</f>
        <v>26</v>
      </c>
      <c r="C82" t="s">
        <v>226</v>
      </c>
      <c r="E82" s="7">
        <f>(E69/1000000)*(F55*$G$17)</f>
        <v>21656885.232547756</v>
      </c>
      <c r="F82" s="63">
        <f>E82*(1-$G$16)</f>
        <v>15596509.096612522</v>
      </c>
      <c r="G82" s="466" t="s">
        <v>212</v>
      </c>
    </row>
    <row r="83" spans="1:8" ht="13">
      <c r="A83" s="490">
        <f t="shared" si="1"/>
        <v>27</v>
      </c>
      <c r="C83" s="467" t="s">
        <v>2156</v>
      </c>
      <c r="E83" s="7">
        <f>(E70/1000000)*(F56*$G$17)</f>
        <v>4348387.6125116311</v>
      </c>
      <c r="F83" s="63">
        <f>E83*(1-$G$16)</f>
        <v>3131552.2165768263</v>
      </c>
      <c r="G83" s="466" t="s">
        <v>212</v>
      </c>
    </row>
    <row r="84" spans="1:8" ht="13">
      <c r="A84" s="490">
        <f t="shared" si="1"/>
        <v>28</v>
      </c>
      <c r="C84" s="115"/>
      <c r="E84" s="7"/>
      <c r="F84" s="63"/>
      <c r="G84" s="466" t="s">
        <v>212</v>
      </c>
    </row>
    <row r="85" spans="1:8" ht="13">
      <c r="A85" s="490">
        <f t="shared" si="1"/>
        <v>29</v>
      </c>
      <c r="C85" s="491" t="s">
        <v>504</v>
      </c>
      <c r="E85" s="7"/>
      <c r="F85" s="63"/>
      <c r="G85" s="14"/>
    </row>
    <row r="86" spans="1:8" ht="13">
      <c r="A86" s="490">
        <f t="shared" si="1"/>
        <v>30</v>
      </c>
      <c r="E86" s="465" t="s">
        <v>4</v>
      </c>
      <c r="F86" s="63">
        <f>SUM(F81:F85)</f>
        <v>19237908.737734426</v>
      </c>
      <c r="G86" s="14"/>
    </row>
    <row r="87" spans="1:8">
      <c r="F87" s="14"/>
      <c r="G87" s="14"/>
    </row>
    <row r="88" spans="1:8" ht="13">
      <c r="C88" s="1" t="s">
        <v>1513</v>
      </c>
      <c r="F88" s="14"/>
      <c r="G88" s="14"/>
    </row>
    <row r="89" spans="1:8" ht="13">
      <c r="A89" s="51" t="s">
        <v>329</v>
      </c>
      <c r="F89" s="123" t="s">
        <v>175</v>
      </c>
      <c r="G89" s="123" t="s">
        <v>179</v>
      </c>
    </row>
    <row r="90" spans="1:8" ht="13">
      <c r="A90" s="490">
        <f>A86+1</f>
        <v>31</v>
      </c>
      <c r="E90" s="465" t="s">
        <v>1514</v>
      </c>
      <c r="F90" s="63">
        <f>'4-TUTRR'!J29</f>
        <v>6086235499.3968973</v>
      </c>
      <c r="G90" s="466" t="str">
        <f>"4-TUTRR, Line "&amp;'4-TUTRR'!A29&amp;""</f>
        <v>4-TUTRR, Line 18</v>
      </c>
      <c r="H90" s="14"/>
    </row>
    <row r="91" spans="1:8" ht="13">
      <c r="A91" s="490">
        <f t="shared" ref="A91:A94" si="2">A90+1</f>
        <v>32</v>
      </c>
      <c r="E91" s="465" t="s">
        <v>1515</v>
      </c>
      <c r="F91" s="111">
        <f>'4-TUTRR'!J24</f>
        <v>601481319.8292309</v>
      </c>
      <c r="G91" s="466" t="str">
        <f>"4-TUTRR, Line "&amp;'4-TUTRR'!A24&amp;""</f>
        <v>4-TUTRR, Line 14</v>
      </c>
      <c r="H91" s="14"/>
    </row>
    <row r="92" spans="1:8" ht="13">
      <c r="A92" s="490">
        <f t="shared" si="2"/>
        <v>33</v>
      </c>
      <c r="E92" s="465" t="s">
        <v>1516</v>
      </c>
      <c r="F92" s="63">
        <f>F90-F91</f>
        <v>5484754179.5676661</v>
      </c>
      <c r="G92" s="113" t="str">
        <f>"Line "&amp;A90&amp;" - Line "&amp;A91&amp;""</f>
        <v>Line 31 - Line 32</v>
      </c>
      <c r="H92" s="14"/>
    </row>
    <row r="93" spans="1:8" ht="13">
      <c r="A93" s="490">
        <f t="shared" si="2"/>
        <v>34</v>
      </c>
      <c r="E93" s="465" t="s">
        <v>1517</v>
      </c>
      <c r="F93" s="67">
        <f>'1-BaseTRR'!K82</f>
        <v>0.47499999999999998</v>
      </c>
      <c r="G93" s="466" t="str">
        <f>"1-BaseTRR, Line "&amp;'1-BaseTRR'!A82&amp;""</f>
        <v>1-BaseTRR, Line 47</v>
      </c>
      <c r="H93" s="14"/>
    </row>
    <row r="94" spans="1:8" ht="13">
      <c r="A94" s="490">
        <f t="shared" si="2"/>
        <v>35</v>
      </c>
      <c r="E94" s="465" t="s">
        <v>1518</v>
      </c>
      <c r="F94" s="7">
        <f>F92*F93</f>
        <v>2605258235.294641</v>
      </c>
      <c r="G94" s="113" t="str">
        <f>"Line "&amp;A92&amp;" * Line "&amp;A93&amp;""</f>
        <v>Line 33 * Line 34</v>
      </c>
      <c r="H94" s="14"/>
    </row>
    <row r="96" spans="1:8" ht="13">
      <c r="C96" s="1" t="s">
        <v>1519</v>
      </c>
    </row>
    <row r="97" spans="1:9" ht="13">
      <c r="A97" s="51" t="s">
        <v>329</v>
      </c>
    </row>
    <row r="98" spans="1:9" ht="13">
      <c r="A98" s="490">
        <f>A94+1</f>
        <v>36</v>
      </c>
      <c r="E98" s="465" t="s">
        <v>1520</v>
      </c>
      <c r="F98" s="42">
        <f>F86/F94</f>
        <v>7.3842617507583544E-3</v>
      </c>
      <c r="G98" s="113" t="str">
        <f>"Line "&amp;A86&amp;" / Line "&amp;A94&amp;""</f>
        <v>Line 30 / Line 35</v>
      </c>
      <c r="H98" s="14"/>
    </row>
    <row r="99" spans="1:9" ht="13">
      <c r="A99" s="490">
        <f t="shared" ref="A99:A101" si="3">A98+1</f>
        <v>37</v>
      </c>
      <c r="E99" s="465" t="s">
        <v>1521</v>
      </c>
      <c r="G99" s="14"/>
      <c r="H99" s="14"/>
    </row>
    <row r="100" spans="1:9" ht="13">
      <c r="A100" s="490">
        <f t="shared" si="3"/>
        <v>38</v>
      </c>
      <c r="E100" s="465" t="s">
        <v>1522</v>
      </c>
      <c r="F100" s="492">
        <f>'1-BaseTRR'!K87</f>
        <v>0.10299999999999999</v>
      </c>
      <c r="G100" s="466" t="str">
        <f>"1-BaseTRR, Line "&amp;'1-BaseTRR'!A87&amp;""</f>
        <v>1-BaseTRR, Line 50</v>
      </c>
      <c r="H100" s="14"/>
      <c r="I100" s="14"/>
    </row>
    <row r="101" spans="1:9" ht="13">
      <c r="A101" s="490">
        <f t="shared" si="3"/>
        <v>39</v>
      </c>
      <c r="E101" s="465" t="s">
        <v>1523</v>
      </c>
      <c r="F101" s="42">
        <f>F98+F100</f>
        <v>0.11038426175075836</v>
      </c>
      <c r="G101" s="113" t="str">
        <f>"Line "&amp;A98&amp;" + Line "&amp;A100&amp;""</f>
        <v>Line 36 + Line 38</v>
      </c>
      <c r="H101" s="14"/>
      <c r="I101" s="14"/>
    </row>
    <row r="102" spans="1:9">
      <c r="G102" s="14"/>
      <c r="H102" s="14"/>
      <c r="I102" s="14"/>
    </row>
    <row r="103" spans="1:9" ht="13">
      <c r="B103" s="1" t="s">
        <v>377</v>
      </c>
    </row>
    <row r="104" spans="1:9">
      <c r="B104" s="467" t="s">
        <v>526</v>
      </c>
    </row>
    <row r="105" spans="1:9">
      <c r="B105" s="467" t="s">
        <v>527</v>
      </c>
    </row>
    <row r="107" spans="1:9" ht="13">
      <c r="B107" s="1" t="s">
        <v>230</v>
      </c>
    </row>
    <row r="108" spans="1:9">
      <c r="B108" s="469" t="str">
        <f>"1) Column 1: The True Up Incentive Adder for each Incentive Project equals the IREF on Line "&amp;A17&amp;","</f>
        <v>1) Column 1: The True Up Incentive Adder for each Incentive Project equals the IREF on Line 3,</v>
      </c>
    </row>
    <row r="109" spans="1:9">
      <c r="B109" s="469" t="str">
        <f>"times the applicable Multiplicative Factor on Lines "&amp;A54&amp;" to "&amp;A57&amp;", times the million $ of"</f>
        <v>times the applicable Multiplicative Factor on Lines 15 to 18, times the million $ of</v>
      </c>
    </row>
    <row r="110" spans="1:9">
      <c r="B110" s="469" t="str">
        <f>"TIP Net Plant In Service on Lines "&amp;A68&amp;" to "&amp;A71&amp;"."</f>
        <v>TIP Net Plant In Service on Lines 21 to 24.</v>
      </c>
    </row>
    <row r="111" spans="1:9">
      <c r="B111" s="469" t="s">
        <v>1524</v>
      </c>
    </row>
    <row r="112" spans="1:9">
      <c r="B112" s="469"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&amp;RTO2021 Draft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80" zoomScaleNormal="80" zoomScalePageLayoutView="70" workbookViewId="0"/>
  </sheetViews>
  <sheetFormatPr defaultColWidth="9.453125" defaultRowHeight="12.5"/>
  <cols>
    <col min="1" max="1" width="4.54296875" style="621" customWidth="1"/>
    <col min="2" max="2" width="6" style="621" customWidth="1"/>
    <col min="3" max="3" width="15.54296875" style="621" customWidth="1"/>
    <col min="4" max="4" width="9.453125" style="621" customWidth="1"/>
    <col min="5" max="6" width="14.54296875" style="621" customWidth="1"/>
    <col min="7" max="7" width="16" style="621" bestFit="1" customWidth="1"/>
    <col min="8" max="8" width="18.453125" style="621" customWidth="1"/>
    <col min="9" max="10" width="15.54296875" style="621" customWidth="1"/>
    <col min="11" max="11" width="16.54296875" style="621" customWidth="1"/>
    <col min="12" max="13" width="15.54296875" style="621" customWidth="1"/>
    <col min="14" max="14" width="17" style="621" customWidth="1"/>
    <col min="15" max="16" width="15.54296875" style="621" customWidth="1"/>
    <col min="17" max="17" width="2.54296875" style="621" customWidth="1"/>
    <col min="18" max="21" width="18.54296875" style="621" customWidth="1"/>
    <col min="22" max="22" width="15.54296875" style="621" customWidth="1"/>
    <col min="23" max="23" width="20.54296875" style="621" bestFit="1" customWidth="1"/>
    <col min="24" max="40" width="15.54296875" style="621" customWidth="1"/>
    <col min="41" max="16384" width="9.453125" style="621"/>
  </cols>
  <sheetData>
    <row r="1" spans="1:40" ht="13">
      <c r="A1" s="584" t="s">
        <v>1423</v>
      </c>
    </row>
    <row r="2" spans="1:40">
      <c r="F2" s="622" t="s">
        <v>348</v>
      </c>
      <c r="G2" s="622"/>
    </row>
    <row r="3" spans="1:40">
      <c r="B3" s="585" t="s">
        <v>1424</v>
      </c>
    </row>
    <row r="4" spans="1:40">
      <c r="B4" s="585" t="s">
        <v>1943</v>
      </c>
    </row>
    <row r="5" spans="1:40">
      <c r="B5" s="585" t="s">
        <v>1944</v>
      </c>
    </row>
    <row r="6" spans="1:40">
      <c r="B6" s="585"/>
    </row>
    <row r="7" spans="1:40" ht="13">
      <c r="B7" s="584" t="s">
        <v>1945</v>
      </c>
      <c r="H7" s="585"/>
      <c r="I7" s="585"/>
    </row>
    <row r="8" spans="1:40" ht="13">
      <c r="B8" s="585"/>
      <c r="E8" s="623" t="s">
        <v>358</v>
      </c>
      <c r="F8" s="623" t="s">
        <v>342</v>
      </c>
      <c r="G8" s="623" t="s">
        <v>343</v>
      </c>
      <c r="H8" s="623" t="s">
        <v>344</v>
      </c>
      <c r="I8" s="623" t="s">
        <v>345</v>
      </c>
      <c r="J8" s="623" t="s">
        <v>346</v>
      </c>
      <c r="K8" s="623" t="s">
        <v>347</v>
      </c>
      <c r="L8" s="623" t="s">
        <v>534</v>
      </c>
      <c r="M8" s="623" t="s">
        <v>951</v>
      </c>
      <c r="N8" s="623" t="s">
        <v>963</v>
      </c>
      <c r="O8" s="623" t="s">
        <v>966</v>
      </c>
      <c r="P8" s="623" t="s">
        <v>984</v>
      </c>
      <c r="T8" s="623"/>
      <c r="U8" s="623"/>
      <c r="X8" s="624"/>
      <c r="Y8" s="624"/>
      <c r="Z8" s="624"/>
      <c r="AA8" s="624"/>
      <c r="AB8" s="624"/>
      <c r="AC8" s="624"/>
      <c r="AD8" s="624"/>
      <c r="AE8" s="624"/>
      <c r="AF8" s="624"/>
      <c r="AG8" s="624"/>
      <c r="AH8" s="624"/>
      <c r="AI8" s="624"/>
      <c r="AJ8" s="624"/>
      <c r="AK8" s="624"/>
      <c r="AL8" s="624"/>
      <c r="AM8" s="624"/>
      <c r="AN8" s="624"/>
    </row>
    <row r="9" spans="1:40">
      <c r="B9" s="585"/>
      <c r="E9" s="1159" t="s">
        <v>211</v>
      </c>
      <c r="F9" s="1159" t="s">
        <v>211</v>
      </c>
      <c r="G9" s="1159" t="s">
        <v>211</v>
      </c>
      <c r="H9" s="1159" t="s">
        <v>211</v>
      </c>
      <c r="I9" s="1159" t="s">
        <v>211</v>
      </c>
      <c r="J9" s="1159" t="s">
        <v>211</v>
      </c>
      <c r="K9" s="1159" t="s">
        <v>211</v>
      </c>
      <c r="L9" s="1159" t="s">
        <v>211</v>
      </c>
      <c r="M9" s="1159" t="s">
        <v>211</v>
      </c>
      <c r="N9" s="1159" t="s">
        <v>211</v>
      </c>
      <c r="O9" s="1159" t="s">
        <v>211</v>
      </c>
      <c r="P9" s="1159" t="s">
        <v>211</v>
      </c>
      <c r="Q9" s="626"/>
    </row>
    <row r="10" spans="1:40" ht="13">
      <c r="C10" s="627" t="s">
        <v>198</v>
      </c>
      <c r="E10" s="627" t="s">
        <v>1916</v>
      </c>
      <c r="F10" s="627"/>
      <c r="G10" s="627"/>
      <c r="H10" s="628"/>
      <c r="I10" s="628" t="s">
        <v>1901</v>
      </c>
      <c r="J10" s="628"/>
      <c r="K10" s="628"/>
      <c r="L10" s="628"/>
      <c r="M10" s="628"/>
      <c r="O10" s="627" t="s">
        <v>1916</v>
      </c>
      <c r="P10" s="627" t="s">
        <v>1946</v>
      </c>
      <c r="T10" s="628"/>
      <c r="U10" s="628"/>
      <c r="X10" s="628"/>
      <c r="Y10" s="628"/>
      <c r="Z10" s="628"/>
      <c r="AA10" s="628"/>
      <c r="AB10" s="628"/>
      <c r="AC10" s="628"/>
      <c r="AD10" s="628"/>
      <c r="AE10" s="628"/>
      <c r="AF10" s="628"/>
      <c r="AG10" s="628"/>
      <c r="AH10" s="628"/>
      <c r="AI10" s="628"/>
      <c r="AJ10" s="628"/>
      <c r="AK10" s="628"/>
      <c r="AL10" s="628"/>
      <c r="AM10" s="628"/>
      <c r="AN10" s="628"/>
    </row>
    <row r="11" spans="1:40" ht="13">
      <c r="B11" s="584"/>
      <c r="C11" s="627" t="s">
        <v>199</v>
      </c>
      <c r="E11" s="627" t="s">
        <v>196</v>
      </c>
      <c r="F11" s="627" t="s">
        <v>1918</v>
      </c>
      <c r="G11" s="628" t="s">
        <v>1919</v>
      </c>
      <c r="H11" s="628" t="s">
        <v>1902</v>
      </c>
      <c r="I11" s="628" t="s">
        <v>1947</v>
      </c>
      <c r="J11" s="628"/>
      <c r="K11" s="628" t="s">
        <v>296</v>
      </c>
      <c r="L11" s="628" t="s">
        <v>1082</v>
      </c>
      <c r="M11" s="628" t="s">
        <v>296</v>
      </c>
      <c r="O11" s="628" t="s">
        <v>1604</v>
      </c>
      <c r="P11" s="628" t="s">
        <v>1604</v>
      </c>
      <c r="T11" s="628"/>
      <c r="U11" s="628"/>
      <c r="X11" s="628"/>
      <c r="Y11" s="628"/>
      <c r="Z11" s="628"/>
      <c r="AA11" s="628"/>
      <c r="AB11" s="628"/>
      <c r="AC11" s="628"/>
      <c r="AD11" s="628"/>
      <c r="AE11" s="628"/>
      <c r="AF11" s="628"/>
      <c r="AG11" s="628"/>
      <c r="AH11" s="628"/>
      <c r="AI11" s="628"/>
      <c r="AJ11" s="628"/>
      <c r="AK11" s="628"/>
      <c r="AL11" s="628"/>
      <c r="AM11" s="628"/>
      <c r="AN11" s="628"/>
    </row>
    <row r="12" spans="1:40" ht="13">
      <c r="A12" s="629" t="s">
        <v>329</v>
      </c>
      <c r="C12" s="611" t="s">
        <v>192</v>
      </c>
      <c r="D12" s="611" t="s">
        <v>193</v>
      </c>
      <c r="E12" s="624" t="s">
        <v>1922</v>
      </c>
      <c r="F12" s="624" t="s">
        <v>1923</v>
      </c>
      <c r="G12" s="630" t="s">
        <v>1924</v>
      </c>
      <c r="H12" s="630" t="s">
        <v>1016</v>
      </c>
      <c r="I12" s="630" t="s">
        <v>1002</v>
      </c>
      <c r="J12" s="630" t="s">
        <v>1901</v>
      </c>
      <c r="K12" s="630" t="s">
        <v>457</v>
      </c>
      <c r="L12" s="630" t="s">
        <v>1907</v>
      </c>
      <c r="M12" s="630" t="s">
        <v>1314</v>
      </c>
      <c r="N12" s="630" t="s">
        <v>994</v>
      </c>
      <c r="O12" s="630" t="s">
        <v>1002</v>
      </c>
      <c r="P12" s="630" t="s">
        <v>1002</v>
      </c>
      <c r="T12" s="630"/>
      <c r="U12" s="630"/>
      <c r="V12" s="630"/>
      <c r="W12" s="630"/>
      <c r="X12" s="630"/>
      <c r="Y12" s="630"/>
      <c r="Z12" s="630"/>
      <c r="AA12" s="630"/>
      <c r="AB12" s="630"/>
      <c r="AC12" s="630"/>
      <c r="AD12" s="630"/>
      <c r="AE12" s="630"/>
      <c r="AF12" s="630"/>
      <c r="AG12" s="630"/>
      <c r="AH12" s="630"/>
      <c r="AI12" s="630"/>
      <c r="AJ12" s="630"/>
      <c r="AK12" s="630"/>
      <c r="AL12" s="630"/>
      <c r="AM12" s="630"/>
      <c r="AN12" s="630"/>
    </row>
    <row r="13" spans="1:40" ht="13">
      <c r="A13" s="627">
        <v>1</v>
      </c>
      <c r="C13" s="621" t="str">
        <f>C45</f>
        <v>January</v>
      </c>
      <c r="D13" s="844">
        <v>2020</v>
      </c>
      <c r="E13" s="582">
        <f t="shared" ref="E13:P13" si="0">E45+E76</f>
        <v>8174829.5742745548</v>
      </c>
      <c r="F13" s="582">
        <f t="shared" si="0"/>
        <v>626093.30416666798</v>
      </c>
      <c r="G13" s="582">
        <f t="shared" si="0"/>
        <v>566155.22025809146</v>
      </c>
      <c r="H13" s="582">
        <f t="shared" si="0"/>
        <v>506949.91584447824</v>
      </c>
      <c r="I13" s="582">
        <f t="shared" si="0"/>
        <v>5829924.0322114993</v>
      </c>
      <c r="J13" s="582">
        <f t="shared" si="0"/>
        <v>174897.72096634496</v>
      </c>
      <c r="K13" s="582">
        <f t="shared" si="0"/>
        <v>8408932.5996545125</v>
      </c>
      <c r="L13" s="582">
        <f t="shared" si="0"/>
        <v>0</v>
      </c>
      <c r="M13" s="582">
        <f>M45+M76</f>
        <v>0</v>
      </c>
      <c r="N13" s="582">
        <f t="shared" ref="N13:N36" si="1">N45+N76</f>
        <v>8408932.5996545125</v>
      </c>
      <c r="O13" s="582">
        <f t="shared" si="0"/>
        <v>0</v>
      </c>
      <c r="P13" s="582">
        <f t="shared" si="0"/>
        <v>0</v>
      </c>
      <c r="T13" s="631"/>
      <c r="U13" s="631"/>
      <c r="V13" s="632"/>
      <c r="W13" s="631"/>
      <c r="X13" s="633"/>
      <c r="Y13" s="479"/>
      <c r="Z13" s="631"/>
      <c r="AA13" s="631"/>
      <c r="AB13" s="631"/>
      <c r="AC13" s="631"/>
      <c r="AD13" s="631"/>
      <c r="AE13" s="631"/>
      <c r="AF13" s="631"/>
      <c r="AG13" s="631"/>
      <c r="AH13" s="631"/>
      <c r="AI13" s="631"/>
      <c r="AJ13" s="631"/>
      <c r="AK13" s="631"/>
      <c r="AL13" s="631"/>
      <c r="AM13" s="631"/>
      <c r="AN13" s="631"/>
    </row>
    <row r="14" spans="1:40" ht="13">
      <c r="A14" s="627">
        <f>A13+1</f>
        <v>2</v>
      </c>
      <c r="C14" s="621" t="str">
        <f t="shared" ref="C14:C29" si="2">C46</f>
        <v>February</v>
      </c>
      <c r="D14" s="844">
        <v>2020</v>
      </c>
      <c r="E14" s="582">
        <f t="shared" ref="E14" si="3">E46+E77</f>
        <v>10369359.188474549</v>
      </c>
      <c r="F14" s="582">
        <f t="shared" ref="F14:P14" si="4">F46+F77</f>
        <v>2570581.6741666654</v>
      </c>
      <c r="G14" s="582">
        <f t="shared" si="4"/>
        <v>584908.31357309117</v>
      </c>
      <c r="H14" s="582">
        <f t="shared" si="4"/>
        <v>541464.63984447788</v>
      </c>
      <c r="I14" s="582">
        <f t="shared" si="4"/>
        <v>6226843.3582114959</v>
      </c>
      <c r="J14" s="582">
        <f t="shared" si="4"/>
        <v>186805.30074634487</v>
      </c>
      <c r="K14" s="582">
        <f t="shared" si="4"/>
        <v>19008540.762604021</v>
      </c>
      <c r="L14" s="582">
        <f t="shared" si="4"/>
        <v>17837.518792624596</v>
      </c>
      <c r="M14" s="582">
        <f t="shared" si="4"/>
        <v>17837.518792624596</v>
      </c>
      <c r="N14" s="582">
        <f t="shared" si="1"/>
        <v>18990703.243811395</v>
      </c>
      <c r="O14" s="582">
        <f t="shared" si="4"/>
        <v>0</v>
      </c>
      <c r="P14" s="582">
        <f t="shared" si="4"/>
        <v>0</v>
      </c>
      <c r="T14" s="631"/>
      <c r="U14" s="631"/>
      <c r="V14" s="632"/>
      <c r="W14" s="631"/>
      <c r="X14" s="633"/>
      <c r="Y14" s="479"/>
      <c r="Z14" s="631"/>
      <c r="AA14" s="631"/>
      <c r="AB14" s="631"/>
      <c r="AC14" s="631"/>
      <c r="AD14" s="631"/>
      <c r="AE14" s="631"/>
      <c r="AF14" s="631"/>
      <c r="AG14" s="631"/>
      <c r="AH14" s="631"/>
      <c r="AI14" s="631"/>
      <c r="AJ14" s="631"/>
      <c r="AK14" s="631"/>
      <c r="AL14" s="631"/>
      <c r="AM14" s="631"/>
      <c r="AN14" s="631"/>
    </row>
    <row r="15" spans="1:40" ht="13">
      <c r="A15" s="627">
        <f t="shared" ref="A15:A37" si="5">A14+1</f>
        <v>3</v>
      </c>
      <c r="C15" s="621" t="str">
        <f t="shared" si="2"/>
        <v>March</v>
      </c>
      <c r="D15" s="844">
        <v>2020</v>
      </c>
      <c r="E15" s="582">
        <f t="shared" ref="E15" si="6">E47+E78</f>
        <v>7966306.4694745559</v>
      </c>
      <c r="F15" s="582">
        <f t="shared" ref="F15:P15" si="7">F47+F78</f>
        <v>728519.90416666807</v>
      </c>
      <c r="G15" s="582">
        <f t="shared" si="7"/>
        <v>542833.99239809159</v>
      </c>
      <c r="H15" s="582">
        <f t="shared" si="7"/>
        <v>537750.72984447842</v>
      </c>
      <c r="I15" s="582">
        <f t="shared" si="7"/>
        <v>6184133.3932115007</v>
      </c>
      <c r="J15" s="582">
        <f t="shared" si="7"/>
        <v>185524.00179634502</v>
      </c>
      <c r="K15" s="582">
        <f t="shared" si="7"/>
        <v>27165454.496428534</v>
      </c>
      <c r="L15" s="582">
        <f t="shared" si="7"/>
        <v>40322.026494450758</v>
      </c>
      <c r="M15" s="582">
        <f t="shared" si="7"/>
        <v>58159.545287075351</v>
      </c>
      <c r="N15" s="582">
        <f t="shared" si="1"/>
        <v>27107294.951141458</v>
      </c>
      <c r="O15" s="582">
        <f t="shared" si="7"/>
        <v>0</v>
      </c>
      <c r="P15" s="582">
        <f t="shared" si="7"/>
        <v>0</v>
      </c>
      <c r="T15" s="631"/>
      <c r="U15" s="631"/>
      <c r="V15" s="632"/>
      <c r="W15" s="631"/>
      <c r="X15" s="633"/>
      <c r="Y15" s="479"/>
      <c r="Z15" s="631"/>
      <c r="AA15" s="631"/>
      <c r="AB15" s="631"/>
      <c r="AC15" s="631"/>
      <c r="AD15" s="631"/>
      <c r="AE15" s="631"/>
      <c r="AF15" s="631"/>
      <c r="AG15" s="631"/>
      <c r="AH15" s="631"/>
      <c r="AI15" s="631"/>
      <c r="AJ15" s="631"/>
      <c r="AK15" s="631"/>
      <c r="AL15" s="631"/>
      <c r="AM15" s="631"/>
      <c r="AN15" s="631"/>
    </row>
    <row r="16" spans="1:40" ht="13">
      <c r="A16" s="627">
        <f t="shared" si="5"/>
        <v>4</v>
      </c>
      <c r="C16" s="621" t="str">
        <f t="shared" si="2"/>
        <v>April</v>
      </c>
      <c r="D16" s="844">
        <v>2020</v>
      </c>
      <c r="E16" s="582">
        <f t="shared" ref="E16" si="8">E48+E79</f>
        <v>6738191.0774745541</v>
      </c>
      <c r="F16" s="582">
        <f t="shared" ref="F16:P16" si="9">F48+F79</f>
        <v>626093.30416666798</v>
      </c>
      <c r="G16" s="582">
        <f t="shared" si="9"/>
        <v>458407.33299809147</v>
      </c>
      <c r="H16" s="582">
        <f t="shared" si="9"/>
        <v>506949.91584447824</v>
      </c>
      <c r="I16" s="582">
        <f t="shared" si="9"/>
        <v>5829924.0322114993</v>
      </c>
      <c r="J16" s="582">
        <f t="shared" si="9"/>
        <v>174897.72096634496</v>
      </c>
      <c r="K16" s="582">
        <f t="shared" si="9"/>
        <v>34030000.712023042</v>
      </c>
      <c r="L16" s="582">
        <f t="shared" si="9"/>
        <v>57624.948154554244</v>
      </c>
      <c r="M16" s="582">
        <f t="shared" si="9"/>
        <v>115784.4934416296</v>
      </c>
      <c r="N16" s="582">
        <f t="shared" si="1"/>
        <v>33914216.218581416</v>
      </c>
      <c r="O16" s="582">
        <f t="shared" si="9"/>
        <v>0</v>
      </c>
      <c r="P16" s="582">
        <f t="shared" si="9"/>
        <v>0</v>
      </c>
      <c r="T16" s="631"/>
      <c r="U16" s="631"/>
      <c r="V16" s="632"/>
      <c r="W16" s="631"/>
      <c r="X16" s="633"/>
      <c r="Y16" s="479"/>
      <c r="Z16" s="631"/>
      <c r="AA16" s="631"/>
      <c r="AB16" s="631"/>
      <c r="AC16" s="631"/>
      <c r="AD16" s="631"/>
      <c r="AE16" s="631"/>
      <c r="AF16" s="631"/>
      <c r="AG16" s="631"/>
      <c r="AH16" s="631"/>
      <c r="AI16" s="631"/>
      <c r="AJ16" s="631"/>
      <c r="AK16" s="631"/>
      <c r="AL16" s="631"/>
      <c r="AM16" s="631"/>
      <c r="AN16" s="631"/>
    </row>
    <row r="17" spans="1:40" ht="13">
      <c r="A17" s="627">
        <f t="shared" si="5"/>
        <v>5</v>
      </c>
      <c r="C17" s="621" t="str">
        <f t="shared" si="2"/>
        <v>May</v>
      </c>
      <c r="D17" s="844">
        <v>2020</v>
      </c>
      <c r="E17" s="582">
        <f t="shared" ref="E17" si="10">E49+E80</f>
        <v>30121785.137474574</v>
      </c>
      <c r="F17" s="582">
        <f t="shared" ref="F17:P17" si="11">F49+F80</f>
        <v>21123987.364166688</v>
      </c>
      <c r="G17" s="582">
        <f t="shared" si="11"/>
        <v>674834.83299809159</v>
      </c>
      <c r="H17" s="582">
        <f t="shared" si="11"/>
        <v>761587.31584447832</v>
      </c>
      <c r="I17" s="582">
        <f t="shared" si="11"/>
        <v>8758254.1322115008</v>
      </c>
      <c r="J17" s="582">
        <f t="shared" si="11"/>
        <v>262747.62396634504</v>
      </c>
      <c r="K17" s="582">
        <f t="shared" si="11"/>
        <v>64327780.990617573</v>
      </c>
      <c r="L17" s="582">
        <f t="shared" si="11"/>
        <v>72186.424379079806</v>
      </c>
      <c r="M17" s="582">
        <f t="shared" si="11"/>
        <v>187970.91782070941</v>
      </c>
      <c r="N17" s="582">
        <f t="shared" si="1"/>
        <v>64139810.072796866</v>
      </c>
      <c r="O17" s="582">
        <f t="shared" si="11"/>
        <v>0</v>
      </c>
      <c r="P17" s="582">
        <f t="shared" si="11"/>
        <v>0</v>
      </c>
      <c r="T17" s="631"/>
      <c r="U17" s="631"/>
      <c r="V17" s="632"/>
      <c r="W17" s="631"/>
      <c r="X17" s="633"/>
      <c r="Y17" s="479"/>
      <c r="Z17" s="631"/>
      <c r="AA17" s="631"/>
      <c r="AB17" s="631"/>
      <c r="AC17" s="631"/>
      <c r="AD17" s="631"/>
      <c r="AE17" s="631"/>
      <c r="AF17" s="631"/>
      <c r="AG17" s="631"/>
      <c r="AH17" s="631"/>
      <c r="AI17" s="631"/>
      <c r="AJ17" s="631"/>
      <c r="AK17" s="631"/>
      <c r="AL17" s="631"/>
      <c r="AM17" s="631"/>
      <c r="AN17" s="631"/>
    </row>
    <row r="18" spans="1:40" ht="13">
      <c r="A18" s="627">
        <f t="shared" si="5"/>
        <v>6</v>
      </c>
      <c r="C18" s="621" t="str">
        <f t="shared" si="2"/>
        <v xml:space="preserve">June </v>
      </c>
      <c r="D18" s="844">
        <v>2020</v>
      </c>
      <c r="E18" s="582">
        <f t="shared" ref="E18" si="12">E50+E81</f>
        <v>46615430.003274567</v>
      </c>
      <c r="F18" s="582">
        <f t="shared" ref="F18:P18" si="13">F50+F81</f>
        <v>23312460.954166681</v>
      </c>
      <c r="G18" s="582">
        <f t="shared" si="13"/>
        <v>1747722.6786830917</v>
      </c>
      <c r="H18" s="582">
        <f t="shared" si="13"/>
        <v>1976336.9718444785</v>
      </c>
      <c r="I18" s="582">
        <f t="shared" si="13"/>
        <v>22727875.176211502</v>
      </c>
      <c r="J18" s="582">
        <f t="shared" si="13"/>
        <v>681836.25528634503</v>
      </c>
      <c r="K18" s="582">
        <f t="shared" si="13"/>
        <v>111396432.95601709</v>
      </c>
      <c r="L18" s="582">
        <f t="shared" si="13"/>
        <v>136455.84486610396</v>
      </c>
      <c r="M18" s="582">
        <f t="shared" si="13"/>
        <v>324426.76268681337</v>
      </c>
      <c r="N18" s="582">
        <f t="shared" si="1"/>
        <v>111072006.19333029</v>
      </c>
      <c r="O18" s="582">
        <f t="shared" si="13"/>
        <v>434796.99999999994</v>
      </c>
      <c r="P18" s="582">
        <f t="shared" si="13"/>
        <v>442014.63019999996</v>
      </c>
      <c r="T18" s="631"/>
      <c r="U18" s="631"/>
      <c r="V18" s="632"/>
      <c r="W18" s="631"/>
      <c r="X18" s="633"/>
      <c r="Y18" s="479"/>
      <c r="Z18" s="631"/>
      <c r="AA18" s="631"/>
      <c r="AB18" s="631"/>
      <c r="AC18" s="631"/>
      <c r="AD18" s="631"/>
      <c r="AE18" s="631"/>
      <c r="AF18" s="631"/>
      <c r="AG18" s="631"/>
      <c r="AH18" s="631"/>
      <c r="AI18" s="631"/>
      <c r="AJ18" s="631"/>
      <c r="AK18" s="631"/>
      <c r="AL18" s="631"/>
      <c r="AM18" s="631"/>
      <c r="AN18" s="631"/>
    </row>
    <row r="19" spans="1:40" ht="13">
      <c r="A19" s="627">
        <f t="shared" si="5"/>
        <v>7</v>
      </c>
      <c r="C19" s="621" t="str">
        <f t="shared" si="2"/>
        <v>July</v>
      </c>
      <c r="D19" s="844">
        <v>2020</v>
      </c>
      <c r="E19" s="582">
        <f t="shared" ref="E19" si="14">E51+E82</f>
        <v>8608748.6074745655</v>
      </c>
      <c r="F19" s="582">
        <f t="shared" ref="F19:P19" si="15">F51+F82</f>
        <v>1997320.8541666679</v>
      </c>
      <c r="G19" s="582">
        <f t="shared" si="15"/>
        <v>495857.08149809227</v>
      </c>
      <c r="H19" s="582">
        <f t="shared" si="15"/>
        <v>566722.42274447915</v>
      </c>
      <c r="I19" s="582">
        <f t="shared" si="15"/>
        <v>6517307.8615615107</v>
      </c>
      <c r="J19" s="582">
        <f t="shared" si="15"/>
        <v>195519.23584684532</v>
      </c>
      <c r="K19" s="582">
        <f t="shared" si="15"/>
        <v>120129835.45809212</v>
      </c>
      <c r="L19" s="582">
        <f t="shared" si="15"/>
        <v>236300.61755590001</v>
      </c>
      <c r="M19" s="582">
        <f t="shared" si="15"/>
        <v>560727.38024271338</v>
      </c>
      <c r="N19" s="582">
        <f t="shared" si="1"/>
        <v>119569108.07784942</v>
      </c>
      <c r="O19" s="582">
        <f t="shared" si="15"/>
        <v>434796.99999999994</v>
      </c>
      <c r="P19" s="582">
        <f t="shared" si="15"/>
        <v>442014.63019999996</v>
      </c>
      <c r="T19" s="631"/>
      <c r="U19" s="631"/>
      <c r="V19" s="632"/>
      <c r="W19" s="631"/>
      <c r="X19" s="633"/>
      <c r="Y19" s="479"/>
      <c r="Z19" s="631"/>
      <c r="AA19" s="631"/>
      <c r="AB19" s="631"/>
      <c r="AC19" s="631"/>
      <c r="AD19" s="631"/>
      <c r="AE19" s="631"/>
      <c r="AF19" s="631"/>
      <c r="AG19" s="631"/>
      <c r="AH19" s="631"/>
      <c r="AI19" s="631"/>
      <c r="AJ19" s="631"/>
      <c r="AK19" s="631"/>
      <c r="AL19" s="631"/>
      <c r="AM19" s="631"/>
      <c r="AN19" s="631"/>
    </row>
    <row r="20" spans="1:40" ht="13">
      <c r="A20" s="627">
        <f t="shared" si="5"/>
        <v>8</v>
      </c>
      <c r="C20" s="621" t="str">
        <f t="shared" si="2"/>
        <v>August</v>
      </c>
      <c r="D20" s="844">
        <v>2020</v>
      </c>
      <c r="E20" s="582">
        <f t="shared" ref="E20" si="16">E52+E83</f>
        <v>43125119.707474485</v>
      </c>
      <c r="F20" s="582">
        <f t="shared" ref="F20:P20" si="17">F52+F83</f>
        <v>15714170.064166641</v>
      </c>
      <c r="G20" s="582">
        <f t="shared" si="17"/>
        <v>2055821.223248088</v>
      </c>
      <c r="H20" s="582">
        <f t="shared" si="17"/>
        <v>2355481.3052844745</v>
      </c>
      <c r="I20" s="582">
        <f t="shared" si="17"/>
        <v>27088035.010771457</v>
      </c>
      <c r="J20" s="582">
        <f t="shared" si="17"/>
        <v>812641.05032314372</v>
      </c>
      <c r="K20" s="582">
        <f t="shared" si="17"/>
        <v>163767936.13385335</v>
      </c>
      <c r="L20" s="582">
        <f t="shared" si="17"/>
        <v>254826.42084997307</v>
      </c>
      <c r="M20" s="582">
        <f t="shared" si="17"/>
        <v>815553.80109268648</v>
      </c>
      <c r="N20" s="582">
        <f t="shared" si="1"/>
        <v>162952382.33276066</v>
      </c>
      <c r="O20" s="582">
        <f t="shared" si="17"/>
        <v>434796.99999999994</v>
      </c>
      <c r="P20" s="582">
        <f t="shared" si="17"/>
        <v>442014.63019999996</v>
      </c>
      <c r="T20" s="631"/>
      <c r="U20" s="631"/>
      <c r="V20" s="632"/>
      <c r="W20" s="631"/>
      <c r="X20" s="633"/>
      <c r="Y20" s="479"/>
      <c r="Z20" s="631"/>
      <c r="AA20" s="631"/>
      <c r="AB20" s="631"/>
      <c r="AC20" s="631"/>
      <c r="AD20" s="631"/>
      <c r="AE20" s="631"/>
      <c r="AF20" s="631"/>
      <c r="AG20" s="631"/>
      <c r="AH20" s="631"/>
      <c r="AI20" s="631"/>
      <c r="AJ20" s="631"/>
      <c r="AK20" s="631"/>
      <c r="AL20" s="631"/>
      <c r="AM20" s="631"/>
      <c r="AN20" s="631"/>
    </row>
    <row r="21" spans="1:40" ht="13">
      <c r="A21" s="627">
        <f t="shared" si="5"/>
        <v>9</v>
      </c>
      <c r="C21" s="621" t="str">
        <f t="shared" si="2"/>
        <v>September</v>
      </c>
      <c r="D21" s="844">
        <v>2020</v>
      </c>
      <c r="E21" s="582">
        <f t="shared" ref="E21" si="18">E53+E84</f>
        <v>6542491.9074745616</v>
      </c>
      <c r="F21" s="582">
        <f t="shared" ref="F21:P21" si="19">F53+F84</f>
        <v>626093.30416666798</v>
      </c>
      <c r="G21" s="582">
        <f t="shared" si="19"/>
        <v>443729.89524809201</v>
      </c>
      <c r="H21" s="582">
        <f t="shared" si="19"/>
        <v>506949.91584447894</v>
      </c>
      <c r="I21" s="582">
        <f t="shared" si="19"/>
        <v>5829924.0322115077</v>
      </c>
      <c r="J21" s="582">
        <f t="shared" si="19"/>
        <v>174897.72096634522</v>
      </c>
      <c r="K21" s="582">
        <f t="shared" si="19"/>
        <v>170422105.74169788</v>
      </c>
      <c r="L21" s="582">
        <f t="shared" si="19"/>
        <v>347394.10784871492</v>
      </c>
      <c r="M21" s="582">
        <f t="shared" si="19"/>
        <v>1162947.9089414014</v>
      </c>
      <c r="N21" s="582">
        <f t="shared" si="1"/>
        <v>169259157.83275649</v>
      </c>
      <c r="O21" s="582">
        <f t="shared" si="19"/>
        <v>434796.99999999994</v>
      </c>
      <c r="P21" s="582">
        <f t="shared" si="19"/>
        <v>442014.63019999996</v>
      </c>
      <c r="T21" s="631"/>
      <c r="U21" s="631"/>
      <c r="V21" s="632"/>
      <c r="W21" s="631"/>
      <c r="X21" s="633"/>
      <c r="Y21" s="479"/>
      <c r="Z21" s="631"/>
      <c r="AA21" s="631"/>
      <c r="AB21" s="631"/>
      <c r="AC21" s="631"/>
      <c r="AD21" s="631"/>
      <c r="AE21" s="631"/>
      <c r="AF21" s="631"/>
      <c r="AG21" s="631"/>
      <c r="AH21" s="631"/>
      <c r="AI21" s="631"/>
      <c r="AJ21" s="631"/>
      <c r="AK21" s="631"/>
      <c r="AL21" s="631"/>
      <c r="AM21" s="631"/>
      <c r="AN21" s="631"/>
    </row>
    <row r="22" spans="1:40" ht="13">
      <c r="A22" s="627">
        <f t="shared" si="5"/>
        <v>10</v>
      </c>
      <c r="C22" s="621" t="str">
        <f t="shared" si="2"/>
        <v xml:space="preserve">October </v>
      </c>
      <c r="D22" s="844">
        <v>2020</v>
      </c>
      <c r="E22" s="582">
        <f t="shared" ref="E22" si="20">E54+E85</f>
        <v>27747546.487474576</v>
      </c>
      <c r="F22" s="582">
        <f t="shared" ref="F22:P22" si="21">F54+F85</f>
        <v>17764234.884166665</v>
      </c>
      <c r="G22" s="582">
        <f t="shared" si="21"/>
        <v>748748.37024809304</v>
      </c>
      <c r="H22" s="582">
        <f t="shared" si="21"/>
        <v>529275.51584448037</v>
      </c>
      <c r="I22" s="582">
        <f t="shared" si="21"/>
        <v>6086668.4322115248</v>
      </c>
      <c r="J22" s="582">
        <f t="shared" si="21"/>
        <v>182600.05296634574</v>
      </c>
      <c r="K22" s="582">
        <f t="shared" si="21"/>
        <v>198571725.13654241</v>
      </c>
      <c r="L22" s="582">
        <f t="shared" si="21"/>
        <v>361509.32092987513</v>
      </c>
      <c r="M22" s="582">
        <f t="shared" si="21"/>
        <v>1524457.2298712765</v>
      </c>
      <c r="N22" s="582">
        <f t="shared" si="1"/>
        <v>197047267.90667114</v>
      </c>
      <c r="O22" s="582">
        <f t="shared" si="21"/>
        <v>696152.7</v>
      </c>
      <c r="P22" s="582">
        <f t="shared" si="21"/>
        <v>707708.83481999987</v>
      </c>
      <c r="T22" s="631"/>
      <c r="U22" s="631"/>
      <c r="V22" s="632"/>
      <c r="W22" s="631"/>
      <c r="X22" s="633"/>
      <c r="Y22" s="479"/>
      <c r="Z22" s="631"/>
      <c r="AA22" s="631"/>
      <c r="AB22" s="631"/>
      <c r="AC22" s="631"/>
      <c r="AD22" s="631"/>
      <c r="AE22" s="631"/>
      <c r="AF22" s="631"/>
      <c r="AG22" s="631"/>
      <c r="AH22" s="631"/>
      <c r="AI22" s="631"/>
      <c r="AJ22" s="631"/>
      <c r="AK22" s="631"/>
      <c r="AL22" s="631"/>
      <c r="AM22" s="631"/>
      <c r="AN22" s="631"/>
    </row>
    <row r="23" spans="1:40" ht="13">
      <c r="A23" s="627">
        <f t="shared" si="5"/>
        <v>11</v>
      </c>
      <c r="C23" s="621" t="str">
        <f t="shared" si="2"/>
        <v>November</v>
      </c>
      <c r="D23" s="844">
        <v>2020</v>
      </c>
      <c r="E23" s="582">
        <f t="shared" ref="E23" si="22">E55+E86</f>
        <v>14292649.657474563</v>
      </c>
      <c r="F23" s="582">
        <f t="shared" ref="F23:P23" si="23">F55+F86</f>
        <v>4396079.0541666718</v>
      </c>
      <c r="G23" s="582">
        <f t="shared" si="23"/>
        <v>742242.7952480918</v>
      </c>
      <c r="H23" s="582">
        <f t="shared" si="23"/>
        <v>826196.70784447866</v>
      </c>
      <c r="I23" s="582">
        <f t="shared" si="23"/>
        <v>9501262.140211504</v>
      </c>
      <c r="J23" s="582">
        <f t="shared" si="23"/>
        <v>285037.86420634511</v>
      </c>
      <c r="K23" s="582">
        <f t="shared" si="23"/>
        <v>213065458.74562693</v>
      </c>
      <c r="L23" s="582">
        <f t="shared" si="23"/>
        <v>421221.937128202</v>
      </c>
      <c r="M23" s="582">
        <f t="shared" si="23"/>
        <v>1945679.1669994784</v>
      </c>
      <c r="N23" s="582">
        <f t="shared" si="1"/>
        <v>211119779.57862744</v>
      </c>
      <c r="O23" s="582">
        <f t="shared" si="23"/>
        <v>696152.7</v>
      </c>
      <c r="P23" s="582">
        <f t="shared" si="23"/>
        <v>707708.83481999987</v>
      </c>
      <c r="T23" s="631"/>
      <c r="U23" s="631"/>
      <c r="V23" s="632"/>
      <c r="W23" s="631"/>
      <c r="X23" s="633"/>
      <c r="Y23" s="479"/>
      <c r="Z23" s="631"/>
      <c r="AA23" s="631"/>
      <c r="AB23" s="631"/>
      <c r="AC23" s="631"/>
      <c r="AD23" s="631"/>
      <c r="AE23" s="631"/>
      <c r="AF23" s="631"/>
      <c r="AG23" s="631"/>
      <c r="AH23" s="631"/>
      <c r="AI23" s="631"/>
      <c r="AJ23" s="631"/>
      <c r="AK23" s="631"/>
      <c r="AL23" s="631"/>
      <c r="AM23" s="631"/>
      <c r="AN23" s="631"/>
    </row>
    <row r="24" spans="1:40" ht="13">
      <c r="A24" s="627">
        <f t="shared" si="5"/>
        <v>12</v>
      </c>
      <c r="C24" s="621" t="str">
        <f t="shared" si="2"/>
        <v>December</v>
      </c>
      <c r="D24" s="844">
        <v>2020</v>
      </c>
      <c r="E24" s="582">
        <f t="shared" ref="E24" si="24">E56+E87</f>
        <v>683242531.48887444</v>
      </c>
      <c r="F24" s="582">
        <f t="shared" ref="F24:P24" si="25">F56+F87</f>
        <v>484116030.97446656</v>
      </c>
      <c r="G24" s="582">
        <f t="shared" si="25"/>
        <v>14934487.538580589</v>
      </c>
      <c r="H24" s="582">
        <f t="shared" si="25"/>
        <v>3391641.7737158751</v>
      </c>
      <c r="I24" s="582">
        <f t="shared" si="25"/>
        <v>39003880.397732563</v>
      </c>
      <c r="J24" s="582">
        <f t="shared" si="25"/>
        <v>1170116.4119319769</v>
      </c>
      <c r="K24" s="582">
        <f t="shared" si="25"/>
        <v>909020952.41129804</v>
      </c>
      <c r="L24" s="582">
        <f t="shared" si="25"/>
        <v>451966.8910879902</v>
      </c>
      <c r="M24" s="582">
        <f t="shared" si="25"/>
        <v>2397646.0580874691</v>
      </c>
      <c r="N24" s="582">
        <f t="shared" si="1"/>
        <v>906623306.35321057</v>
      </c>
      <c r="O24" s="582">
        <f t="shared" si="25"/>
        <v>696152.7</v>
      </c>
      <c r="P24" s="582">
        <f t="shared" si="25"/>
        <v>707708.83481999987</v>
      </c>
      <c r="T24" s="631"/>
      <c r="U24" s="631"/>
      <c r="V24" s="632"/>
      <c r="W24" s="631"/>
      <c r="X24" s="633"/>
      <c r="Y24" s="479"/>
      <c r="Z24" s="631"/>
      <c r="AA24" s="631"/>
      <c r="AB24" s="631"/>
      <c r="AC24" s="631"/>
      <c r="AD24" s="631"/>
      <c r="AE24" s="631"/>
      <c r="AF24" s="631"/>
      <c r="AG24" s="631"/>
      <c r="AH24" s="631"/>
      <c r="AI24" s="631"/>
      <c r="AJ24" s="631"/>
      <c r="AK24" s="631"/>
      <c r="AL24" s="631"/>
      <c r="AM24" s="631"/>
      <c r="AN24" s="631"/>
    </row>
    <row r="25" spans="1:40" ht="13">
      <c r="A25" s="627">
        <f t="shared" si="5"/>
        <v>13</v>
      </c>
      <c r="C25" s="621" t="str">
        <f t="shared" si="2"/>
        <v>January</v>
      </c>
      <c r="D25" s="844">
        <v>2021</v>
      </c>
      <c r="E25" s="582">
        <f t="shared" ref="E25" si="26">E57+E88</f>
        <v>15111767.382299781</v>
      </c>
      <c r="F25" s="582">
        <f t="shared" ref="F25:P25" si="27">F57+F88</f>
        <v>34057.140000000007</v>
      </c>
      <c r="G25" s="582">
        <f t="shared" si="27"/>
        <v>1130828.2681724834</v>
      </c>
      <c r="H25" s="582">
        <f t="shared" si="27"/>
        <v>821137.4808377811</v>
      </c>
      <c r="I25" s="582">
        <f t="shared" si="27"/>
        <v>9443081.0296344832</v>
      </c>
      <c r="J25" s="582">
        <f t="shared" si="27"/>
        <v>283292.43088903447</v>
      </c>
      <c r="K25" s="582">
        <f t="shared" si="27"/>
        <v>924725703.01182151</v>
      </c>
      <c r="L25" s="582">
        <f t="shared" si="27"/>
        <v>1928268.3181682574</v>
      </c>
      <c r="M25" s="582">
        <f t="shared" si="27"/>
        <v>4325914.3762557264</v>
      </c>
      <c r="N25" s="582">
        <f t="shared" si="1"/>
        <v>920399788.63556576</v>
      </c>
      <c r="O25" s="582">
        <f t="shared" si="27"/>
        <v>696152.7</v>
      </c>
      <c r="P25" s="582">
        <f t="shared" si="27"/>
        <v>707708.83481999987</v>
      </c>
      <c r="T25" s="631"/>
      <c r="U25" s="631"/>
      <c r="V25" s="632"/>
      <c r="W25" s="631"/>
      <c r="X25" s="633"/>
      <c r="Y25" s="479"/>
      <c r="Z25" s="631"/>
      <c r="AA25" s="631"/>
      <c r="AB25" s="631"/>
      <c r="AC25" s="631"/>
      <c r="AD25" s="631"/>
      <c r="AE25" s="631"/>
      <c r="AF25" s="631"/>
      <c r="AG25" s="631"/>
      <c r="AH25" s="631"/>
      <c r="AI25" s="631"/>
      <c r="AJ25" s="631"/>
      <c r="AK25" s="631"/>
      <c r="AL25" s="631"/>
      <c r="AM25" s="631"/>
      <c r="AN25" s="631"/>
    </row>
    <row r="26" spans="1:40" ht="13">
      <c r="A26" s="627">
        <f t="shared" si="5"/>
        <v>14</v>
      </c>
      <c r="C26" s="621" t="str">
        <f t="shared" si="2"/>
        <v>February</v>
      </c>
      <c r="D26" s="844">
        <v>2021</v>
      </c>
      <c r="E26" s="582">
        <f t="shared" ref="E26" si="28">E58+E89</f>
        <v>18746920.492299795</v>
      </c>
      <c r="F26" s="582">
        <f t="shared" ref="F26:P26" si="29">F58+F89</f>
        <v>1312072.72</v>
      </c>
      <c r="G26" s="582">
        <f t="shared" si="29"/>
        <v>1307613.5829224847</v>
      </c>
      <c r="H26" s="582">
        <f t="shared" si="29"/>
        <v>1005103.3084177823</v>
      </c>
      <c r="I26" s="582">
        <f t="shared" si="29"/>
        <v>11558688.046804497</v>
      </c>
      <c r="J26" s="582">
        <f t="shared" si="29"/>
        <v>346760.64140413492</v>
      </c>
      <c r="K26" s="582">
        <f t="shared" si="29"/>
        <v>944121894.42003024</v>
      </c>
      <c r="L26" s="582">
        <f t="shared" si="29"/>
        <v>1961582.152076479</v>
      </c>
      <c r="M26" s="582">
        <f t="shared" si="29"/>
        <v>6287496.5283322055</v>
      </c>
      <c r="N26" s="582">
        <f t="shared" si="1"/>
        <v>937834397.891698</v>
      </c>
      <c r="O26" s="582">
        <f t="shared" si="29"/>
        <v>696152.7</v>
      </c>
      <c r="P26" s="582">
        <f t="shared" si="29"/>
        <v>707708.83481999987</v>
      </c>
      <c r="T26" s="631"/>
      <c r="U26" s="631"/>
      <c r="V26" s="632"/>
      <c r="W26" s="631"/>
      <c r="X26" s="633"/>
      <c r="Y26" s="479"/>
      <c r="Z26" s="631"/>
      <c r="AA26" s="631"/>
      <c r="AB26" s="631"/>
      <c r="AC26" s="631"/>
      <c r="AD26" s="631"/>
      <c r="AE26" s="631"/>
      <c r="AF26" s="631"/>
      <c r="AG26" s="631"/>
      <c r="AH26" s="631"/>
      <c r="AI26" s="631"/>
      <c r="AJ26" s="631"/>
      <c r="AK26" s="631"/>
      <c r="AL26" s="631"/>
      <c r="AM26" s="631"/>
      <c r="AN26" s="631"/>
    </row>
    <row r="27" spans="1:40" ht="13">
      <c r="A27" s="627">
        <f t="shared" si="5"/>
        <v>15</v>
      </c>
      <c r="C27" s="621" t="str">
        <f t="shared" si="2"/>
        <v>March</v>
      </c>
      <c r="D27" s="844">
        <v>2021</v>
      </c>
      <c r="E27" s="582">
        <f t="shared" ref="E27" si="30">E59+E90</f>
        <v>18924277.608334303</v>
      </c>
      <c r="F27" s="582">
        <f t="shared" ref="F27:P27" si="31">F59+F90</f>
        <v>216549.91603452576</v>
      </c>
      <c r="G27" s="582">
        <f t="shared" si="31"/>
        <v>1403079.5769224833</v>
      </c>
      <c r="H27" s="582">
        <f t="shared" si="31"/>
        <v>932901.05553778086</v>
      </c>
      <c r="I27" s="582">
        <f t="shared" si="31"/>
        <v>10728362.13868448</v>
      </c>
      <c r="J27" s="582">
        <f t="shared" si="31"/>
        <v>321850.8641605344</v>
      </c>
      <c r="K27" s="582">
        <f t="shared" si="31"/>
        <v>963838201.41390979</v>
      </c>
      <c r="L27" s="582">
        <f t="shared" si="31"/>
        <v>2002726.4857536785</v>
      </c>
      <c r="M27" s="582">
        <f t="shared" si="31"/>
        <v>8290223.0140858842</v>
      </c>
      <c r="N27" s="582">
        <f t="shared" si="1"/>
        <v>955547978.3998239</v>
      </c>
      <c r="O27" s="582">
        <f t="shared" si="31"/>
        <v>696152.7</v>
      </c>
      <c r="P27" s="582">
        <f t="shared" si="31"/>
        <v>707708.83481999987</v>
      </c>
      <c r="T27" s="631"/>
      <c r="U27" s="631"/>
      <c r="V27" s="632"/>
      <c r="W27" s="631"/>
      <c r="X27" s="633"/>
      <c r="Y27" s="479"/>
      <c r="Z27" s="631"/>
      <c r="AA27" s="631"/>
      <c r="AB27" s="631"/>
      <c r="AC27" s="631"/>
      <c r="AD27" s="631"/>
      <c r="AE27" s="631"/>
      <c r="AF27" s="631"/>
      <c r="AG27" s="631"/>
      <c r="AH27" s="631"/>
      <c r="AI27" s="631"/>
      <c r="AJ27" s="631"/>
      <c r="AK27" s="631"/>
      <c r="AL27" s="631"/>
      <c r="AM27" s="631"/>
      <c r="AN27" s="631"/>
    </row>
    <row r="28" spans="1:40" ht="13">
      <c r="A28" s="627">
        <f t="shared" si="5"/>
        <v>16</v>
      </c>
      <c r="C28" s="621" t="str">
        <f t="shared" si="2"/>
        <v>April</v>
      </c>
      <c r="D28" s="844">
        <v>2021</v>
      </c>
      <c r="E28" s="582">
        <f t="shared" ref="E28" si="32">E60+E91</f>
        <v>63668374.472299799</v>
      </c>
      <c r="F28" s="582">
        <f t="shared" ref="F28:P28" si="33">F60+F91</f>
        <v>13392176.23</v>
      </c>
      <c r="G28" s="582">
        <f t="shared" si="33"/>
        <v>3770714.8681724845</v>
      </c>
      <c r="H28" s="582">
        <f t="shared" si="33"/>
        <v>2536096.4188377825</v>
      </c>
      <c r="I28" s="582">
        <f t="shared" si="33"/>
        <v>29165108.816634499</v>
      </c>
      <c r="J28" s="582">
        <f t="shared" si="33"/>
        <v>874953.26449903497</v>
      </c>
      <c r="K28" s="582">
        <f t="shared" si="33"/>
        <v>1029616147.6000433</v>
      </c>
      <c r="L28" s="582">
        <f t="shared" si="33"/>
        <v>2044549.867301407</v>
      </c>
      <c r="M28" s="582">
        <f t="shared" si="33"/>
        <v>10334772.881387291</v>
      </c>
      <c r="N28" s="582">
        <f t="shared" si="1"/>
        <v>1019281374.7186561</v>
      </c>
      <c r="O28" s="582">
        <f t="shared" si="33"/>
        <v>696152.7</v>
      </c>
      <c r="P28" s="582">
        <f t="shared" si="33"/>
        <v>707708.83481999987</v>
      </c>
      <c r="T28" s="631"/>
      <c r="U28" s="631"/>
      <c r="V28" s="632"/>
      <c r="W28" s="631"/>
      <c r="X28" s="633"/>
      <c r="Y28" s="479"/>
      <c r="Z28" s="631"/>
      <c r="AA28" s="631"/>
      <c r="AB28" s="631"/>
      <c r="AC28" s="631"/>
      <c r="AD28" s="631"/>
      <c r="AE28" s="631"/>
      <c r="AF28" s="631"/>
      <c r="AG28" s="631"/>
      <c r="AH28" s="631"/>
      <c r="AI28" s="631"/>
      <c r="AJ28" s="631"/>
      <c r="AK28" s="631"/>
      <c r="AL28" s="631"/>
      <c r="AM28" s="631"/>
      <c r="AN28" s="631"/>
    </row>
    <row r="29" spans="1:40" ht="13">
      <c r="A29" s="627">
        <f t="shared" si="5"/>
        <v>17</v>
      </c>
      <c r="C29" s="621" t="str">
        <f t="shared" si="2"/>
        <v>May</v>
      </c>
      <c r="D29" s="844">
        <v>2021</v>
      </c>
      <c r="E29" s="582">
        <f t="shared" ref="E29" si="34">E61+E92</f>
        <v>113934715.12229979</v>
      </c>
      <c r="F29" s="582">
        <f t="shared" ref="F29:P29" si="35">F61+F92</f>
        <v>88853985.88000001</v>
      </c>
      <c r="G29" s="582">
        <f t="shared" si="35"/>
        <v>1881054.6931724844</v>
      </c>
      <c r="H29" s="582">
        <f t="shared" si="35"/>
        <v>808556.5408377829</v>
      </c>
      <c r="I29" s="582">
        <f t="shared" si="35"/>
        <v>9298400.2196345031</v>
      </c>
      <c r="J29" s="582">
        <f t="shared" si="35"/>
        <v>278952.0065890351</v>
      </c>
      <c r="K29" s="582">
        <f t="shared" si="35"/>
        <v>1144902312.8812668</v>
      </c>
      <c r="L29" s="582">
        <f t="shared" si="35"/>
        <v>2184081.8872492909</v>
      </c>
      <c r="M29" s="582">
        <f t="shared" si="35"/>
        <v>12518854.768636582</v>
      </c>
      <c r="N29" s="582">
        <f t="shared" si="1"/>
        <v>1132383458.1126301</v>
      </c>
      <c r="O29" s="582">
        <f t="shared" si="35"/>
        <v>696152.7</v>
      </c>
      <c r="P29" s="582">
        <f t="shared" si="35"/>
        <v>707708.83481999987</v>
      </c>
      <c r="T29" s="631"/>
      <c r="U29" s="631"/>
      <c r="V29" s="632"/>
      <c r="W29" s="631"/>
      <c r="X29" s="633"/>
      <c r="Y29" s="479"/>
      <c r="Z29" s="631"/>
      <c r="AA29" s="631"/>
      <c r="AB29" s="631"/>
      <c r="AC29" s="631"/>
      <c r="AD29" s="631"/>
      <c r="AE29" s="631"/>
      <c r="AF29" s="631"/>
      <c r="AG29" s="631"/>
      <c r="AH29" s="631"/>
      <c r="AI29" s="631"/>
      <c r="AJ29" s="631"/>
      <c r="AK29" s="631"/>
      <c r="AL29" s="631"/>
      <c r="AM29" s="631"/>
      <c r="AN29" s="631"/>
    </row>
    <row r="30" spans="1:40" ht="13">
      <c r="A30" s="627">
        <f t="shared" si="5"/>
        <v>18</v>
      </c>
      <c r="C30" s="621" t="str">
        <f t="shared" ref="C30:C33" si="36">C62</f>
        <v xml:space="preserve">June </v>
      </c>
      <c r="D30" s="844">
        <v>2021</v>
      </c>
      <c r="E30" s="582">
        <f t="shared" ref="E30" si="37">E62+E93</f>
        <v>20563652.45734781</v>
      </c>
      <c r="F30" s="582">
        <f t="shared" ref="F30:P30" si="38">F62+F93</f>
        <v>232803.55504800001</v>
      </c>
      <c r="G30" s="582">
        <f t="shared" si="38"/>
        <v>1524813.6676724858</v>
      </c>
      <c r="H30" s="582">
        <f t="shared" si="38"/>
        <v>986093.19159778371</v>
      </c>
      <c r="I30" s="582">
        <f t="shared" si="38"/>
        <v>11340071.703374512</v>
      </c>
      <c r="J30" s="582">
        <f t="shared" si="38"/>
        <v>340202.15110123536</v>
      </c>
      <c r="K30" s="582">
        <f t="shared" si="38"/>
        <v>1166344887.9657905</v>
      </c>
      <c r="L30" s="582">
        <f t="shared" si="38"/>
        <v>2428633.6321185436</v>
      </c>
      <c r="M30" s="582">
        <f t="shared" si="38"/>
        <v>14947488.400755126</v>
      </c>
      <c r="N30" s="582">
        <f t="shared" si="1"/>
        <v>1151397399.5650353</v>
      </c>
      <c r="O30" s="582">
        <f t="shared" si="38"/>
        <v>1496152.7000000002</v>
      </c>
      <c r="P30" s="582">
        <f t="shared" si="38"/>
        <v>1520988.8348200002</v>
      </c>
      <c r="T30" s="631"/>
      <c r="U30" s="631"/>
      <c r="V30" s="632"/>
      <c r="W30" s="631"/>
      <c r="X30" s="633"/>
      <c r="Y30" s="479"/>
      <c r="Z30" s="631"/>
      <c r="AA30" s="631"/>
      <c r="AB30" s="631"/>
      <c r="AC30" s="631"/>
      <c r="AD30" s="631"/>
      <c r="AE30" s="631"/>
      <c r="AF30" s="631"/>
      <c r="AG30" s="631"/>
      <c r="AH30" s="631"/>
      <c r="AI30" s="631"/>
      <c r="AJ30" s="631"/>
      <c r="AK30" s="631"/>
      <c r="AL30" s="631"/>
      <c r="AM30" s="631"/>
      <c r="AN30" s="631"/>
    </row>
    <row r="31" spans="1:40" ht="13">
      <c r="A31" s="627">
        <f t="shared" si="5"/>
        <v>19</v>
      </c>
      <c r="C31" s="621" t="str">
        <f t="shared" si="36"/>
        <v>July</v>
      </c>
      <c r="D31" s="844">
        <v>2021</v>
      </c>
      <c r="E31" s="582">
        <f t="shared" ref="E31" si="39">E63+E94</f>
        <v>15748550.172299802</v>
      </c>
      <c r="F31" s="582">
        <f t="shared" ref="F31:P31" si="40">F63+F94</f>
        <v>21989.929999999989</v>
      </c>
      <c r="G31" s="582">
        <f t="shared" si="40"/>
        <v>1179492.0181724853</v>
      </c>
      <c r="H31" s="582">
        <f t="shared" si="40"/>
        <v>855856.54083778313</v>
      </c>
      <c r="I31" s="582">
        <f t="shared" si="40"/>
        <v>9842350.219634505</v>
      </c>
      <c r="J31" s="582">
        <f t="shared" si="40"/>
        <v>295270.50658903515</v>
      </c>
      <c r="K31" s="582">
        <f t="shared" si="40"/>
        <v>1182712344.122014</v>
      </c>
      <c r="L31" s="582">
        <f t="shared" si="40"/>
        <v>2474118.8743296857</v>
      </c>
      <c r="M31" s="582">
        <f t="shared" si="40"/>
        <v>17421607.275084812</v>
      </c>
      <c r="N31" s="582">
        <f t="shared" si="1"/>
        <v>1165290736.8469293</v>
      </c>
      <c r="O31" s="582">
        <f t="shared" si="40"/>
        <v>1496152.7000000002</v>
      </c>
      <c r="P31" s="582">
        <f t="shared" si="40"/>
        <v>1520988.8348200002</v>
      </c>
      <c r="T31" s="631"/>
      <c r="U31" s="631"/>
      <c r="V31" s="632"/>
      <c r="W31" s="631"/>
      <c r="X31" s="633"/>
      <c r="Y31" s="479"/>
      <c r="Z31" s="631"/>
      <c r="AA31" s="631"/>
      <c r="AB31" s="631"/>
      <c r="AC31" s="631"/>
      <c r="AD31" s="631"/>
      <c r="AE31" s="631"/>
      <c r="AF31" s="631"/>
      <c r="AG31" s="631"/>
      <c r="AH31" s="631"/>
      <c r="AI31" s="631"/>
      <c r="AJ31" s="631"/>
      <c r="AK31" s="631"/>
      <c r="AL31" s="631"/>
      <c r="AM31" s="631"/>
      <c r="AN31" s="631"/>
    </row>
    <row r="32" spans="1:40" ht="13">
      <c r="A32" s="627">
        <f t="shared" si="5"/>
        <v>20</v>
      </c>
      <c r="C32" s="621" t="str">
        <f t="shared" si="36"/>
        <v>August</v>
      </c>
      <c r="D32" s="844">
        <v>2021</v>
      </c>
      <c r="E32" s="582">
        <f t="shared" ref="E32" si="41">E64+E95</f>
        <v>196809332.20229974</v>
      </c>
      <c r="F32" s="582">
        <f t="shared" ref="F32:P32" si="42">F64+F95</f>
        <v>35444844.960000001</v>
      </c>
      <c r="G32" s="582">
        <f t="shared" si="42"/>
        <v>12102336.543172481</v>
      </c>
      <c r="H32" s="582">
        <f t="shared" si="42"/>
        <v>949166.54083778174</v>
      </c>
      <c r="I32" s="582">
        <f t="shared" si="42"/>
        <v>10915415.21963449</v>
      </c>
      <c r="J32" s="582">
        <f t="shared" si="42"/>
        <v>327462.4565890347</v>
      </c>
      <c r="K32" s="582">
        <f t="shared" si="42"/>
        <v>1391002308.7832375</v>
      </c>
      <c r="L32" s="582">
        <f t="shared" si="42"/>
        <v>2508838.4779552505</v>
      </c>
      <c r="M32" s="582">
        <f t="shared" si="42"/>
        <v>19930445.753040064</v>
      </c>
      <c r="N32" s="582">
        <f t="shared" si="1"/>
        <v>1371071863.0301976</v>
      </c>
      <c r="O32" s="582">
        <f t="shared" si="42"/>
        <v>1827152.7000000002</v>
      </c>
      <c r="P32" s="582">
        <f t="shared" si="42"/>
        <v>1857483.4348200001</v>
      </c>
      <c r="T32" s="631"/>
      <c r="U32" s="631"/>
      <c r="V32" s="632"/>
      <c r="W32" s="631"/>
      <c r="X32" s="633"/>
      <c r="Y32" s="479"/>
      <c r="Z32" s="631"/>
      <c r="AA32" s="631"/>
      <c r="AB32" s="631"/>
      <c r="AC32" s="631"/>
      <c r="AD32" s="631"/>
      <c r="AE32" s="631"/>
      <c r="AF32" s="631"/>
      <c r="AG32" s="631"/>
      <c r="AH32" s="631"/>
      <c r="AI32" s="631"/>
      <c r="AJ32" s="631"/>
      <c r="AK32" s="631"/>
      <c r="AL32" s="631"/>
      <c r="AM32" s="631"/>
      <c r="AN32" s="631"/>
    </row>
    <row r="33" spans="1:40" ht="13">
      <c r="A33" s="627">
        <f t="shared" si="5"/>
        <v>21</v>
      </c>
      <c r="C33" s="621" t="str">
        <f t="shared" si="36"/>
        <v>September</v>
      </c>
      <c r="D33" s="844">
        <v>2021</v>
      </c>
      <c r="E33" s="582">
        <f t="shared" ref="E33" si="43">E65+E96</f>
        <v>37724615.512299843</v>
      </c>
      <c r="F33" s="582">
        <f t="shared" ref="F33:P33" si="44">F65+F96</f>
        <v>343708.27</v>
      </c>
      <c r="G33" s="582">
        <f t="shared" si="44"/>
        <v>2803568.043172488</v>
      </c>
      <c r="H33" s="582">
        <f t="shared" si="44"/>
        <v>1586340.5408377866</v>
      </c>
      <c r="I33" s="582">
        <f t="shared" si="44"/>
        <v>18242916.219634544</v>
      </c>
      <c r="J33" s="582">
        <f t="shared" si="44"/>
        <v>547287.4865890363</v>
      </c>
      <c r="K33" s="582">
        <f t="shared" si="44"/>
        <v>1430491439.284461</v>
      </c>
      <c r="L33" s="582">
        <f t="shared" si="44"/>
        <v>2950675.3121703733</v>
      </c>
      <c r="M33" s="582">
        <f t="shared" si="44"/>
        <v>22881121.065210439</v>
      </c>
      <c r="N33" s="582">
        <f t="shared" si="1"/>
        <v>1407610318.2192507</v>
      </c>
      <c r="O33" s="598">
        <f t="shared" si="44"/>
        <v>1827152.7000000002</v>
      </c>
      <c r="P33" s="598">
        <f t="shared" si="44"/>
        <v>1857483.4348200001</v>
      </c>
      <c r="T33" s="631"/>
      <c r="U33" s="631"/>
      <c r="V33" s="632"/>
      <c r="W33" s="631"/>
      <c r="X33" s="633"/>
      <c r="Y33" s="479"/>
      <c r="Z33" s="631"/>
      <c r="AA33" s="631"/>
      <c r="AB33" s="631"/>
      <c r="AC33" s="631"/>
      <c r="AD33" s="631"/>
      <c r="AE33" s="631"/>
      <c r="AF33" s="631"/>
      <c r="AG33" s="631"/>
      <c r="AH33" s="631"/>
      <c r="AI33" s="631"/>
      <c r="AJ33" s="631"/>
      <c r="AK33" s="631"/>
      <c r="AL33" s="631"/>
      <c r="AM33" s="631"/>
      <c r="AN33" s="631"/>
    </row>
    <row r="34" spans="1:40" ht="13">
      <c r="A34" s="628">
        <f t="shared" si="5"/>
        <v>22</v>
      </c>
      <c r="C34" s="621" t="str">
        <f t="shared" ref="C34" si="45">C66</f>
        <v>October</v>
      </c>
      <c r="D34" s="844">
        <v>2021</v>
      </c>
      <c r="E34" s="582">
        <f t="shared" ref="E34" si="46">E66+E97</f>
        <v>25347291.852299795</v>
      </c>
      <c r="F34" s="582">
        <f t="shared" ref="F34:P34" si="47">F66+F97</f>
        <v>4965082.6100000003</v>
      </c>
      <c r="G34" s="582">
        <f t="shared" si="47"/>
        <v>1528665.6931724846</v>
      </c>
      <c r="H34" s="582">
        <f t="shared" si="47"/>
        <v>808470.54083778232</v>
      </c>
      <c r="I34" s="582">
        <f t="shared" si="47"/>
        <v>9297411.2196344975</v>
      </c>
      <c r="J34" s="582">
        <f t="shared" si="47"/>
        <v>278922.33658903494</v>
      </c>
      <c r="K34" s="582">
        <f t="shared" si="47"/>
        <v>1456837848.6256845</v>
      </c>
      <c r="L34" s="582">
        <f t="shared" si="47"/>
        <v>3034441.9613939524</v>
      </c>
      <c r="M34" s="582">
        <f t="shared" si="47"/>
        <v>25915563.026604392</v>
      </c>
      <c r="N34" s="582">
        <f t="shared" si="1"/>
        <v>1430922285.5990801</v>
      </c>
      <c r="O34" s="598">
        <f t="shared" si="47"/>
        <v>1827152.7000000002</v>
      </c>
      <c r="P34" s="598">
        <f t="shared" si="47"/>
        <v>1857483.4348200001</v>
      </c>
      <c r="T34" s="631"/>
      <c r="U34" s="631"/>
      <c r="V34" s="632"/>
      <c r="W34" s="631"/>
      <c r="X34" s="633"/>
      <c r="Y34" s="479"/>
      <c r="Z34" s="631"/>
      <c r="AA34" s="631"/>
      <c r="AB34" s="631"/>
      <c r="AC34" s="631"/>
      <c r="AD34" s="631"/>
      <c r="AE34" s="631"/>
      <c r="AF34" s="631"/>
      <c r="AG34" s="631"/>
      <c r="AH34" s="631"/>
      <c r="AI34" s="631"/>
      <c r="AJ34" s="631"/>
      <c r="AK34" s="631"/>
      <c r="AL34" s="631"/>
      <c r="AM34" s="631"/>
      <c r="AN34" s="631"/>
    </row>
    <row r="35" spans="1:40" ht="13">
      <c r="A35" s="628">
        <f t="shared" si="5"/>
        <v>23</v>
      </c>
      <c r="C35" s="621" t="str">
        <f t="shared" ref="C35" si="48">C67</f>
        <v>November</v>
      </c>
      <c r="D35" s="844">
        <v>2021</v>
      </c>
      <c r="E35" s="582">
        <f t="shared" ref="E35" si="49">E67+E98</f>
        <v>19490979.242299795</v>
      </c>
      <c r="F35" s="582">
        <f t="shared" ref="F35:P35" si="50">F67+F98</f>
        <v>0</v>
      </c>
      <c r="G35" s="582">
        <f t="shared" si="50"/>
        <v>1461823.4431724844</v>
      </c>
      <c r="H35" s="582">
        <f t="shared" si="50"/>
        <v>808470.54083778232</v>
      </c>
      <c r="I35" s="582">
        <f t="shared" si="50"/>
        <v>9297411.2196344975</v>
      </c>
      <c r="J35" s="582">
        <f t="shared" si="50"/>
        <v>278922.33658903494</v>
      </c>
      <c r="K35" s="582">
        <f t="shared" si="50"/>
        <v>1477261103.1069081</v>
      </c>
      <c r="L35" s="582">
        <f t="shared" si="50"/>
        <v>3090329.503144681</v>
      </c>
      <c r="M35" s="582">
        <f t="shared" si="50"/>
        <v>29005892.529749069</v>
      </c>
      <c r="N35" s="582">
        <f t="shared" si="1"/>
        <v>1448255210.5771589</v>
      </c>
      <c r="O35" s="598">
        <f t="shared" si="50"/>
        <v>1827152.7000000002</v>
      </c>
      <c r="P35" s="598">
        <f t="shared" si="50"/>
        <v>1857483.4348200001</v>
      </c>
      <c r="T35" s="631"/>
      <c r="U35" s="631"/>
      <c r="V35" s="632"/>
      <c r="W35" s="631"/>
      <c r="X35" s="633"/>
      <c r="Y35" s="479"/>
      <c r="Z35" s="631"/>
      <c r="AA35" s="631"/>
      <c r="AB35" s="631"/>
      <c r="AC35" s="631"/>
      <c r="AD35" s="631"/>
      <c r="AE35" s="631"/>
      <c r="AF35" s="631"/>
      <c r="AG35" s="631"/>
      <c r="AH35" s="631"/>
      <c r="AI35" s="631"/>
      <c r="AJ35" s="631"/>
      <c r="AK35" s="631"/>
      <c r="AL35" s="631"/>
      <c r="AM35" s="631"/>
      <c r="AN35" s="631"/>
    </row>
    <row r="36" spans="1:40" ht="13">
      <c r="A36" s="628">
        <f t="shared" si="5"/>
        <v>24</v>
      </c>
      <c r="C36" s="621" t="str">
        <f t="shared" ref="C36" si="51">C68</f>
        <v>December</v>
      </c>
      <c r="D36" s="844">
        <v>2021</v>
      </c>
      <c r="E36" s="582">
        <f t="shared" ref="E36" si="52">E68+E99</f>
        <v>115046204.78229979</v>
      </c>
      <c r="F36" s="582">
        <f t="shared" ref="F36:P36" si="53">F68+F99</f>
        <v>41609796.25999999</v>
      </c>
      <c r="G36" s="582">
        <f t="shared" si="53"/>
        <v>5507730.6391724851</v>
      </c>
      <c r="H36" s="582">
        <f t="shared" si="53"/>
        <v>3085752.5429177829</v>
      </c>
      <c r="I36" s="582">
        <f t="shared" si="53"/>
        <v>35486154.243554503</v>
      </c>
      <c r="J36" s="582">
        <f t="shared" si="53"/>
        <v>1064584.627306635</v>
      </c>
      <c r="K36" s="582">
        <f t="shared" si="53"/>
        <v>1595793870.6127691</v>
      </c>
      <c r="L36" s="582">
        <f t="shared" si="53"/>
        <v>3133652.502978256</v>
      </c>
      <c r="M36" s="582">
        <f t="shared" si="53"/>
        <v>32139545.032727323</v>
      </c>
      <c r="N36" s="582">
        <f t="shared" si="1"/>
        <v>1563654325.5800416</v>
      </c>
      <c r="O36" s="598">
        <f t="shared" si="53"/>
        <v>1827152.7000000002</v>
      </c>
      <c r="P36" s="634">
        <f t="shared" si="53"/>
        <v>1857483.4348200001</v>
      </c>
      <c r="T36" s="631"/>
      <c r="U36" s="631"/>
      <c r="V36" s="632"/>
      <c r="W36" s="631"/>
      <c r="X36" s="633"/>
      <c r="Y36" s="479"/>
      <c r="Z36" s="631"/>
      <c r="AA36" s="631"/>
      <c r="AB36" s="631"/>
      <c r="AC36" s="631"/>
      <c r="AD36" s="631"/>
      <c r="AE36" s="631"/>
      <c r="AF36" s="631"/>
      <c r="AG36" s="631"/>
      <c r="AH36" s="631"/>
      <c r="AI36" s="631"/>
      <c r="AJ36" s="631"/>
      <c r="AK36" s="631"/>
      <c r="AL36" s="631"/>
      <c r="AM36" s="631"/>
      <c r="AN36" s="631"/>
    </row>
    <row r="37" spans="1:40" s="584" customFormat="1" ht="13">
      <c r="A37" s="628">
        <f t="shared" si="5"/>
        <v>25</v>
      </c>
      <c r="D37" s="658" t="s">
        <v>1605</v>
      </c>
      <c r="K37" s="880">
        <f>AVERAGE(K24:K36)</f>
        <v>1201282231.8645568</v>
      </c>
      <c r="M37" s="659"/>
      <c r="N37" s="659">
        <f>AVERAGE(N24:N36)</f>
        <v>1185405572.5791755</v>
      </c>
      <c r="O37" s="659"/>
      <c r="P37" s="659">
        <f>AVERAGE(P24:P36)</f>
        <v>1275049.83482</v>
      </c>
      <c r="Q37" s="660"/>
      <c r="T37" s="644"/>
      <c r="U37" s="644"/>
    </row>
    <row r="38" spans="1:40" ht="13">
      <c r="A38" s="627"/>
      <c r="T38" s="582"/>
      <c r="U38" s="582"/>
      <c r="Z38" s="582"/>
    </row>
    <row r="39" spans="1:40" ht="13">
      <c r="A39" s="627"/>
      <c r="B39" s="584" t="s">
        <v>1948</v>
      </c>
      <c r="G39" s="627"/>
      <c r="K39" s="479"/>
      <c r="M39" s="479"/>
      <c r="N39" s="479"/>
      <c r="O39" s="479"/>
      <c r="P39" s="479"/>
    </row>
    <row r="40" spans="1:40" ht="13">
      <c r="A40" s="627"/>
      <c r="B40" s="584"/>
      <c r="E40" s="624" t="s">
        <v>358</v>
      </c>
      <c r="F40" s="624" t="s">
        <v>342</v>
      </c>
      <c r="G40" s="624" t="s">
        <v>343</v>
      </c>
      <c r="H40" s="624" t="s">
        <v>344</v>
      </c>
      <c r="I40" s="624" t="s">
        <v>345</v>
      </c>
      <c r="J40" s="624" t="s">
        <v>346</v>
      </c>
      <c r="K40" s="661" t="s">
        <v>347</v>
      </c>
      <c r="L40" s="624" t="s">
        <v>534</v>
      </c>
      <c r="M40" s="661" t="s">
        <v>951</v>
      </c>
      <c r="N40" s="661" t="s">
        <v>963</v>
      </c>
      <c r="O40" s="661" t="s">
        <v>966</v>
      </c>
      <c r="P40" s="661" t="s">
        <v>984</v>
      </c>
    </row>
    <row r="41" spans="1:40" ht="25.5">
      <c r="A41" s="627"/>
      <c r="B41" s="584"/>
      <c r="E41" s="1163" t="s">
        <v>2066</v>
      </c>
      <c r="F41" s="1163" t="s">
        <v>2067</v>
      </c>
      <c r="G41" s="1163" t="s">
        <v>2068</v>
      </c>
      <c r="H41" s="1164" t="s">
        <v>1949</v>
      </c>
      <c r="I41" s="1164" t="s">
        <v>1949</v>
      </c>
      <c r="J41" s="1165" t="s">
        <v>1949</v>
      </c>
      <c r="K41" s="1160" t="s">
        <v>1950</v>
      </c>
      <c r="L41" s="1161" t="s">
        <v>2069</v>
      </c>
      <c r="M41" s="1162" t="s">
        <v>2417</v>
      </c>
      <c r="N41" s="1166" t="s">
        <v>1898</v>
      </c>
      <c r="O41" s="1166"/>
      <c r="P41" s="1162" t="s">
        <v>2070</v>
      </c>
    </row>
    <row r="42" spans="1:40" ht="13">
      <c r="A42" s="627"/>
      <c r="C42" s="627" t="str">
        <f>C10</f>
        <v>Forecast</v>
      </c>
      <c r="E42" s="627" t="str">
        <f>E10</f>
        <v>Unloaded</v>
      </c>
      <c r="F42" s="627"/>
      <c r="G42" s="627"/>
      <c r="I42" s="628" t="str">
        <f>I10</f>
        <v>AFUDC</v>
      </c>
      <c r="J42" s="628"/>
      <c r="K42" s="628"/>
      <c r="L42" s="628"/>
      <c r="M42" s="628"/>
      <c r="N42" s="628"/>
      <c r="O42" s="627" t="str">
        <f t="shared" ref="O42:P44" si="54">O10</f>
        <v>Unloaded</v>
      </c>
      <c r="P42" s="627" t="str">
        <f t="shared" si="54"/>
        <v>Loaded</v>
      </c>
    </row>
    <row r="43" spans="1:40" ht="13">
      <c r="A43" s="627"/>
      <c r="B43" s="584"/>
      <c r="C43" s="627" t="str">
        <f>C11</f>
        <v>Period</v>
      </c>
      <c r="E43" s="627" t="str">
        <f>E11</f>
        <v>Total</v>
      </c>
      <c r="F43" s="627" t="str">
        <f t="shared" ref="F43:H44" si="55">F11</f>
        <v>Prior Period</v>
      </c>
      <c r="G43" s="628" t="str">
        <f t="shared" si="55"/>
        <v>Over Heads</v>
      </c>
      <c r="H43" s="628" t="str">
        <f t="shared" si="55"/>
        <v xml:space="preserve">Cost of </v>
      </c>
      <c r="I43" s="628" t="str">
        <f>I11</f>
        <v>Eligible Plant</v>
      </c>
      <c r="J43" s="628"/>
      <c r="K43" s="628" t="str">
        <f>K11</f>
        <v>Incremental</v>
      </c>
      <c r="L43" s="628" t="str">
        <f>L11</f>
        <v>Depreciation</v>
      </c>
      <c r="M43" s="628"/>
      <c r="N43" s="628"/>
      <c r="O43" s="628" t="str">
        <f t="shared" si="54"/>
        <v>Low Voltage</v>
      </c>
      <c r="P43" s="628" t="str">
        <f t="shared" si="54"/>
        <v>Low Voltage</v>
      </c>
    </row>
    <row r="44" spans="1:40" ht="13">
      <c r="A44" s="629" t="s">
        <v>329</v>
      </c>
      <c r="C44" s="611" t="str">
        <f t="shared" ref="C44:D44" si="56">C12</f>
        <v>Month</v>
      </c>
      <c r="D44" s="611" t="str">
        <f t="shared" si="56"/>
        <v>Year</v>
      </c>
      <c r="E44" s="624" t="str">
        <f>E12</f>
        <v>Plant Adds</v>
      </c>
      <c r="F44" s="624" t="str">
        <f t="shared" si="55"/>
        <v>CWIP Closed</v>
      </c>
      <c r="G44" s="630" t="str">
        <f t="shared" si="55"/>
        <v>Closed to PIS</v>
      </c>
      <c r="H44" s="630" t="str">
        <f t="shared" si="55"/>
        <v>Removal</v>
      </c>
      <c r="I44" s="630" t="str">
        <f>I12</f>
        <v>Additions</v>
      </c>
      <c r="J44" s="630" t="str">
        <f>J12</f>
        <v>AFUDC</v>
      </c>
      <c r="K44" s="630" t="str">
        <f>K12</f>
        <v>Gross Plant</v>
      </c>
      <c r="L44" s="630" t="str">
        <f>L12</f>
        <v>Accrual</v>
      </c>
      <c r="M44" s="630" t="str">
        <f>M12</f>
        <v>Reserve</v>
      </c>
      <c r="N44" s="630" t="str">
        <f>N12</f>
        <v>Net Plant</v>
      </c>
      <c r="O44" s="630" t="str">
        <f t="shared" si="54"/>
        <v>Additions</v>
      </c>
      <c r="P44" s="630" t="str">
        <f t="shared" si="54"/>
        <v>Additions</v>
      </c>
      <c r="T44" s="630"/>
      <c r="U44" s="630"/>
      <c r="V44" s="630"/>
      <c r="W44" s="630"/>
      <c r="X44" s="630"/>
      <c r="Y44" s="630"/>
    </row>
    <row r="45" spans="1:40" ht="13">
      <c r="A45" s="627">
        <f>A37+1</f>
        <v>26</v>
      </c>
      <c r="C45" s="612" t="s">
        <v>181</v>
      </c>
      <c r="D45" s="844">
        <v>2020</v>
      </c>
      <c r="E45" s="637">
        <f>'10-CWIP'!G55</f>
        <v>1653969.8068000001</v>
      </c>
      <c r="F45" s="637">
        <f>'10-CWIP'!H55</f>
        <v>0</v>
      </c>
      <c r="G45" s="637">
        <f>'10-CWIP'!I55</f>
        <v>124047.73551000001</v>
      </c>
      <c r="H45" s="662">
        <v>0</v>
      </c>
      <c r="I45" s="631">
        <v>0</v>
      </c>
      <c r="J45" s="663">
        <v>0</v>
      </c>
      <c r="K45" s="1151">
        <f>0+E45+G45</f>
        <v>1778017.5423100002</v>
      </c>
      <c r="L45" s="582">
        <v>0</v>
      </c>
      <c r="M45" s="582">
        <f>L45- H45</f>
        <v>0</v>
      </c>
      <c r="N45" s="582">
        <f>K45-M45</f>
        <v>1778017.5423100002</v>
      </c>
      <c r="O45" s="664">
        <v>0</v>
      </c>
      <c r="P45" s="663">
        <f t="shared" ref="P45:P68" si="57">O45*(1-$E$107)*(1+$E$103+$E$111)</f>
        <v>0</v>
      </c>
      <c r="S45" s="582"/>
      <c r="T45" s="636"/>
      <c r="U45" s="633"/>
      <c r="V45" s="479"/>
      <c r="W45" s="636"/>
      <c r="X45" s="633"/>
      <c r="Y45" s="479"/>
    </row>
    <row r="46" spans="1:40" ht="13">
      <c r="A46" s="627">
        <f t="shared" ref="A46:A99" si="58">A45+1</f>
        <v>27</v>
      </c>
      <c r="C46" s="615" t="s">
        <v>182</v>
      </c>
      <c r="D46" s="844">
        <v>2020</v>
      </c>
      <c r="E46" s="637">
        <f>'10-CWIP'!G56</f>
        <v>1502677.0510000004</v>
      </c>
      <c r="F46" s="637">
        <f>'10-CWIP'!H56</f>
        <v>0</v>
      </c>
      <c r="G46" s="637">
        <f>'10-CWIP'!I56</f>
        <v>112700.77882500002</v>
      </c>
      <c r="H46" s="662">
        <v>0</v>
      </c>
      <c r="I46" s="631">
        <v>0</v>
      </c>
      <c r="J46" s="663">
        <v>0</v>
      </c>
      <c r="K46" s="582">
        <f>K45+E46+G46</f>
        <v>3393395.3721350003</v>
      </c>
      <c r="L46" s="582">
        <f t="shared" ref="L46:L68" si="59">K45*$E$133/12</f>
        <v>3771.6346217204646</v>
      </c>
      <c r="M46" s="582">
        <f>(M45+L46)-H46</f>
        <v>3771.6346217204646</v>
      </c>
      <c r="N46" s="582">
        <f t="shared" ref="N46:N68" si="60">K46-M46</f>
        <v>3389623.73751328</v>
      </c>
      <c r="O46" s="664">
        <v>0</v>
      </c>
      <c r="P46" s="663">
        <f t="shared" si="57"/>
        <v>0</v>
      </c>
      <c r="S46" s="582"/>
      <c r="T46" s="636"/>
      <c r="U46" s="633"/>
      <c r="V46" s="479"/>
      <c r="W46" s="636"/>
      <c r="X46" s="633"/>
      <c r="Y46" s="479"/>
    </row>
    <row r="47" spans="1:40" ht="13">
      <c r="A47" s="627">
        <f t="shared" si="58"/>
        <v>28</v>
      </c>
      <c r="C47" s="615" t="s">
        <v>195</v>
      </c>
      <c r="D47" s="844">
        <v>2020</v>
      </c>
      <c r="E47" s="637">
        <f>'10-CWIP'!G57</f>
        <v>984871.10199999996</v>
      </c>
      <c r="F47" s="637">
        <f>'10-CWIP'!H57</f>
        <v>0</v>
      </c>
      <c r="G47" s="637">
        <f>'10-CWIP'!I57</f>
        <v>73865.332649999997</v>
      </c>
      <c r="H47" s="662">
        <v>0</v>
      </c>
      <c r="I47" s="631">
        <v>0</v>
      </c>
      <c r="J47" s="663">
        <v>0</v>
      </c>
      <c r="K47" s="582">
        <f t="shared" ref="K47:K68" si="61">K46+E47+G47</f>
        <v>4452131.8067850005</v>
      </c>
      <c r="L47" s="582">
        <f t="shared" si="59"/>
        <v>7198.2683894683987</v>
      </c>
      <c r="M47" s="582">
        <f>(M46+L47)-H47</f>
        <v>10969.903011188864</v>
      </c>
      <c r="N47" s="582">
        <f t="shared" si="60"/>
        <v>4441161.9037738116</v>
      </c>
      <c r="O47" s="664">
        <v>0</v>
      </c>
      <c r="P47" s="663">
        <f t="shared" si="57"/>
        <v>0</v>
      </c>
      <c r="S47" s="582"/>
      <c r="T47" s="636"/>
      <c r="U47" s="633"/>
      <c r="V47" s="479"/>
      <c r="W47" s="636"/>
      <c r="X47" s="633"/>
      <c r="Y47" s="479"/>
    </row>
    <row r="48" spans="1:40" ht="13">
      <c r="A48" s="627">
        <f t="shared" si="58"/>
        <v>29</v>
      </c>
      <c r="C48" s="612" t="s">
        <v>183</v>
      </c>
      <c r="D48" s="844">
        <v>2020</v>
      </c>
      <c r="E48" s="637">
        <f>'10-CWIP'!G58</f>
        <v>217331.31</v>
      </c>
      <c r="F48" s="637">
        <f>'10-CWIP'!H58</f>
        <v>0</v>
      </c>
      <c r="G48" s="637">
        <f>'10-CWIP'!I58</f>
        <v>16299.848249999999</v>
      </c>
      <c r="H48" s="662">
        <v>0</v>
      </c>
      <c r="I48" s="631">
        <v>0</v>
      </c>
      <c r="J48" s="663">
        <v>0</v>
      </c>
      <c r="K48" s="582">
        <f t="shared" si="61"/>
        <v>4685762.9650349999</v>
      </c>
      <c r="L48" s="582">
        <f t="shared" si="59"/>
        <v>9444.1219298192464</v>
      </c>
      <c r="M48" s="582">
        <f t="shared" ref="M48:M67" si="62">(M47+L48)-H48</f>
        <v>20414.024941008109</v>
      </c>
      <c r="N48" s="582">
        <f t="shared" si="60"/>
        <v>4665348.9400939913</v>
      </c>
      <c r="O48" s="664">
        <v>0</v>
      </c>
      <c r="P48" s="663">
        <f t="shared" si="57"/>
        <v>0</v>
      </c>
      <c r="S48" s="582"/>
      <c r="T48" s="636"/>
      <c r="U48" s="633"/>
      <c r="V48" s="479"/>
      <c r="W48" s="636"/>
      <c r="X48" s="633"/>
      <c r="Y48" s="479"/>
    </row>
    <row r="49" spans="1:25" ht="13">
      <c r="A49" s="627">
        <f t="shared" si="58"/>
        <v>30</v>
      </c>
      <c r="C49" s="615" t="s">
        <v>184</v>
      </c>
      <c r="D49" s="844">
        <v>2020</v>
      </c>
      <c r="E49" s="637">
        <f>'10-CWIP'!G59</f>
        <v>486868.45000000007</v>
      </c>
      <c r="F49" s="637">
        <f>'10-CWIP'!H59</f>
        <v>344737.14</v>
      </c>
      <c r="G49" s="637">
        <f>'10-CWIP'!I59</f>
        <v>10659.848250000003</v>
      </c>
      <c r="H49" s="662">
        <v>0</v>
      </c>
      <c r="I49" s="631">
        <v>0</v>
      </c>
      <c r="J49" s="663">
        <v>0</v>
      </c>
      <c r="K49" s="582">
        <f t="shared" si="61"/>
        <v>5183291.2632849999</v>
      </c>
      <c r="L49" s="582">
        <f t="shared" si="59"/>
        <v>9939.7139834406826</v>
      </c>
      <c r="M49" s="582">
        <f t="shared" si="62"/>
        <v>30353.738924448793</v>
      </c>
      <c r="N49" s="582">
        <f t="shared" si="60"/>
        <v>5152937.5243605515</v>
      </c>
      <c r="O49" s="664">
        <v>0</v>
      </c>
      <c r="P49" s="663">
        <f t="shared" si="57"/>
        <v>0</v>
      </c>
      <c r="S49" s="582"/>
      <c r="T49" s="636"/>
      <c r="U49" s="633"/>
      <c r="V49" s="479"/>
      <c r="W49" s="636"/>
      <c r="X49" s="633"/>
      <c r="Y49" s="479"/>
    </row>
    <row r="50" spans="1:25" ht="13">
      <c r="A50" s="627">
        <f t="shared" si="58"/>
        <v>31</v>
      </c>
      <c r="C50" s="615" t="s">
        <v>185</v>
      </c>
      <c r="D50" s="844">
        <v>2020</v>
      </c>
      <c r="E50" s="637">
        <f>'10-CWIP'!G60</f>
        <v>733106.59579999989</v>
      </c>
      <c r="F50" s="637">
        <f>'10-CWIP'!H60</f>
        <v>410800.01</v>
      </c>
      <c r="G50" s="637">
        <f>'10-CWIP'!I60</f>
        <v>24172.993934999991</v>
      </c>
      <c r="H50" s="662">
        <v>0</v>
      </c>
      <c r="I50" s="631">
        <v>0</v>
      </c>
      <c r="J50" s="663">
        <v>0</v>
      </c>
      <c r="K50" s="582">
        <f t="shared" si="61"/>
        <v>5940570.8530200003</v>
      </c>
      <c r="L50" s="582">
        <f t="shared" si="59"/>
        <v>10995.100058275144</v>
      </c>
      <c r="M50" s="582">
        <f t="shared" si="62"/>
        <v>41348.838982723937</v>
      </c>
      <c r="N50" s="582">
        <f t="shared" si="60"/>
        <v>5899222.0140372766</v>
      </c>
      <c r="O50" s="664">
        <v>0</v>
      </c>
      <c r="P50" s="663">
        <f t="shared" si="57"/>
        <v>0</v>
      </c>
      <c r="S50" s="582"/>
      <c r="T50" s="636"/>
      <c r="U50" s="633"/>
      <c r="V50" s="479"/>
      <c r="W50" s="636"/>
      <c r="X50" s="633"/>
      <c r="Y50" s="479"/>
    </row>
    <row r="51" spans="1:25" ht="13">
      <c r="A51" s="627">
        <f t="shared" si="58"/>
        <v>32</v>
      </c>
      <c r="C51" s="612" t="s">
        <v>186</v>
      </c>
      <c r="D51" s="844">
        <v>2020</v>
      </c>
      <c r="E51" s="637">
        <f>'10-CWIP'!G61</f>
        <v>21632.14</v>
      </c>
      <c r="F51" s="637">
        <f>'10-CWIP'!H61</f>
        <v>0</v>
      </c>
      <c r="G51" s="637">
        <f>'10-CWIP'!I61</f>
        <v>1622.4105</v>
      </c>
      <c r="H51" s="662">
        <v>0</v>
      </c>
      <c r="I51" s="631">
        <v>0</v>
      </c>
      <c r="J51" s="663">
        <v>0</v>
      </c>
      <c r="K51" s="582">
        <f t="shared" si="61"/>
        <v>5963825.4035200002</v>
      </c>
      <c r="L51" s="582">
        <f t="shared" si="59"/>
        <v>12601.485738393938</v>
      </c>
      <c r="M51" s="582">
        <f t="shared" si="62"/>
        <v>53950.324721117875</v>
      </c>
      <c r="N51" s="582">
        <f t="shared" si="60"/>
        <v>5909875.0787988827</v>
      </c>
      <c r="O51" s="664">
        <v>0</v>
      </c>
      <c r="P51" s="663">
        <f t="shared" si="57"/>
        <v>0</v>
      </c>
      <c r="S51" s="582"/>
      <c r="T51" s="636"/>
      <c r="U51" s="633"/>
      <c r="V51" s="479"/>
      <c r="W51" s="636"/>
      <c r="X51" s="633"/>
      <c r="Y51" s="479"/>
    </row>
    <row r="52" spans="1:25" ht="13">
      <c r="A52" s="627">
        <f t="shared" si="58"/>
        <v>33</v>
      </c>
      <c r="C52" s="615" t="s">
        <v>187</v>
      </c>
      <c r="D52" s="844">
        <v>2020</v>
      </c>
      <c r="E52" s="637">
        <f>'10-CWIP'!G62</f>
        <v>21632.14</v>
      </c>
      <c r="F52" s="637">
        <f>'10-CWIP'!H62</f>
        <v>0</v>
      </c>
      <c r="G52" s="637">
        <f>'10-CWIP'!I62</f>
        <v>1622.4105</v>
      </c>
      <c r="H52" s="662">
        <v>0</v>
      </c>
      <c r="I52" s="631">
        <v>0</v>
      </c>
      <c r="J52" s="663">
        <v>0</v>
      </c>
      <c r="K52" s="582">
        <f t="shared" si="61"/>
        <v>5987079.9540200001</v>
      </c>
      <c r="L52" s="582">
        <f t="shared" si="59"/>
        <v>12650.814648650017</v>
      </c>
      <c r="M52" s="582">
        <f t="shared" si="62"/>
        <v>66601.139369767887</v>
      </c>
      <c r="N52" s="582">
        <f t="shared" si="60"/>
        <v>5920478.814650232</v>
      </c>
      <c r="O52" s="664">
        <v>0</v>
      </c>
      <c r="P52" s="663">
        <f t="shared" si="57"/>
        <v>0</v>
      </c>
      <c r="S52" s="582"/>
      <c r="T52" s="636"/>
      <c r="U52" s="633"/>
      <c r="V52" s="479"/>
      <c r="W52" s="636"/>
      <c r="X52" s="633"/>
      <c r="Y52" s="479"/>
    </row>
    <row r="53" spans="1:25" ht="13">
      <c r="A53" s="627">
        <f t="shared" si="58"/>
        <v>34</v>
      </c>
      <c r="C53" s="615" t="s">
        <v>188</v>
      </c>
      <c r="D53" s="844">
        <v>2020</v>
      </c>
      <c r="E53" s="637">
        <f>'10-CWIP'!G63</f>
        <v>21632.14</v>
      </c>
      <c r="F53" s="637">
        <f>'10-CWIP'!H63</f>
        <v>0</v>
      </c>
      <c r="G53" s="637">
        <f>'10-CWIP'!I63</f>
        <v>1622.4105</v>
      </c>
      <c r="H53" s="662">
        <v>0</v>
      </c>
      <c r="I53" s="631">
        <v>0</v>
      </c>
      <c r="J53" s="663">
        <v>0</v>
      </c>
      <c r="K53" s="582">
        <f t="shared" si="61"/>
        <v>6010334.50452</v>
      </c>
      <c r="L53" s="582">
        <f t="shared" si="59"/>
        <v>12700.143558906098</v>
      </c>
      <c r="M53" s="582">
        <f t="shared" si="62"/>
        <v>79301.282928673987</v>
      </c>
      <c r="N53" s="582">
        <f t="shared" si="60"/>
        <v>5931033.2215913264</v>
      </c>
      <c r="O53" s="664">
        <v>0</v>
      </c>
      <c r="P53" s="663">
        <f t="shared" si="57"/>
        <v>0</v>
      </c>
      <c r="S53" s="582"/>
      <c r="T53" s="636"/>
      <c r="U53" s="633"/>
      <c r="V53" s="479"/>
      <c r="W53" s="636"/>
      <c r="X53" s="633"/>
      <c r="Y53" s="479"/>
    </row>
    <row r="54" spans="1:25" ht="13">
      <c r="A54" s="627">
        <f t="shared" si="58"/>
        <v>35</v>
      </c>
      <c r="C54" s="612" t="s">
        <v>189</v>
      </c>
      <c r="D54" s="844">
        <v>2020</v>
      </c>
      <c r="E54" s="637">
        <f>'10-CWIP'!G64</f>
        <v>20965331.019999996</v>
      </c>
      <c r="F54" s="637">
        <f>'10-CWIP'!H64</f>
        <v>17136385.879999999</v>
      </c>
      <c r="G54" s="637">
        <f>'10-CWIP'!I64</f>
        <v>287170.88549999968</v>
      </c>
      <c r="H54" s="662">
        <v>0</v>
      </c>
      <c r="I54" s="631">
        <v>0</v>
      </c>
      <c r="J54" s="663">
        <v>0</v>
      </c>
      <c r="K54" s="582">
        <f t="shared" si="61"/>
        <v>27262836.410019994</v>
      </c>
      <c r="L54" s="582">
        <f t="shared" si="59"/>
        <v>12749.47246916218</v>
      </c>
      <c r="M54" s="582">
        <f t="shared" si="62"/>
        <v>92050.755397836168</v>
      </c>
      <c r="N54" s="582">
        <f t="shared" si="60"/>
        <v>27170785.654622156</v>
      </c>
      <c r="O54" s="664">
        <v>0</v>
      </c>
      <c r="P54" s="663">
        <f t="shared" si="57"/>
        <v>0</v>
      </c>
      <c r="S54" s="582"/>
      <c r="T54" s="636"/>
      <c r="U54" s="633"/>
      <c r="V54" s="479"/>
      <c r="W54" s="636"/>
      <c r="X54" s="633"/>
      <c r="Y54" s="479"/>
    </row>
    <row r="55" spans="1:25" ht="13">
      <c r="A55" s="627">
        <f t="shared" si="58"/>
        <v>36</v>
      </c>
      <c r="C55" s="612" t="s">
        <v>190</v>
      </c>
      <c r="D55" s="844">
        <v>2020</v>
      </c>
      <c r="E55" s="637">
        <f>'10-CWIP'!G65</f>
        <v>289632.14</v>
      </c>
      <c r="F55" s="637">
        <f>'10-CWIP'!H65</f>
        <v>0</v>
      </c>
      <c r="G55" s="637">
        <f>'10-CWIP'!I65</f>
        <v>21722.410499999998</v>
      </c>
      <c r="H55" s="662">
        <v>0</v>
      </c>
      <c r="I55" s="631">
        <v>0</v>
      </c>
      <c r="J55" s="663">
        <v>0</v>
      </c>
      <c r="K55" s="582">
        <f t="shared" si="61"/>
        <v>27574190.960519996</v>
      </c>
      <c r="L55" s="582">
        <f t="shared" si="59"/>
        <v>57831.520355385153</v>
      </c>
      <c r="M55" s="582">
        <f t="shared" si="62"/>
        <v>149882.27575322133</v>
      </c>
      <c r="N55" s="582">
        <f t="shared" si="60"/>
        <v>27424308.684766773</v>
      </c>
      <c r="O55" s="664">
        <v>0</v>
      </c>
      <c r="P55" s="663">
        <f>O55*(1-$E$107)*(1+$E$103+$E$111)</f>
        <v>0</v>
      </c>
      <c r="S55" s="582"/>
      <c r="T55" s="636"/>
      <c r="U55" s="633"/>
      <c r="V55" s="479"/>
      <c r="W55" s="636"/>
      <c r="X55" s="633"/>
      <c r="Y55" s="479"/>
    </row>
    <row r="56" spans="1:25" ht="13">
      <c r="A56" s="627">
        <f t="shared" si="58"/>
        <v>37</v>
      </c>
      <c r="C56" s="612" t="s">
        <v>180</v>
      </c>
      <c r="D56" s="844">
        <v>2020</v>
      </c>
      <c r="E56" s="637">
        <f>'10-CWIP'!G66</f>
        <v>554534219.29120004</v>
      </c>
      <c r="F56" s="637">
        <f>'10-CWIP'!H66</f>
        <v>394845413.81999999</v>
      </c>
      <c r="G56" s="637">
        <f>'10-CWIP'!I66</f>
        <v>11976660.41034</v>
      </c>
      <c r="H56" s="662">
        <v>0</v>
      </c>
      <c r="I56" s="631">
        <v>0</v>
      </c>
      <c r="J56" s="663">
        <v>0</v>
      </c>
      <c r="K56" s="582">
        <f t="shared" si="61"/>
        <v>594085070.66206002</v>
      </c>
      <c r="L56" s="582">
        <f t="shared" si="59"/>
        <v>58491.983806589553</v>
      </c>
      <c r="M56" s="582">
        <f t="shared" si="62"/>
        <v>208374.25955981089</v>
      </c>
      <c r="N56" s="582">
        <f t="shared" si="60"/>
        <v>593876696.40250015</v>
      </c>
      <c r="O56" s="664">
        <v>0</v>
      </c>
      <c r="P56" s="663">
        <f t="shared" si="57"/>
        <v>0</v>
      </c>
      <c r="S56" s="582"/>
      <c r="T56" s="636"/>
      <c r="U56" s="633"/>
      <c r="V56" s="479"/>
      <c r="W56" s="636"/>
      <c r="X56" s="633"/>
      <c r="Y56" s="479"/>
    </row>
    <row r="57" spans="1:25" ht="13">
      <c r="A57" s="627">
        <f t="shared" si="58"/>
        <v>38</v>
      </c>
      <c r="C57" s="612" t="s">
        <v>181</v>
      </c>
      <c r="D57" s="844">
        <v>2021</v>
      </c>
      <c r="E57" s="637">
        <f>'10-CWIP'!G67</f>
        <v>5529600</v>
      </c>
      <c r="F57" s="637">
        <f>'10-CWIP'!H67</f>
        <v>0</v>
      </c>
      <c r="G57" s="637">
        <f>'10-CWIP'!I67</f>
        <v>414720</v>
      </c>
      <c r="H57" s="662">
        <v>0</v>
      </c>
      <c r="I57" s="631">
        <v>0</v>
      </c>
      <c r="J57" s="663">
        <v>0</v>
      </c>
      <c r="K57" s="582">
        <f t="shared" si="61"/>
        <v>600029390.66206002</v>
      </c>
      <c r="L57" s="582">
        <f t="shared" si="59"/>
        <v>1260207.9380191006</v>
      </c>
      <c r="M57" s="582">
        <f t="shared" si="62"/>
        <v>1468582.1975789114</v>
      </c>
      <c r="N57" s="582">
        <f t="shared" si="60"/>
        <v>598560808.46448112</v>
      </c>
      <c r="O57" s="664">
        <v>0</v>
      </c>
      <c r="P57" s="663">
        <f t="shared" si="57"/>
        <v>0</v>
      </c>
      <c r="S57" s="582"/>
      <c r="T57" s="636"/>
      <c r="U57" s="633"/>
      <c r="V57" s="479"/>
      <c r="W57" s="636"/>
      <c r="X57" s="633"/>
      <c r="Y57" s="479"/>
    </row>
    <row r="58" spans="1:25" ht="13">
      <c r="A58" s="627">
        <f t="shared" si="58"/>
        <v>39</v>
      </c>
      <c r="C58" s="615" t="s">
        <v>182</v>
      </c>
      <c r="D58" s="844">
        <v>2021</v>
      </c>
      <c r="E58" s="637">
        <f>'10-CWIP'!G68</f>
        <v>5747600</v>
      </c>
      <c r="F58" s="637">
        <f>'10-CWIP'!H68</f>
        <v>0</v>
      </c>
      <c r="G58" s="637">
        <f>'10-CWIP'!I68</f>
        <v>431070</v>
      </c>
      <c r="H58" s="662">
        <v>0</v>
      </c>
      <c r="I58" s="631">
        <v>0</v>
      </c>
      <c r="J58" s="663">
        <v>0</v>
      </c>
      <c r="K58" s="582">
        <f t="shared" si="61"/>
        <v>606208060.66206002</v>
      </c>
      <c r="L58" s="582">
        <f t="shared" si="59"/>
        <v>1272817.3766669654</v>
      </c>
      <c r="M58" s="582">
        <f t="shared" si="62"/>
        <v>2741399.5742458766</v>
      </c>
      <c r="N58" s="582">
        <f t="shared" si="60"/>
        <v>603466661.08781409</v>
      </c>
      <c r="O58" s="664">
        <v>0</v>
      </c>
      <c r="P58" s="663">
        <f t="shared" si="57"/>
        <v>0</v>
      </c>
      <c r="S58" s="582"/>
      <c r="T58" s="636"/>
      <c r="U58" s="633"/>
      <c r="V58" s="479"/>
      <c r="W58" s="636"/>
      <c r="X58" s="633"/>
      <c r="Y58" s="479"/>
    </row>
    <row r="59" spans="1:25" ht="13">
      <c r="A59" s="627">
        <f t="shared" si="58"/>
        <v>40</v>
      </c>
      <c r="C59" s="615" t="s">
        <v>195</v>
      </c>
      <c r="D59" s="844">
        <v>2021</v>
      </c>
      <c r="E59" s="637">
        <f>'10-CWIP'!G69</f>
        <v>7860041</v>
      </c>
      <c r="F59" s="637">
        <f>'10-CWIP'!H69</f>
        <v>0</v>
      </c>
      <c r="G59" s="637">
        <f>'10-CWIP'!I69</f>
        <v>589503.07499999995</v>
      </c>
      <c r="H59" s="662">
        <v>0</v>
      </c>
      <c r="I59" s="631">
        <v>0</v>
      </c>
      <c r="J59" s="663">
        <v>0</v>
      </c>
      <c r="K59" s="582">
        <f t="shared" si="61"/>
        <v>614657604.73706007</v>
      </c>
      <c r="L59" s="582">
        <f t="shared" si="59"/>
        <v>1285923.9322175418</v>
      </c>
      <c r="M59" s="582">
        <f t="shared" si="62"/>
        <v>4027323.5064634187</v>
      </c>
      <c r="N59" s="582">
        <f t="shared" si="60"/>
        <v>610630281.23059666</v>
      </c>
      <c r="O59" s="664">
        <v>0</v>
      </c>
      <c r="P59" s="663">
        <f t="shared" si="57"/>
        <v>0</v>
      </c>
      <c r="S59" s="582"/>
      <c r="T59" s="636"/>
      <c r="U59" s="633"/>
      <c r="V59" s="479"/>
      <c r="W59" s="636"/>
      <c r="X59" s="633"/>
      <c r="Y59" s="479"/>
    </row>
    <row r="60" spans="1:25" ht="13">
      <c r="A60" s="627">
        <f t="shared" si="58"/>
        <v>41</v>
      </c>
      <c r="C60" s="612" t="s">
        <v>183</v>
      </c>
      <c r="D60" s="844">
        <v>2021</v>
      </c>
      <c r="E60" s="637">
        <f>'10-CWIP'!G70</f>
        <v>33916245.480000004</v>
      </c>
      <c r="F60" s="637">
        <f>'10-CWIP'!H70</f>
        <v>13129540.48</v>
      </c>
      <c r="G60" s="637">
        <f>'10-CWIP'!I70</f>
        <v>1559002.875</v>
      </c>
      <c r="H60" s="662">
        <v>0</v>
      </c>
      <c r="I60" s="631">
        <v>0</v>
      </c>
      <c r="J60" s="663">
        <v>0</v>
      </c>
      <c r="K60" s="582">
        <f t="shared" si="61"/>
        <v>650132853.09206009</v>
      </c>
      <c r="L60" s="582">
        <f t="shared" si="59"/>
        <v>1303847.5984428029</v>
      </c>
      <c r="M60" s="582">
        <f t="shared" si="62"/>
        <v>5331171.1049062219</v>
      </c>
      <c r="N60" s="582">
        <f t="shared" si="60"/>
        <v>644801681.98715389</v>
      </c>
      <c r="O60" s="664">
        <v>0</v>
      </c>
      <c r="P60" s="663">
        <f t="shared" si="57"/>
        <v>0</v>
      </c>
      <c r="S60" s="582"/>
      <c r="T60" s="636"/>
      <c r="U60" s="633"/>
      <c r="V60" s="479"/>
      <c r="W60" s="636"/>
      <c r="X60" s="633"/>
      <c r="Y60" s="479"/>
    </row>
    <row r="61" spans="1:25" ht="13">
      <c r="A61" s="627">
        <f t="shared" si="58"/>
        <v>42</v>
      </c>
      <c r="C61" s="615" t="s">
        <v>184</v>
      </c>
      <c r="D61" s="844">
        <v>2021</v>
      </c>
      <c r="E61" s="637">
        <f>'10-CWIP'!G71</f>
        <v>104418012.50999999</v>
      </c>
      <c r="F61" s="637">
        <f>'10-CWIP'!H71</f>
        <v>88739103.510000005</v>
      </c>
      <c r="G61" s="637">
        <f>'10-CWIP'!I71</f>
        <v>1175918.1749999993</v>
      </c>
      <c r="H61" s="662">
        <v>0</v>
      </c>
      <c r="I61" s="631">
        <v>0</v>
      </c>
      <c r="J61" s="663">
        <v>0</v>
      </c>
      <c r="K61" s="582">
        <f t="shared" si="61"/>
        <v>755726783.77706003</v>
      </c>
      <c r="L61" s="582">
        <f t="shared" si="59"/>
        <v>1379099.7665041019</v>
      </c>
      <c r="M61" s="582">
        <f t="shared" si="62"/>
        <v>6710270.8714103233</v>
      </c>
      <c r="N61" s="582">
        <f t="shared" si="60"/>
        <v>749016512.90564966</v>
      </c>
      <c r="O61" s="664">
        <v>0</v>
      </c>
      <c r="P61" s="663">
        <f t="shared" si="57"/>
        <v>0</v>
      </c>
      <c r="S61" s="582"/>
      <c r="T61" s="636"/>
      <c r="U61" s="633"/>
      <c r="V61" s="479"/>
      <c r="W61" s="636"/>
      <c r="X61" s="633"/>
      <c r="Y61" s="479"/>
    </row>
    <row r="62" spans="1:25" ht="13">
      <c r="A62" s="627">
        <f t="shared" si="58"/>
        <v>43</v>
      </c>
      <c r="C62" s="615" t="s">
        <v>185</v>
      </c>
      <c r="D62" s="844">
        <v>2021</v>
      </c>
      <c r="E62" s="637">
        <f>'10-CWIP'!G72</f>
        <v>8864649</v>
      </c>
      <c r="F62" s="637">
        <f>'10-CWIP'!H72</f>
        <v>0</v>
      </c>
      <c r="G62" s="637">
        <f>'10-CWIP'!I72</f>
        <v>664848.67500000005</v>
      </c>
      <c r="H62" s="662">
        <v>0</v>
      </c>
      <c r="I62" s="631">
        <v>0</v>
      </c>
      <c r="J62" s="663">
        <v>0</v>
      </c>
      <c r="K62" s="582">
        <f t="shared" si="61"/>
        <v>765256281.45205998</v>
      </c>
      <c r="L62" s="582">
        <f t="shared" si="59"/>
        <v>1603091.7774589967</v>
      </c>
      <c r="M62" s="582">
        <f t="shared" si="62"/>
        <v>8313362.6488693198</v>
      </c>
      <c r="N62" s="582">
        <f t="shared" si="60"/>
        <v>756942918.80319071</v>
      </c>
      <c r="O62" s="664">
        <v>0</v>
      </c>
      <c r="P62" s="663">
        <f t="shared" si="57"/>
        <v>0</v>
      </c>
      <c r="S62" s="582"/>
      <c r="T62" s="636"/>
      <c r="U62" s="633"/>
      <c r="V62" s="479"/>
      <c r="W62" s="636"/>
      <c r="X62" s="633"/>
      <c r="Y62" s="479"/>
    </row>
    <row r="63" spans="1:25" ht="13">
      <c r="A63" s="627">
        <f t="shared" si="58"/>
        <v>44</v>
      </c>
      <c r="C63" s="612" t="s">
        <v>186</v>
      </c>
      <c r="D63" s="844">
        <v>2021</v>
      </c>
      <c r="E63" s="637">
        <f>'10-CWIP'!G73</f>
        <v>5774740</v>
      </c>
      <c r="F63" s="637">
        <f>'10-CWIP'!H73</f>
        <v>0</v>
      </c>
      <c r="G63" s="637">
        <f>'10-CWIP'!I73</f>
        <v>433105.5</v>
      </c>
      <c r="H63" s="662">
        <v>0</v>
      </c>
      <c r="I63" s="631">
        <v>0</v>
      </c>
      <c r="J63" s="663">
        <v>0</v>
      </c>
      <c r="K63" s="582">
        <f t="shared" si="61"/>
        <v>771464126.95205998</v>
      </c>
      <c r="L63" s="582">
        <f t="shared" si="59"/>
        <v>1623306.3043145298</v>
      </c>
      <c r="M63" s="582">
        <f t="shared" si="62"/>
        <v>9936668.9531838503</v>
      </c>
      <c r="N63" s="582">
        <f t="shared" si="60"/>
        <v>761527457.99887609</v>
      </c>
      <c r="O63" s="664">
        <v>0</v>
      </c>
      <c r="P63" s="663">
        <f t="shared" si="57"/>
        <v>0</v>
      </c>
      <c r="S63" s="582"/>
      <c r="T63" s="636"/>
      <c r="U63" s="633"/>
      <c r="V63" s="479"/>
      <c r="W63" s="636"/>
      <c r="X63" s="633"/>
      <c r="Y63" s="479"/>
    </row>
    <row r="64" spans="1:25" ht="13">
      <c r="A64" s="627">
        <f t="shared" si="58"/>
        <v>45</v>
      </c>
      <c r="C64" s="615" t="s">
        <v>187</v>
      </c>
      <c r="D64" s="844">
        <v>2021</v>
      </c>
      <c r="E64" s="637">
        <f>'10-CWIP'!G74</f>
        <v>185770011.63999996</v>
      </c>
      <c r="F64" s="637">
        <f>'10-CWIP'!H74</f>
        <v>35442344.640000001</v>
      </c>
      <c r="G64" s="637">
        <f>'10-CWIP'!I74</f>
        <v>11274575.024999997</v>
      </c>
      <c r="H64" s="662">
        <v>0</v>
      </c>
      <c r="I64" s="631">
        <v>0</v>
      </c>
      <c r="J64" s="663">
        <v>0</v>
      </c>
      <c r="K64" s="582">
        <f t="shared" si="61"/>
        <v>968508713.61705995</v>
      </c>
      <c r="L64" s="582">
        <f t="shared" si="59"/>
        <v>1636474.7486391412</v>
      </c>
      <c r="M64" s="582">
        <f t="shared" si="62"/>
        <v>11573143.701822992</v>
      </c>
      <c r="N64" s="582">
        <f t="shared" si="60"/>
        <v>956935569.91523695</v>
      </c>
      <c r="O64" s="664">
        <v>0</v>
      </c>
      <c r="P64" s="663">
        <f t="shared" si="57"/>
        <v>0</v>
      </c>
      <c r="S64" s="582"/>
      <c r="T64" s="636"/>
      <c r="U64" s="633"/>
      <c r="V64" s="479"/>
      <c r="W64" s="636"/>
      <c r="X64" s="633"/>
      <c r="Y64" s="479"/>
    </row>
    <row r="65" spans="1:25" ht="13">
      <c r="A65" s="627">
        <f t="shared" si="58"/>
        <v>46</v>
      </c>
      <c r="C65" s="615" t="s">
        <v>188</v>
      </c>
      <c r="D65" s="844">
        <v>2021</v>
      </c>
      <c r="E65" s="637">
        <f>'10-CWIP'!G75</f>
        <v>19236333.759999998</v>
      </c>
      <c r="F65" s="637">
        <f>'10-CWIP'!H75</f>
        <v>301246.76</v>
      </c>
      <c r="G65" s="637">
        <f>'10-CWIP'!I75</f>
        <v>1420131.5249999997</v>
      </c>
      <c r="H65" s="662">
        <v>0</v>
      </c>
      <c r="I65" s="631">
        <v>0</v>
      </c>
      <c r="J65" s="663">
        <v>0</v>
      </c>
      <c r="K65" s="582">
        <f t="shared" si="61"/>
        <v>989165178.90205991</v>
      </c>
      <c r="L65" s="582">
        <f t="shared" si="59"/>
        <v>2054457.2304783098</v>
      </c>
      <c r="M65" s="582">
        <f t="shared" si="62"/>
        <v>13627600.932301302</v>
      </c>
      <c r="N65" s="582">
        <f t="shared" si="60"/>
        <v>975537577.96975863</v>
      </c>
      <c r="O65" s="664">
        <v>0</v>
      </c>
      <c r="P65" s="663">
        <f t="shared" si="57"/>
        <v>0</v>
      </c>
      <c r="S65" s="582"/>
      <c r="T65" s="636"/>
      <c r="U65" s="633"/>
      <c r="V65" s="479"/>
      <c r="W65" s="636"/>
      <c r="X65" s="633"/>
      <c r="Y65" s="479"/>
    </row>
    <row r="66" spans="1:25" ht="13">
      <c r="A66" s="628">
        <f t="shared" si="58"/>
        <v>47</v>
      </c>
      <c r="C66" s="615" t="s">
        <v>191</v>
      </c>
      <c r="D66" s="844">
        <v>2021</v>
      </c>
      <c r="E66" s="637">
        <f>'10-CWIP'!G76</f>
        <v>15946471.609999999</v>
      </c>
      <c r="F66" s="637">
        <f>'10-CWIP'!H76</f>
        <v>4965082.6100000003</v>
      </c>
      <c r="G66" s="637">
        <f>'10-CWIP'!I76</f>
        <v>823604.17499999993</v>
      </c>
      <c r="H66" s="662">
        <v>0</v>
      </c>
      <c r="I66" s="631">
        <v>0</v>
      </c>
      <c r="J66" s="663">
        <v>0</v>
      </c>
      <c r="K66" s="582">
        <f t="shared" si="61"/>
        <v>1005935254.6870599</v>
      </c>
      <c r="L66" s="582">
        <f t="shared" si="59"/>
        <v>2098274.9306850545</v>
      </c>
      <c r="M66" s="582">
        <f t="shared" si="62"/>
        <v>15725875.862986356</v>
      </c>
      <c r="N66" s="582">
        <f t="shared" si="60"/>
        <v>990209378.82407355</v>
      </c>
      <c r="O66" s="664">
        <v>0</v>
      </c>
      <c r="P66" s="663">
        <f t="shared" si="57"/>
        <v>0</v>
      </c>
      <c r="S66" s="582"/>
      <c r="T66" s="636"/>
      <c r="U66" s="633"/>
      <c r="V66" s="479"/>
      <c r="W66" s="636"/>
      <c r="X66" s="633"/>
      <c r="Y66" s="479"/>
    </row>
    <row r="67" spans="1:25" ht="13">
      <c r="A67" s="628">
        <f t="shared" si="58"/>
        <v>48</v>
      </c>
      <c r="C67" s="615" t="s">
        <v>190</v>
      </c>
      <c r="D67" s="844">
        <v>2021</v>
      </c>
      <c r="E67" s="637">
        <f>'10-CWIP'!G77</f>
        <v>10090159</v>
      </c>
      <c r="F67" s="637">
        <f>'10-CWIP'!H77</f>
        <v>0</v>
      </c>
      <c r="G67" s="637">
        <f>'10-CWIP'!I77</f>
        <v>756761.92499999981</v>
      </c>
      <c r="H67" s="662">
        <v>0</v>
      </c>
      <c r="I67" s="631">
        <v>0</v>
      </c>
      <c r="J67" s="663">
        <v>0</v>
      </c>
      <c r="K67" s="582">
        <f t="shared" si="61"/>
        <v>1016782175.6120598</v>
      </c>
      <c r="L67" s="582">
        <f t="shared" si="59"/>
        <v>2133848.5945744482</v>
      </c>
      <c r="M67" s="582">
        <f t="shared" si="62"/>
        <v>17859724.457560804</v>
      </c>
      <c r="N67" s="582">
        <f t="shared" si="60"/>
        <v>998922451.15449905</v>
      </c>
      <c r="O67" s="664">
        <v>0</v>
      </c>
      <c r="P67" s="663">
        <f t="shared" si="57"/>
        <v>0</v>
      </c>
      <c r="S67" s="582"/>
      <c r="T67" s="636"/>
      <c r="U67" s="633"/>
      <c r="V67" s="479"/>
      <c r="W67" s="636"/>
      <c r="X67" s="633"/>
      <c r="Y67" s="479"/>
    </row>
    <row r="68" spans="1:25" ht="13">
      <c r="A68" s="628">
        <f t="shared" si="58"/>
        <v>49</v>
      </c>
      <c r="C68" s="615" t="s">
        <v>180</v>
      </c>
      <c r="D68" s="844">
        <v>2021</v>
      </c>
      <c r="E68" s="637">
        <f>'10-CWIP'!G78</f>
        <v>78796464.099999994</v>
      </c>
      <c r="F68" s="637">
        <f>'10-CWIP'!H78</f>
        <v>41240899.099999994</v>
      </c>
      <c r="G68" s="637">
        <f>'10-CWIP'!I78</f>
        <v>2816667.375</v>
      </c>
      <c r="H68" s="662">
        <v>0</v>
      </c>
      <c r="I68" s="631">
        <v>0</v>
      </c>
      <c r="J68" s="663">
        <v>0</v>
      </c>
      <c r="K68" s="582">
        <f t="shared" si="61"/>
        <v>1098395307.0870597</v>
      </c>
      <c r="L68" s="582">
        <f t="shared" si="59"/>
        <v>2156857.7165466887</v>
      </c>
      <c r="M68" s="582">
        <f>(M67+L68)-H68</f>
        <v>20016582.174107492</v>
      </c>
      <c r="N68" s="582">
        <f t="shared" si="60"/>
        <v>1078378724.9129522</v>
      </c>
      <c r="O68" s="664">
        <v>0</v>
      </c>
      <c r="P68" s="663">
        <f t="shared" si="57"/>
        <v>0</v>
      </c>
      <c r="S68" s="582"/>
      <c r="T68" s="636"/>
      <c r="U68" s="633"/>
      <c r="V68" s="479"/>
      <c r="W68" s="636"/>
      <c r="X68" s="633"/>
      <c r="Y68" s="479"/>
    </row>
    <row r="69" spans="1:25" ht="13">
      <c r="A69" s="627"/>
      <c r="D69" s="635"/>
      <c r="G69" s="582"/>
      <c r="M69" s="579"/>
      <c r="N69" s="631"/>
    </row>
    <row r="70" spans="1:25" ht="13">
      <c r="A70" s="627"/>
      <c r="B70" s="584" t="s">
        <v>1951</v>
      </c>
      <c r="D70" s="635"/>
      <c r="F70" s="68" t="s">
        <v>2537</v>
      </c>
      <c r="G70" s="515" t="s">
        <v>2819</v>
      </c>
      <c r="H70" s="622"/>
      <c r="M70" s="579"/>
      <c r="N70" s="631"/>
    </row>
    <row r="71" spans="1:25" ht="13">
      <c r="A71" s="627"/>
      <c r="E71" s="623" t="s">
        <v>358</v>
      </c>
      <c r="F71" s="623" t="s">
        <v>342</v>
      </c>
      <c r="G71" s="623" t="s">
        <v>343</v>
      </c>
      <c r="H71" s="623" t="s">
        <v>344</v>
      </c>
      <c r="I71" s="623" t="s">
        <v>345</v>
      </c>
      <c r="J71" s="623" t="s">
        <v>346</v>
      </c>
      <c r="K71" s="623" t="s">
        <v>347</v>
      </c>
      <c r="L71" s="623" t="s">
        <v>534</v>
      </c>
      <c r="M71" s="623" t="s">
        <v>951</v>
      </c>
      <c r="N71" s="623" t="s">
        <v>963</v>
      </c>
      <c r="O71" s="623" t="s">
        <v>966</v>
      </c>
      <c r="P71" s="623" t="s">
        <v>984</v>
      </c>
    </row>
    <row r="72" spans="1:25" ht="25.5">
      <c r="A72" s="627"/>
      <c r="E72" s="625"/>
      <c r="F72" s="625"/>
      <c r="G72" s="1159" t="str">
        <f>"=(C"&amp;RIGHT(E71)&amp;"-C"&amp;RIGHT(F71)&amp;")*L"&amp;$A$103</f>
        <v>=(C1-C2)*L74</v>
      </c>
      <c r="H72" s="1159" t="str">
        <f>"=(C"&amp;RIGHT(E71)&amp;"-C"&amp;RIGHT(F71)&amp;"+C"&amp;RIGHT(G71)&amp;")*L"&amp;$A$107</f>
        <v>=(C1-C2+C3)*L75</v>
      </c>
      <c r="I72" s="1159" t="str">
        <f>"=C"&amp;RIGHT(E71)&amp;"-C"&amp;RIGHT(F71)&amp;"+C"&amp;RIGHT(G71)&amp;"-C"&amp;RIGHT(H71)</f>
        <v>=C1-C2+C3-C4</v>
      </c>
      <c r="J72" s="1159" t="str">
        <f>"=C"&amp;RIGHT(I71)&amp;"*L"&amp;$A$111</f>
        <v>=C5*L76</v>
      </c>
      <c r="K72" s="1160" t="s">
        <v>1952</v>
      </c>
      <c r="L72" s="1161" t="s">
        <v>2069</v>
      </c>
      <c r="M72" s="1162" t="s">
        <v>2417</v>
      </c>
      <c r="N72" s="1159" t="str">
        <f>"=C"&amp;RIGHT(K71)&amp;"-C"&amp;RIGHT(M71)</f>
        <v>=C7-C9</v>
      </c>
      <c r="O72" s="579"/>
      <c r="P72" s="1162" t="s">
        <v>2070</v>
      </c>
    </row>
    <row r="73" spans="1:25" ht="13">
      <c r="A73" s="627"/>
      <c r="C73" s="627" t="str">
        <f>C10</f>
        <v>Forecast</v>
      </c>
      <c r="E73" s="627" t="str">
        <f>E10</f>
        <v>Unloaded</v>
      </c>
      <c r="F73" s="627"/>
      <c r="G73" s="627"/>
      <c r="H73" s="628"/>
      <c r="I73" s="628" t="str">
        <f>I10</f>
        <v>AFUDC</v>
      </c>
      <c r="J73" s="628"/>
      <c r="K73" s="628"/>
      <c r="L73" s="628"/>
      <c r="M73" s="628"/>
      <c r="O73" s="627" t="str">
        <f>O10</f>
        <v>Unloaded</v>
      </c>
      <c r="P73" s="627" t="str">
        <f>P10</f>
        <v>Loaded</v>
      </c>
    </row>
    <row r="74" spans="1:25" ht="13">
      <c r="A74" s="627"/>
      <c r="C74" s="627" t="str">
        <f>C11</f>
        <v>Period</v>
      </c>
      <c r="E74" s="627" t="str">
        <f>E11</f>
        <v>Total</v>
      </c>
      <c r="F74" s="627" t="str">
        <f t="shared" ref="F74:H75" si="63">F11</f>
        <v>Prior Period</v>
      </c>
      <c r="G74" s="628" t="str">
        <f t="shared" si="63"/>
        <v>Over Heads</v>
      </c>
      <c r="H74" s="628" t="str">
        <f t="shared" si="63"/>
        <v xml:space="preserve">Cost of </v>
      </c>
      <c r="I74" s="628" t="str">
        <f>I11</f>
        <v>Eligible Plant</v>
      </c>
      <c r="J74" s="628"/>
      <c r="K74" s="628" t="str">
        <f t="shared" ref="K74:M74" si="64">K11</f>
        <v>Incremental</v>
      </c>
      <c r="L74" s="628" t="str">
        <f t="shared" si="64"/>
        <v>Depreciation</v>
      </c>
      <c r="M74" s="628" t="str">
        <f t="shared" si="64"/>
        <v>Incremental</v>
      </c>
      <c r="O74" s="628" t="str">
        <f>O11</f>
        <v>Low Voltage</v>
      </c>
      <c r="P74" s="628" t="str">
        <f>P11</f>
        <v>Low Voltage</v>
      </c>
      <c r="Q74" s="627"/>
    </row>
    <row r="75" spans="1:25" ht="13">
      <c r="A75" s="629" t="s">
        <v>329</v>
      </c>
      <c r="C75" s="611" t="str">
        <f>C12</f>
        <v>Month</v>
      </c>
      <c r="D75" s="611" t="str">
        <f>D12</f>
        <v>Year</v>
      </c>
      <c r="E75" s="624" t="str">
        <f>E12</f>
        <v>Plant Adds</v>
      </c>
      <c r="F75" s="624" t="str">
        <f t="shared" si="63"/>
        <v>CWIP Closed</v>
      </c>
      <c r="G75" s="630" t="str">
        <f t="shared" si="63"/>
        <v>Closed to PIS</v>
      </c>
      <c r="H75" s="630" t="str">
        <f t="shared" si="63"/>
        <v>Removal</v>
      </c>
      <c r="I75" s="630" t="str">
        <f>I12</f>
        <v>Additions</v>
      </c>
      <c r="J75" s="630" t="str">
        <f t="shared" ref="J75:P75" si="65">J12</f>
        <v>AFUDC</v>
      </c>
      <c r="K75" s="630" t="str">
        <f t="shared" si="65"/>
        <v>Gross Plant</v>
      </c>
      <c r="L75" s="630" t="str">
        <f t="shared" si="65"/>
        <v>Accrual</v>
      </c>
      <c r="M75" s="630" t="str">
        <f t="shared" si="65"/>
        <v>Reserve</v>
      </c>
      <c r="N75" s="630" t="str">
        <f t="shared" si="65"/>
        <v>Net Plant</v>
      </c>
      <c r="O75" s="630" t="str">
        <f t="shared" si="65"/>
        <v>Additions</v>
      </c>
      <c r="P75" s="630" t="str">
        <f t="shared" si="65"/>
        <v>Additions</v>
      </c>
      <c r="Q75" s="630"/>
      <c r="S75" s="666"/>
      <c r="T75" s="630"/>
      <c r="U75" s="630"/>
      <c r="V75" s="630"/>
      <c r="W75" s="630"/>
      <c r="X75" s="630"/>
      <c r="Y75" s="630"/>
    </row>
    <row r="76" spans="1:25" ht="13">
      <c r="A76" s="627">
        <f>A68+1</f>
        <v>50</v>
      </c>
      <c r="C76" s="612" t="str">
        <f t="shared" ref="C76:C96" si="66">C45</f>
        <v>January</v>
      </c>
      <c r="D76" s="844">
        <v>2020</v>
      </c>
      <c r="E76" s="638">
        <v>6520859.7674745545</v>
      </c>
      <c r="F76" s="638">
        <v>626093.30416666798</v>
      </c>
      <c r="G76" s="631">
        <f>(E76-F76)*$E$103</f>
        <v>442107.48474809149</v>
      </c>
      <c r="H76" s="582">
        <f>(E76-F76+G76)*$E$107</f>
        <v>506949.91584447824</v>
      </c>
      <c r="I76" s="631">
        <f>E76-F76+G76-H76</f>
        <v>5829924.0322114993</v>
      </c>
      <c r="J76" s="631">
        <f t="shared" ref="J76:J99" si="67">I76*$E$111</f>
        <v>174897.72096634496</v>
      </c>
      <c r="K76" s="582">
        <f>F76+I76+J76</f>
        <v>6630915.0573445121</v>
      </c>
      <c r="L76" s="582">
        <v>0</v>
      </c>
      <c r="M76" s="582">
        <f>L76</f>
        <v>0</v>
      </c>
      <c r="N76" s="582">
        <f t="shared" ref="N76:N99" si="68">K76-M76</f>
        <v>6630915.0573445121</v>
      </c>
      <c r="O76" s="664">
        <v>0</v>
      </c>
      <c r="P76" s="582">
        <f t="shared" ref="P76:P96" si="69">O76*(1-$E$107)*(1+$E$103+$E$111)</f>
        <v>0</v>
      </c>
      <c r="Q76" s="636"/>
      <c r="R76" s="633"/>
      <c r="S76" s="636"/>
      <c r="T76" s="636"/>
      <c r="U76" s="633"/>
      <c r="V76" s="479"/>
      <c r="W76" s="636"/>
      <c r="X76" s="633"/>
      <c r="Y76" s="479"/>
    </row>
    <row r="77" spans="1:25" ht="13">
      <c r="A77" s="627">
        <f t="shared" si="58"/>
        <v>51</v>
      </c>
      <c r="C77" s="612" t="str">
        <f t="shared" si="66"/>
        <v>February</v>
      </c>
      <c r="D77" s="844">
        <v>2020</v>
      </c>
      <c r="E77" s="638">
        <v>8866682.1374745481</v>
      </c>
      <c r="F77" s="638">
        <v>2570581.6741666654</v>
      </c>
      <c r="G77" s="631">
        <f t="shared" ref="G77:G99" si="70">(E77-F77)*$E$103</f>
        <v>472207.53474809119</v>
      </c>
      <c r="H77" s="582">
        <f t="shared" ref="H77:H99" si="71">(E77-F77+G77)*$E$107</f>
        <v>541464.63984447788</v>
      </c>
      <c r="I77" s="631">
        <f t="shared" ref="I77:I99" si="72">E77-F77+G77-H77</f>
        <v>6226843.3582114959</v>
      </c>
      <c r="J77" s="631">
        <f t="shared" si="67"/>
        <v>186805.30074634487</v>
      </c>
      <c r="K77" s="582">
        <f>K76+J77+I77+F77</f>
        <v>15615145.390469018</v>
      </c>
      <c r="L77" s="582">
        <f t="shared" ref="L77:L99" si="73">K76*$E$133/12</f>
        <v>14065.884170904132</v>
      </c>
      <c r="M77" s="582">
        <f>M76+L77</f>
        <v>14065.884170904132</v>
      </c>
      <c r="N77" s="582">
        <f t="shared" si="68"/>
        <v>15601079.506298114</v>
      </c>
      <c r="O77" s="664">
        <v>0</v>
      </c>
      <c r="P77" s="582">
        <f t="shared" si="69"/>
        <v>0</v>
      </c>
      <c r="Q77" s="636"/>
      <c r="R77" s="633"/>
      <c r="S77" s="636"/>
      <c r="T77" s="636"/>
      <c r="U77" s="633"/>
      <c r="V77" s="479"/>
      <c r="W77" s="636"/>
      <c r="X77" s="633"/>
      <c r="Y77" s="479"/>
    </row>
    <row r="78" spans="1:25" ht="13">
      <c r="A78" s="627">
        <f t="shared" si="58"/>
        <v>52</v>
      </c>
      <c r="C78" s="612" t="str">
        <f t="shared" si="66"/>
        <v>March</v>
      </c>
      <c r="D78" s="844">
        <v>2020</v>
      </c>
      <c r="E78" s="638">
        <v>6981435.367474556</v>
      </c>
      <c r="F78" s="638">
        <v>728519.90416666807</v>
      </c>
      <c r="G78" s="631">
        <f t="shared" si="70"/>
        <v>468968.6597480916</v>
      </c>
      <c r="H78" s="582">
        <f t="shared" si="71"/>
        <v>537750.72984447842</v>
      </c>
      <c r="I78" s="631">
        <f t="shared" si="72"/>
        <v>6184133.3932115007</v>
      </c>
      <c r="J78" s="631">
        <f t="shared" si="67"/>
        <v>185524.00179634502</v>
      </c>
      <c r="K78" s="582">
        <f t="shared" ref="K78:K99" si="74">K77+J78+I78+F78</f>
        <v>22713322.689643532</v>
      </c>
      <c r="L78" s="582">
        <f t="shared" si="73"/>
        <v>33123.758104982357</v>
      </c>
      <c r="M78" s="582">
        <f t="shared" ref="M78:M99" si="75">M77+L78</f>
        <v>47189.642275886486</v>
      </c>
      <c r="N78" s="582">
        <f t="shared" si="68"/>
        <v>22666133.047367647</v>
      </c>
      <c r="O78" s="664">
        <v>0</v>
      </c>
      <c r="P78" s="582">
        <f t="shared" si="69"/>
        <v>0</v>
      </c>
      <c r="Q78" s="636"/>
      <c r="R78" s="633"/>
      <c r="S78" s="636"/>
      <c r="T78" s="636"/>
      <c r="U78" s="633"/>
      <c r="V78" s="479"/>
      <c r="W78" s="636"/>
      <c r="X78" s="633"/>
      <c r="Y78" s="479"/>
    </row>
    <row r="79" spans="1:25" ht="13">
      <c r="A79" s="627">
        <f t="shared" si="58"/>
        <v>53</v>
      </c>
      <c r="C79" s="612" t="str">
        <f t="shared" si="66"/>
        <v>April</v>
      </c>
      <c r="D79" s="844">
        <v>2020</v>
      </c>
      <c r="E79" s="638">
        <v>6520859.7674745545</v>
      </c>
      <c r="F79" s="638">
        <v>626093.30416666798</v>
      </c>
      <c r="G79" s="631">
        <f t="shared" si="70"/>
        <v>442107.48474809149</v>
      </c>
      <c r="H79" s="582">
        <f t="shared" si="71"/>
        <v>506949.91584447824</v>
      </c>
      <c r="I79" s="631">
        <f t="shared" si="72"/>
        <v>5829924.0322114993</v>
      </c>
      <c r="J79" s="631">
        <f t="shared" si="67"/>
        <v>174897.72096634496</v>
      </c>
      <c r="K79" s="582">
        <f t="shared" si="74"/>
        <v>29344237.746988043</v>
      </c>
      <c r="L79" s="582">
        <f t="shared" si="73"/>
        <v>48180.826224734999</v>
      </c>
      <c r="M79" s="582">
        <f t="shared" si="75"/>
        <v>95370.468500621486</v>
      </c>
      <c r="N79" s="582">
        <f t="shared" si="68"/>
        <v>29248867.278487422</v>
      </c>
      <c r="O79" s="664">
        <v>0</v>
      </c>
      <c r="P79" s="582">
        <f t="shared" si="69"/>
        <v>0</v>
      </c>
      <c r="Q79" s="636"/>
      <c r="R79" s="633"/>
      <c r="S79" s="636"/>
      <c r="T79" s="636"/>
      <c r="U79" s="633"/>
      <c r="V79" s="479"/>
      <c r="W79" s="636"/>
      <c r="X79" s="633"/>
      <c r="Y79" s="479"/>
    </row>
    <row r="80" spans="1:25" ht="13">
      <c r="A80" s="627">
        <f t="shared" si="58"/>
        <v>54</v>
      </c>
      <c r="C80" s="612" t="str">
        <f t="shared" si="66"/>
        <v>May</v>
      </c>
      <c r="D80" s="844">
        <v>2020</v>
      </c>
      <c r="E80" s="638">
        <v>29634916.687474575</v>
      </c>
      <c r="F80" s="638">
        <v>20779250.224166688</v>
      </c>
      <c r="G80" s="631">
        <f t="shared" si="70"/>
        <v>664174.98474809155</v>
      </c>
      <c r="H80" s="582">
        <f t="shared" si="71"/>
        <v>761587.31584447832</v>
      </c>
      <c r="I80" s="631">
        <f t="shared" si="72"/>
        <v>8758254.1322115008</v>
      </c>
      <c r="J80" s="631">
        <f t="shared" si="67"/>
        <v>262747.62396634504</v>
      </c>
      <c r="K80" s="582">
        <f t="shared" si="74"/>
        <v>59144489.727332577</v>
      </c>
      <c r="L80" s="582">
        <f t="shared" si="73"/>
        <v>62246.710395639129</v>
      </c>
      <c r="M80" s="582">
        <f t="shared" si="75"/>
        <v>157617.17889626062</v>
      </c>
      <c r="N80" s="582">
        <f t="shared" si="68"/>
        <v>58986872.548436314</v>
      </c>
      <c r="O80" s="664">
        <v>0</v>
      </c>
      <c r="P80" s="582">
        <f t="shared" si="69"/>
        <v>0</v>
      </c>
      <c r="Q80" s="636"/>
      <c r="R80" s="633"/>
      <c r="S80" s="636"/>
      <c r="T80" s="636"/>
      <c r="U80" s="633"/>
      <c r="V80" s="479"/>
      <c r="W80" s="636"/>
      <c r="X80" s="633"/>
      <c r="Y80" s="479"/>
    </row>
    <row r="81" spans="1:25" ht="13">
      <c r="A81" s="627">
        <f t="shared" si="58"/>
        <v>55</v>
      </c>
      <c r="C81" s="612" t="str">
        <f t="shared" si="66"/>
        <v xml:space="preserve">June </v>
      </c>
      <c r="D81" s="844">
        <v>2020</v>
      </c>
      <c r="E81" s="638">
        <v>45882323.40747457</v>
      </c>
      <c r="F81" s="638">
        <v>22901660.944166679</v>
      </c>
      <c r="G81" s="631">
        <f t="shared" si="70"/>
        <v>1723549.6847480917</v>
      </c>
      <c r="H81" s="582">
        <f t="shared" si="71"/>
        <v>1976336.9718444785</v>
      </c>
      <c r="I81" s="631">
        <f t="shared" si="72"/>
        <v>22727875.176211502</v>
      </c>
      <c r="J81" s="631">
        <f t="shared" si="67"/>
        <v>681836.25528634503</v>
      </c>
      <c r="K81" s="582">
        <f t="shared" si="74"/>
        <v>105455862.10299709</v>
      </c>
      <c r="L81" s="582">
        <f t="shared" si="73"/>
        <v>125460.74480782881</v>
      </c>
      <c r="M81" s="582">
        <f t="shared" si="75"/>
        <v>283077.92370408942</v>
      </c>
      <c r="N81" s="582">
        <f t="shared" si="68"/>
        <v>105172784.17929301</v>
      </c>
      <c r="O81" s="664">
        <v>434796.99999999994</v>
      </c>
      <c r="P81" s="582">
        <f t="shared" si="69"/>
        <v>442014.63019999996</v>
      </c>
      <c r="Q81" s="636"/>
      <c r="R81" s="633"/>
      <c r="S81" s="636"/>
      <c r="T81" s="636"/>
      <c r="U81" s="633"/>
      <c r="V81" s="479"/>
      <c r="W81" s="636"/>
      <c r="X81" s="633"/>
      <c r="Y81" s="479"/>
    </row>
    <row r="82" spans="1:25" ht="13">
      <c r="A82" s="627">
        <f t="shared" si="58"/>
        <v>56</v>
      </c>
      <c r="C82" s="612" t="str">
        <f t="shared" si="66"/>
        <v>July</v>
      </c>
      <c r="D82" s="844">
        <v>2020</v>
      </c>
      <c r="E82" s="638">
        <v>8587116.4674745649</v>
      </c>
      <c r="F82" s="638">
        <v>1997320.8541666679</v>
      </c>
      <c r="G82" s="631">
        <f t="shared" si="70"/>
        <v>494234.67099809228</v>
      </c>
      <c r="H82" s="582">
        <f t="shared" si="71"/>
        <v>566722.42274447915</v>
      </c>
      <c r="I82" s="631">
        <f t="shared" si="72"/>
        <v>6517307.8615615107</v>
      </c>
      <c r="J82" s="631">
        <f t="shared" si="67"/>
        <v>195519.23584684532</v>
      </c>
      <c r="K82" s="582">
        <f t="shared" si="74"/>
        <v>114166010.05457212</v>
      </c>
      <c r="L82" s="582">
        <f t="shared" si="73"/>
        <v>223699.13181750607</v>
      </c>
      <c r="M82" s="582">
        <f t="shared" si="75"/>
        <v>506777.05552159552</v>
      </c>
      <c r="N82" s="582">
        <f t="shared" si="68"/>
        <v>113659232.99905053</v>
      </c>
      <c r="O82" s="664">
        <v>434796.99999999994</v>
      </c>
      <c r="P82" s="582">
        <f t="shared" si="69"/>
        <v>442014.63019999996</v>
      </c>
      <c r="Q82" s="636"/>
      <c r="R82" s="633"/>
      <c r="S82" s="636"/>
      <c r="T82" s="636"/>
      <c r="U82" s="633"/>
      <c r="V82" s="479"/>
      <c r="W82" s="636"/>
      <c r="X82" s="633"/>
      <c r="Y82" s="479"/>
    </row>
    <row r="83" spans="1:25" ht="13">
      <c r="A83" s="627">
        <f t="shared" si="58"/>
        <v>57</v>
      </c>
      <c r="C83" s="612" t="str">
        <f t="shared" si="66"/>
        <v>August</v>
      </c>
      <c r="D83" s="844">
        <v>2020</v>
      </c>
      <c r="E83" s="638">
        <v>43103487.567474484</v>
      </c>
      <c r="F83" s="638">
        <v>15714170.064166641</v>
      </c>
      <c r="G83" s="631">
        <f t="shared" si="70"/>
        <v>2054198.812748088</v>
      </c>
      <c r="H83" s="582">
        <f t="shared" si="71"/>
        <v>2355481.3052844745</v>
      </c>
      <c r="I83" s="631">
        <f t="shared" si="72"/>
        <v>27088035.010771457</v>
      </c>
      <c r="J83" s="631">
        <f t="shared" si="67"/>
        <v>812641.05032314372</v>
      </c>
      <c r="K83" s="582">
        <f t="shared" si="74"/>
        <v>157780856.17983335</v>
      </c>
      <c r="L83" s="582">
        <f t="shared" si="73"/>
        <v>242175.60620132307</v>
      </c>
      <c r="M83" s="582">
        <f t="shared" si="75"/>
        <v>748952.66172291862</v>
      </c>
      <c r="N83" s="582">
        <f t="shared" si="68"/>
        <v>157031903.51811042</v>
      </c>
      <c r="O83" s="664">
        <v>434796.99999999994</v>
      </c>
      <c r="P83" s="582">
        <f t="shared" si="69"/>
        <v>442014.63019999996</v>
      </c>
      <c r="Q83" s="636"/>
      <c r="R83" s="633"/>
      <c r="S83" s="636"/>
      <c r="T83" s="636"/>
      <c r="U83" s="633"/>
      <c r="V83" s="479"/>
      <c r="W83" s="636"/>
      <c r="X83" s="633"/>
      <c r="Y83" s="479"/>
    </row>
    <row r="84" spans="1:25" ht="13">
      <c r="A84" s="627">
        <f t="shared" si="58"/>
        <v>58</v>
      </c>
      <c r="C84" s="612" t="str">
        <f t="shared" si="66"/>
        <v>September</v>
      </c>
      <c r="D84" s="844">
        <v>2020</v>
      </c>
      <c r="E84" s="638">
        <v>6520859.7674745619</v>
      </c>
      <c r="F84" s="638">
        <v>626093.30416666798</v>
      </c>
      <c r="G84" s="631">
        <f t="shared" si="70"/>
        <v>442107.48474809201</v>
      </c>
      <c r="H84" s="582">
        <f t="shared" si="71"/>
        <v>506949.91584447894</v>
      </c>
      <c r="I84" s="631">
        <f t="shared" si="72"/>
        <v>5829924.0322115077</v>
      </c>
      <c r="J84" s="631">
        <f t="shared" si="67"/>
        <v>174897.72096634522</v>
      </c>
      <c r="K84" s="582">
        <f t="shared" si="74"/>
        <v>164411771.23717788</v>
      </c>
      <c r="L84" s="582">
        <f t="shared" si="73"/>
        <v>334693.96428980882</v>
      </c>
      <c r="M84" s="582">
        <f t="shared" si="75"/>
        <v>1083646.6260127274</v>
      </c>
      <c r="N84" s="582">
        <f t="shared" si="68"/>
        <v>163328124.61116517</v>
      </c>
      <c r="O84" s="664">
        <v>434796.99999999994</v>
      </c>
      <c r="P84" s="582">
        <f t="shared" si="69"/>
        <v>442014.63019999996</v>
      </c>
      <c r="Q84" s="636"/>
      <c r="R84" s="633"/>
      <c r="S84" s="636"/>
      <c r="T84" s="636"/>
      <c r="U84" s="633"/>
      <c r="V84" s="479"/>
      <c r="W84" s="636"/>
      <c r="X84" s="633"/>
      <c r="Y84" s="479"/>
    </row>
    <row r="85" spans="1:25" ht="13">
      <c r="A85" s="627">
        <f t="shared" si="58"/>
        <v>59</v>
      </c>
      <c r="C85" s="612" t="str">
        <f t="shared" si="66"/>
        <v xml:space="preserve">October </v>
      </c>
      <c r="D85" s="844">
        <v>2020</v>
      </c>
      <c r="E85" s="638">
        <v>6782215.4674745798</v>
      </c>
      <c r="F85" s="638">
        <v>627849.00416666793</v>
      </c>
      <c r="G85" s="631">
        <f t="shared" si="70"/>
        <v>461577.48474809335</v>
      </c>
      <c r="H85" s="582">
        <f t="shared" si="71"/>
        <v>529275.51584448037</v>
      </c>
      <c r="I85" s="631">
        <f t="shared" si="72"/>
        <v>6086668.4322115248</v>
      </c>
      <c r="J85" s="631">
        <f t="shared" si="67"/>
        <v>182600.05296634574</v>
      </c>
      <c r="K85" s="582">
        <f t="shared" si="74"/>
        <v>171308888.72652242</v>
      </c>
      <c r="L85" s="582">
        <f t="shared" si="73"/>
        <v>348759.84846071294</v>
      </c>
      <c r="M85" s="582">
        <f t="shared" si="75"/>
        <v>1432406.4744734403</v>
      </c>
      <c r="N85" s="582">
        <f t="shared" si="68"/>
        <v>169876482.25204897</v>
      </c>
      <c r="O85" s="664">
        <v>696152.7</v>
      </c>
      <c r="P85" s="582">
        <f t="shared" si="69"/>
        <v>707708.83481999987</v>
      </c>
      <c r="Q85" s="636"/>
      <c r="R85" s="633"/>
      <c r="S85" s="636"/>
      <c r="T85" s="636"/>
      <c r="U85" s="633"/>
      <c r="V85" s="479"/>
      <c r="W85" s="636"/>
      <c r="X85" s="633"/>
      <c r="Y85" s="479"/>
    </row>
    <row r="86" spans="1:25" ht="13">
      <c r="A86" s="627">
        <f t="shared" si="58"/>
        <v>60</v>
      </c>
      <c r="C86" s="612" t="str">
        <f t="shared" si="66"/>
        <v>November</v>
      </c>
      <c r="D86" s="844">
        <v>2020</v>
      </c>
      <c r="E86" s="638">
        <v>14003017.517474562</v>
      </c>
      <c r="F86" s="638">
        <v>4396079.0541666718</v>
      </c>
      <c r="G86" s="631">
        <f t="shared" si="70"/>
        <v>720520.3847480918</v>
      </c>
      <c r="H86" s="582">
        <f t="shared" si="71"/>
        <v>826196.70784447866</v>
      </c>
      <c r="I86" s="631">
        <f t="shared" si="72"/>
        <v>9501262.140211504</v>
      </c>
      <c r="J86" s="631">
        <f t="shared" si="67"/>
        <v>285037.86420634511</v>
      </c>
      <c r="K86" s="582">
        <f t="shared" si="74"/>
        <v>185491267.78510693</v>
      </c>
      <c r="L86" s="582">
        <f t="shared" si="73"/>
        <v>363390.41677281685</v>
      </c>
      <c r="M86" s="582">
        <f t="shared" si="75"/>
        <v>1795796.8912462571</v>
      </c>
      <c r="N86" s="582">
        <f t="shared" si="68"/>
        <v>183695470.89386067</v>
      </c>
      <c r="O86" s="664">
        <v>696152.7</v>
      </c>
      <c r="P86" s="582">
        <f t="shared" si="69"/>
        <v>707708.83481999987</v>
      </c>
      <c r="Q86" s="636"/>
      <c r="R86" s="633"/>
      <c r="S86" s="636"/>
      <c r="T86" s="636"/>
      <c r="U86" s="633"/>
      <c r="V86" s="479"/>
      <c r="W86" s="636"/>
      <c r="X86" s="633"/>
      <c r="Y86" s="479"/>
    </row>
    <row r="87" spans="1:25" ht="13">
      <c r="A87" s="627">
        <f t="shared" si="58"/>
        <v>61</v>
      </c>
      <c r="C87" s="612" t="str">
        <f t="shared" si="66"/>
        <v>December</v>
      </c>
      <c r="D87" s="844">
        <v>2020</v>
      </c>
      <c r="E87" s="638">
        <v>128708312.19767445</v>
      </c>
      <c r="F87" s="638">
        <v>89270617.154466599</v>
      </c>
      <c r="G87" s="631">
        <f t="shared" si="70"/>
        <v>2957827.1282405891</v>
      </c>
      <c r="H87" s="582">
        <f t="shared" si="71"/>
        <v>3391641.7737158751</v>
      </c>
      <c r="I87" s="631">
        <f t="shared" si="72"/>
        <v>39003880.397732563</v>
      </c>
      <c r="J87" s="631">
        <f t="shared" si="67"/>
        <v>1170116.4119319769</v>
      </c>
      <c r="K87" s="582">
        <f t="shared" si="74"/>
        <v>314935881.74923807</v>
      </c>
      <c r="L87" s="582">
        <f t="shared" si="73"/>
        <v>393474.90728140064</v>
      </c>
      <c r="M87" s="582">
        <f t="shared" si="75"/>
        <v>2189271.798527658</v>
      </c>
      <c r="N87" s="582">
        <f t="shared" si="68"/>
        <v>312746609.95071042</v>
      </c>
      <c r="O87" s="664">
        <v>696152.7</v>
      </c>
      <c r="P87" s="582">
        <f t="shared" si="69"/>
        <v>707708.83481999987</v>
      </c>
      <c r="Q87" s="636"/>
      <c r="R87" s="633"/>
      <c r="S87" s="636"/>
      <c r="T87" s="636"/>
      <c r="U87" s="633"/>
      <c r="V87" s="479"/>
      <c r="W87" s="636"/>
      <c r="X87" s="633"/>
      <c r="Y87" s="479"/>
    </row>
    <row r="88" spans="1:25" ht="13">
      <c r="A88" s="627">
        <f t="shared" si="58"/>
        <v>62</v>
      </c>
      <c r="C88" s="612" t="str">
        <f t="shared" si="66"/>
        <v>January</v>
      </c>
      <c r="D88" s="844">
        <v>2021</v>
      </c>
      <c r="E88" s="638">
        <v>9582167.3822997808</v>
      </c>
      <c r="F88" s="638">
        <v>34057.140000000007</v>
      </c>
      <c r="G88" s="631">
        <f t="shared" si="70"/>
        <v>716108.26817248354</v>
      </c>
      <c r="H88" s="582">
        <f t="shared" si="71"/>
        <v>821137.4808377811</v>
      </c>
      <c r="I88" s="631">
        <f t="shared" si="72"/>
        <v>9443081.0296344832</v>
      </c>
      <c r="J88" s="631">
        <f t="shared" si="67"/>
        <v>283292.43088903447</v>
      </c>
      <c r="K88" s="582">
        <f t="shared" si="74"/>
        <v>324696312.34976155</v>
      </c>
      <c r="L88" s="582">
        <f t="shared" si="73"/>
        <v>668060.3801491569</v>
      </c>
      <c r="M88" s="582">
        <f t="shared" si="75"/>
        <v>2857332.1786768148</v>
      </c>
      <c r="N88" s="582">
        <f t="shared" si="68"/>
        <v>321838980.1710847</v>
      </c>
      <c r="O88" s="664">
        <v>696152.7</v>
      </c>
      <c r="P88" s="582">
        <f t="shared" si="69"/>
        <v>707708.83481999987</v>
      </c>
      <c r="Q88" s="636"/>
      <c r="R88" s="633"/>
      <c r="S88" s="636"/>
      <c r="T88" s="636"/>
      <c r="U88" s="633"/>
      <c r="V88" s="479"/>
      <c r="W88" s="636"/>
      <c r="X88" s="633"/>
      <c r="Y88" s="479"/>
    </row>
    <row r="89" spans="1:25" ht="13">
      <c r="A89" s="627">
        <f t="shared" si="58"/>
        <v>63</v>
      </c>
      <c r="C89" s="612" t="str">
        <f t="shared" si="66"/>
        <v>February</v>
      </c>
      <c r="D89" s="844">
        <v>2021</v>
      </c>
      <c r="E89" s="638">
        <v>12999320.492299795</v>
      </c>
      <c r="F89" s="638">
        <v>1312072.72</v>
      </c>
      <c r="G89" s="631">
        <f t="shared" si="70"/>
        <v>876543.58292248461</v>
      </c>
      <c r="H89" s="582">
        <f t="shared" si="71"/>
        <v>1005103.3084177823</v>
      </c>
      <c r="I89" s="631">
        <f t="shared" si="72"/>
        <v>11558688.046804497</v>
      </c>
      <c r="J89" s="631">
        <f t="shared" si="67"/>
        <v>346760.64140413492</v>
      </c>
      <c r="K89" s="582">
        <f t="shared" si="74"/>
        <v>337913833.75797021</v>
      </c>
      <c r="L89" s="582">
        <f t="shared" si="73"/>
        <v>688764.77540951362</v>
      </c>
      <c r="M89" s="582">
        <f t="shared" si="75"/>
        <v>3546096.9540863284</v>
      </c>
      <c r="N89" s="582">
        <f t="shared" si="68"/>
        <v>334367736.80388391</v>
      </c>
      <c r="O89" s="664">
        <v>696152.7</v>
      </c>
      <c r="P89" s="582">
        <f t="shared" si="69"/>
        <v>707708.83481999987</v>
      </c>
      <c r="Q89" s="636"/>
      <c r="R89" s="633"/>
      <c r="S89" s="636"/>
      <c r="T89" s="636"/>
      <c r="U89" s="633"/>
      <c r="V89" s="479"/>
      <c r="W89" s="636"/>
      <c r="X89" s="633"/>
      <c r="Y89" s="479"/>
    </row>
    <row r="90" spans="1:25" ht="13">
      <c r="A90" s="627">
        <f t="shared" si="58"/>
        <v>64</v>
      </c>
      <c r="C90" s="612" t="str">
        <f t="shared" si="66"/>
        <v>March</v>
      </c>
      <c r="D90" s="844">
        <v>2021</v>
      </c>
      <c r="E90" s="638">
        <v>11064236.608334303</v>
      </c>
      <c r="F90" s="638">
        <v>216549.91603452576</v>
      </c>
      <c r="G90" s="631">
        <f t="shared" si="70"/>
        <v>813576.50192248332</v>
      </c>
      <c r="H90" s="582">
        <f t="shared" si="71"/>
        <v>932901.05553778086</v>
      </c>
      <c r="I90" s="631">
        <f t="shared" si="72"/>
        <v>10728362.13868448</v>
      </c>
      <c r="J90" s="631">
        <f t="shared" si="67"/>
        <v>321850.8641605344</v>
      </c>
      <c r="K90" s="582">
        <f t="shared" si="74"/>
        <v>349180596.67684972</v>
      </c>
      <c r="L90" s="582">
        <f t="shared" si="73"/>
        <v>716802.55353613663</v>
      </c>
      <c r="M90" s="582">
        <f t="shared" si="75"/>
        <v>4262899.5076224655</v>
      </c>
      <c r="N90" s="582">
        <f t="shared" si="68"/>
        <v>344917697.16922724</v>
      </c>
      <c r="O90" s="664">
        <v>696152.7</v>
      </c>
      <c r="P90" s="582">
        <f t="shared" si="69"/>
        <v>707708.83481999987</v>
      </c>
      <c r="Q90" s="636"/>
      <c r="R90" s="633"/>
      <c r="S90" s="636"/>
      <c r="T90" s="636"/>
      <c r="U90" s="633"/>
      <c r="V90" s="479"/>
      <c r="W90" s="636"/>
      <c r="X90" s="633"/>
      <c r="Y90" s="479"/>
    </row>
    <row r="91" spans="1:25" ht="13">
      <c r="A91" s="627">
        <f t="shared" si="58"/>
        <v>65</v>
      </c>
      <c r="C91" s="612" t="str">
        <f t="shared" si="66"/>
        <v>April</v>
      </c>
      <c r="D91" s="844">
        <v>2021</v>
      </c>
      <c r="E91" s="638">
        <v>29752128.992299795</v>
      </c>
      <c r="F91" s="638">
        <v>262635.75</v>
      </c>
      <c r="G91" s="631">
        <f t="shared" si="70"/>
        <v>2211711.9931724845</v>
      </c>
      <c r="H91" s="582">
        <f t="shared" si="71"/>
        <v>2536096.4188377825</v>
      </c>
      <c r="I91" s="631">
        <f t="shared" si="72"/>
        <v>29165108.816634499</v>
      </c>
      <c r="J91" s="631">
        <f t="shared" si="67"/>
        <v>874953.26449903497</v>
      </c>
      <c r="K91" s="582">
        <f t="shared" si="74"/>
        <v>379483294.50798321</v>
      </c>
      <c r="L91" s="582">
        <f t="shared" si="73"/>
        <v>740702.26885860413</v>
      </c>
      <c r="M91" s="582">
        <f t="shared" si="75"/>
        <v>5003601.7764810696</v>
      </c>
      <c r="N91" s="582">
        <f t="shared" si="68"/>
        <v>374479692.73150212</v>
      </c>
      <c r="O91" s="664">
        <v>696152.7</v>
      </c>
      <c r="P91" s="582">
        <f t="shared" si="69"/>
        <v>707708.83481999987</v>
      </c>
      <c r="Q91" s="636"/>
      <c r="R91" s="633"/>
      <c r="S91" s="636"/>
      <c r="T91" s="636"/>
      <c r="U91" s="633"/>
      <c r="V91" s="479"/>
      <c r="W91" s="636"/>
      <c r="X91" s="633"/>
      <c r="Y91" s="479"/>
    </row>
    <row r="92" spans="1:25" ht="13">
      <c r="A92" s="627">
        <f t="shared" si="58"/>
        <v>66</v>
      </c>
      <c r="C92" s="612" t="str">
        <f t="shared" si="66"/>
        <v>May</v>
      </c>
      <c r="D92" s="844">
        <v>2021</v>
      </c>
      <c r="E92" s="638">
        <v>9516702.6122997999</v>
      </c>
      <c r="F92" s="638">
        <v>114882.37</v>
      </c>
      <c r="G92" s="631">
        <f t="shared" si="70"/>
        <v>705136.51817248506</v>
      </c>
      <c r="H92" s="582">
        <f t="shared" si="71"/>
        <v>808556.5408377829</v>
      </c>
      <c r="I92" s="631">
        <f t="shared" si="72"/>
        <v>9298400.2196345031</v>
      </c>
      <c r="J92" s="631">
        <f t="shared" si="67"/>
        <v>278952.0065890351</v>
      </c>
      <c r="K92" s="582">
        <f t="shared" si="74"/>
        <v>389175529.1042068</v>
      </c>
      <c r="L92" s="582">
        <f t="shared" si="73"/>
        <v>804982.12074518902</v>
      </c>
      <c r="M92" s="582">
        <f t="shared" si="75"/>
        <v>5808583.8972262591</v>
      </c>
      <c r="N92" s="582">
        <f t="shared" si="68"/>
        <v>383366945.20698053</v>
      </c>
      <c r="O92" s="664">
        <v>696152.7</v>
      </c>
      <c r="P92" s="582">
        <f t="shared" si="69"/>
        <v>707708.83481999987</v>
      </c>
      <c r="Q92" s="636"/>
      <c r="R92" s="633"/>
      <c r="S92" s="636"/>
      <c r="T92" s="636"/>
      <c r="U92" s="633"/>
      <c r="V92" s="479"/>
      <c r="W92" s="636"/>
      <c r="X92" s="633"/>
      <c r="Y92" s="479"/>
    </row>
    <row r="93" spans="1:25" ht="13">
      <c r="A93" s="627">
        <f t="shared" si="58"/>
        <v>67</v>
      </c>
      <c r="C93" s="612" t="str">
        <f t="shared" si="66"/>
        <v xml:space="preserve">June </v>
      </c>
      <c r="D93" s="844">
        <v>2021</v>
      </c>
      <c r="E93" s="638">
        <v>11699003.45734781</v>
      </c>
      <c r="F93" s="638">
        <v>232803.55504800001</v>
      </c>
      <c r="G93" s="631">
        <f t="shared" si="70"/>
        <v>859964.99267248577</v>
      </c>
      <c r="H93" s="582">
        <f t="shared" si="71"/>
        <v>986093.19159778371</v>
      </c>
      <c r="I93" s="631">
        <f t="shared" si="72"/>
        <v>11340071.703374512</v>
      </c>
      <c r="J93" s="631">
        <f t="shared" si="67"/>
        <v>340202.15110123536</v>
      </c>
      <c r="K93" s="582">
        <f t="shared" si="74"/>
        <v>401088606.51373053</v>
      </c>
      <c r="L93" s="582">
        <f t="shared" si="73"/>
        <v>825541.85465954675</v>
      </c>
      <c r="M93" s="582">
        <f t="shared" si="75"/>
        <v>6634125.7518858062</v>
      </c>
      <c r="N93" s="582">
        <f t="shared" si="68"/>
        <v>394454480.76184469</v>
      </c>
      <c r="O93" s="664">
        <v>1496152.7000000002</v>
      </c>
      <c r="P93" s="582">
        <f t="shared" si="69"/>
        <v>1520988.8348200002</v>
      </c>
      <c r="Q93" s="636"/>
      <c r="R93" s="633"/>
      <c r="S93" s="636"/>
      <c r="T93" s="636"/>
      <c r="U93" s="633"/>
      <c r="V93" s="479"/>
      <c r="W93" s="636"/>
      <c r="X93" s="633"/>
      <c r="Y93" s="479"/>
    </row>
    <row r="94" spans="1:25" ht="13">
      <c r="A94" s="627">
        <f t="shared" si="58"/>
        <v>68</v>
      </c>
      <c r="C94" s="612" t="str">
        <f t="shared" si="66"/>
        <v>July</v>
      </c>
      <c r="D94" s="844">
        <v>2021</v>
      </c>
      <c r="E94" s="638">
        <v>9973810.1722998023</v>
      </c>
      <c r="F94" s="638">
        <v>21989.929999999989</v>
      </c>
      <c r="G94" s="631">
        <f t="shared" si="70"/>
        <v>746386.51817248517</v>
      </c>
      <c r="H94" s="582">
        <f t="shared" si="71"/>
        <v>855856.54083778313</v>
      </c>
      <c r="I94" s="631">
        <f t="shared" si="72"/>
        <v>9842350.219634505</v>
      </c>
      <c r="J94" s="631">
        <f t="shared" si="67"/>
        <v>295270.50658903515</v>
      </c>
      <c r="K94" s="582">
        <f t="shared" si="74"/>
        <v>411248217.16995412</v>
      </c>
      <c r="L94" s="582">
        <f t="shared" si="73"/>
        <v>850812.57001515583</v>
      </c>
      <c r="M94" s="582">
        <f t="shared" si="75"/>
        <v>7484938.3219009619</v>
      </c>
      <c r="N94" s="582">
        <f t="shared" si="68"/>
        <v>403763278.84805316</v>
      </c>
      <c r="O94" s="664">
        <v>1496152.7000000002</v>
      </c>
      <c r="P94" s="582">
        <f t="shared" si="69"/>
        <v>1520988.8348200002</v>
      </c>
      <c r="Q94" s="636"/>
      <c r="R94" s="633"/>
      <c r="S94" s="636"/>
      <c r="T94" s="636"/>
      <c r="U94" s="633"/>
      <c r="V94" s="479"/>
      <c r="W94" s="636"/>
      <c r="X94" s="633"/>
      <c r="Y94" s="479"/>
    </row>
    <row r="95" spans="1:25" ht="13">
      <c r="A95" s="627">
        <f t="shared" si="58"/>
        <v>69</v>
      </c>
      <c r="C95" s="612" t="str">
        <f t="shared" si="66"/>
        <v>August</v>
      </c>
      <c r="D95" s="844">
        <v>2021</v>
      </c>
      <c r="E95" s="638">
        <v>11039320.562299788</v>
      </c>
      <c r="F95" s="638">
        <v>2500.3200000000002</v>
      </c>
      <c r="G95" s="631">
        <f t="shared" si="70"/>
        <v>827761.51817248401</v>
      </c>
      <c r="H95" s="582">
        <f t="shared" si="71"/>
        <v>949166.54083778174</v>
      </c>
      <c r="I95" s="631">
        <f t="shared" si="72"/>
        <v>10915415.21963449</v>
      </c>
      <c r="J95" s="631">
        <f t="shared" si="67"/>
        <v>327462.4565890347</v>
      </c>
      <c r="K95" s="582">
        <f t="shared" si="74"/>
        <v>422493595.16617763</v>
      </c>
      <c r="L95" s="582">
        <f t="shared" si="73"/>
        <v>872363.72931610944</v>
      </c>
      <c r="M95" s="582">
        <f t="shared" si="75"/>
        <v>8357302.0512170717</v>
      </c>
      <c r="N95" s="582">
        <f t="shared" si="68"/>
        <v>414136293.11496055</v>
      </c>
      <c r="O95" s="664">
        <v>1827152.7000000002</v>
      </c>
      <c r="P95" s="582">
        <f t="shared" si="69"/>
        <v>1857483.4348200001</v>
      </c>
      <c r="Q95" s="636"/>
      <c r="R95" s="633"/>
      <c r="S95" s="636"/>
      <c r="T95" s="636"/>
      <c r="U95" s="633"/>
      <c r="V95" s="479"/>
      <c r="W95" s="636"/>
      <c r="X95" s="633"/>
      <c r="Y95" s="479"/>
    </row>
    <row r="96" spans="1:25" ht="13">
      <c r="A96" s="627">
        <f t="shared" si="58"/>
        <v>70</v>
      </c>
      <c r="C96" s="612" t="str">
        <f t="shared" si="66"/>
        <v>September</v>
      </c>
      <c r="D96" s="844">
        <v>2021</v>
      </c>
      <c r="E96" s="638">
        <v>18488281.752299845</v>
      </c>
      <c r="F96" s="638">
        <v>42461.510000000038</v>
      </c>
      <c r="G96" s="631">
        <f t="shared" si="70"/>
        <v>1383436.5181724883</v>
      </c>
      <c r="H96" s="582">
        <f t="shared" si="71"/>
        <v>1586340.5408377866</v>
      </c>
      <c r="I96" s="631">
        <f t="shared" si="72"/>
        <v>18242916.219634544</v>
      </c>
      <c r="J96" s="631">
        <f t="shared" si="67"/>
        <v>547287.4865890363</v>
      </c>
      <c r="K96" s="582">
        <f t="shared" si="74"/>
        <v>441326260.38240117</v>
      </c>
      <c r="L96" s="582">
        <f t="shared" si="73"/>
        <v>896218.08169206337</v>
      </c>
      <c r="M96" s="582">
        <f t="shared" si="75"/>
        <v>9253520.1329091359</v>
      </c>
      <c r="N96" s="582">
        <f t="shared" si="68"/>
        <v>432072740.24949205</v>
      </c>
      <c r="O96" s="664">
        <v>1827152.7000000002</v>
      </c>
      <c r="P96" s="582">
        <f t="shared" si="69"/>
        <v>1857483.4348200001</v>
      </c>
      <c r="Q96" s="636"/>
      <c r="R96" s="633"/>
      <c r="S96" s="636"/>
      <c r="T96" s="636"/>
      <c r="U96" s="633"/>
      <c r="V96" s="479"/>
      <c r="W96" s="636"/>
      <c r="X96" s="633"/>
      <c r="Y96" s="479"/>
    </row>
    <row r="97" spans="1:25" ht="13">
      <c r="A97" s="628">
        <f t="shared" si="58"/>
        <v>71</v>
      </c>
      <c r="C97" s="612" t="str">
        <f t="shared" ref="C97:C99" si="76">C66</f>
        <v>October</v>
      </c>
      <c r="D97" s="844">
        <v>2021</v>
      </c>
      <c r="E97" s="638">
        <v>9400820.2422997952</v>
      </c>
      <c r="F97" s="638">
        <v>0</v>
      </c>
      <c r="G97" s="631">
        <f t="shared" si="70"/>
        <v>705061.51817248459</v>
      </c>
      <c r="H97" s="582">
        <f t="shared" si="71"/>
        <v>808470.54083778232</v>
      </c>
      <c r="I97" s="631">
        <f t="shared" si="72"/>
        <v>9297411.2196344975</v>
      </c>
      <c r="J97" s="631">
        <f t="shared" si="67"/>
        <v>278922.33658903494</v>
      </c>
      <c r="K97" s="582">
        <f t="shared" si="74"/>
        <v>450902593.93862468</v>
      </c>
      <c r="L97" s="582">
        <f t="shared" si="73"/>
        <v>936167.03070889774</v>
      </c>
      <c r="M97" s="582">
        <f t="shared" si="75"/>
        <v>10189687.163618034</v>
      </c>
      <c r="N97" s="582">
        <f t="shared" si="68"/>
        <v>440712906.77500665</v>
      </c>
      <c r="O97" s="664">
        <v>1827152.7000000002</v>
      </c>
      <c r="P97" s="582">
        <f t="shared" ref="P97:P99" si="77">O97*(1-$E$107)*(1+$E$103+$E$111)</f>
        <v>1857483.4348200001</v>
      </c>
      <c r="Q97" s="636"/>
      <c r="R97" s="633"/>
      <c r="S97" s="636"/>
      <c r="T97" s="636"/>
      <c r="U97" s="633"/>
      <c r="V97" s="479"/>
      <c r="W97" s="636"/>
      <c r="X97" s="633"/>
      <c r="Y97" s="479"/>
    </row>
    <row r="98" spans="1:25" ht="13">
      <c r="A98" s="628">
        <f t="shared" si="58"/>
        <v>72</v>
      </c>
      <c r="C98" s="612" t="str">
        <f t="shared" si="76"/>
        <v>November</v>
      </c>
      <c r="D98" s="844">
        <v>2021</v>
      </c>
      <c r="E98" s="638">
        <v>9400820.2422997952</v>
      </c>
      <c r="F98" s="638">
        <v>0</v>
      </c>
      <c r="G98" s="631">
        <f t="shared" si="70"/>
        <v>705061.51817248459</v>
      </c>
      <c r="H98" s="582">
        <f t="shared" si="71"/>
        <v>808470.54083778232</v>
      </c>
      <c r="I98" s="631">
        <f t="shared" si="72"/>
        <v>9297411.2196344975</v>
      </c>
      <c r="J98" s="631">
        <f t="shared" si="67"/>
        <v>278922.33658903494</v>
      </c>
      <c r="K98" s="582">
        <f t="shared" si="74"/>
        <v>460478927.49484819</v>
      </c>
      <c r="L98" s="582">
        <f t="shared" si="73"/>
        <v>956480.90857023268</v>
      </c>
      <c r="M98" s="582">
        <f t="shared" si="75"/>
        <v>11146168.072188266</v>
      </c>
      <c r="N98" s="582">
        <f t="shared" si="68"/>
        <v>449332759.42265993</v>
      </c>
      <c r="O98" s="664">
        <v>1827152.7000000002</v>
      </c>
      <c r="P98" s="582">
        <f t="shared" si="77"/>
        <v>1857483.4348200001</v>
      </c>
      <c r="Q98" s="636"/>
      <c r="R98" s="633"/>
      <c r="S98" s="636"/>
      <c r="T98" s="636"/>
      <c r="U98" s="633"/>
      <c r="V98" s="479"/>
      <c r="W98" s="636"/>
      <c r="X98" s="633"/>
      <c r="Y98" s="479"/>
    </row>
    <row r="99" spans="1:25" ht="13">
      <c r="A99" s="628">
        <f t="shared" si="58"/>
        <v>73</v>
      </c>
      <c r="C99" s="612" t="str">
        <f t="shared" si="76"/>
        <v>December</v>
      </c>
      <c r="D99" s="844">
        <v>2021</v>
      </c>
      <c r="E99" s="638">
        <v>36249740.682299793</v>
      </c>
      <c r="F99" s="638">
        <v>368897.15999999968</v>
      </c>
      <c r="G99" s="631">
        <f t="shared" si="70"/>
        <v>2691063.2641724846</v>
      </c>
      <c r="H99" s="582">
        <f t="shared" si="71"/>
        <v>3085752.5429177829</v>
      </c>
      <c r="I99" s="631">
        <f t="shared" si="72"/>
        <v>35486154.243554503</v>
      </c>
      <c r="J99" s="631">
        <f t="shared" si="67"/>
        <v>1064584.627306635</v>
      </c>
      <c r="K99" s="582">
        <f t="shared" si="74"/>
        <v>497398563.52570933</v>
      </c>
      <c r="L99" s="582">
        <f t="shared" si="73"/>
        <v>976794.78643156739</v>
      </c>
      <c r="M99" s="582">
        <f t="shared" si="75"/>
        <v>12122962.858619833</v>
      </c>
      <c r="N99" s="582">
        <f t="shared" si="68"/>
        <v>485275600.66708952</v>
      </c>
      <c r="O99" s="664">
        <v>1827152.7000000002</v>
      </c>
      <c r="P99" s="582">
        <f t="shared" si="77"/>
        <v>1857483.4348200001</v>
      </c>
      <c r="Q99" s="636"/>
      <c r="R99" s="633"/>
      <c r="S99" s="636"/>
      <c r="T99" s="636"/>
      <c r="U99" s="633"/>
      <c r="V99" s="479"/>
      <c r="W99" s="636"/>
      <c r="X99" s="633"/>
      <c r="Y99" s="479"/>
    </row>
    <row r="100" spans="1:25" ht="13">
      <c r="A100" s="627"/>
      <c r="O100" s="633"/>
    </row>
    <row r="101" spans="1:25" ht="13">
      <c r="A101" s="627"/>
      <c r="B101" s="584" t="s">
        <v>1911</v>
      </c>
      <c r="G101" s="585"/>
    </row>
    <row r="102" spans="1:25" ht="13">
      <c r="A102" s="629" t="s">
        <v>329</v>
      </c>
      <c r="B102" s="585"/>
      <c r="F102" s="667"/>
    </row>
    <row r="103" spans="1:25" ht="13">
      <c r="A103" s="627">
        <f>A99+1</f>
        <v>74</v>
      </c>
      <c r="C103" s="639" t="s">
        <v>1903</v>
      </c>
      <c r="E103" s="640">
        <v>7.4999999999999997E-2</v>
      </c>
    </row>
    <row r="105" spans="1:25" ht="13">
      <c r="A105" s="627"/>
      <c r="B105" s="584" t="s">
        <v>1913</v>
      </c>
    </row>
    <row r="106" spans="1:25" ht="13">
      <c r="A106" s="629" t="s">
        <v>329</v>
      </c>
      <c r="F106" s="667"/>
    </row>
    <row r="107" spans="1:25" ht="13">
      <c r="A107" s="627">
        <f>A103+1</f>
        <v>75</v>
      </c>
      <c r="B107" s="584"/>
      <c r="C107" s="581" t="s">
        <v>1904</v>
      </c>
      <c r="E107" s="640">
        <v>0.08</v>
      </c>
    </row>
    <row r="108" spans="1:25" ht="13">
      <c r="A108" s="627"/>
      <c r="B108" s="585"/>
      <c r="C108" s="581"/>
    </row>
    <row r="109" spans="1:25" ht="13">
      <c r="B109" s="584" t="s">
        <v>1914</v>
      </c>
    </row>
    <row r="110" spans="1:25" ht="13">
      <c r="A110" s="629" t="s">
        <v>329</v>
      </c>
      <c r="B110" s="585"/>
      <c r="F110" s="667"/>
    </row>
    <row r="111" spans="1:25" ht="13">
      <c r="A111" s="627">
        <f>A107+1</f>
        <v>76</v>
      </c>
      <c r="C111" s="581" t="s">
        <v>1905</v>
      </c>
      <c r="E111" s="640">
        <v>0.03</v>
      </c>
    </row>
    <row r="113" spans="1:9" ht="13">
      <c r="B113" s="584" t="s">
        <v>1912</v>
      </c>
    </row>
    <row r="114" spans="1:9" s="624" customFormat="1" ht="13">
      <c r="C114" s="893" t="s">
        <v>1953</v>
      </c>
      <c r="F114" s="641"/>
    </row>
    <row r="115" spans="1:9" s="627" customFormat="1" ht="13">
      <c r="B115" s="624" t="s">
        <v>358</v>
      </c>
      <c r="C115" s="624" t="s">
        <v>342</v>
      </c>
      <c r="D115" s="624" t="s">
        <v>343</v>
      </c>
      <c r="E115" s="624" t="s">
        <v>344</v>
      </c>
      <c r="F115" s="624"/>
    </row>
    <row r="116" spans="1:9" s="624" customFormat="1" ht="13">
      <c r="C116" s="627" t="s">
        <v>180</v>
      </c>
      <c r="D116" s="630"/>
      <c r="E116" s="1158" t="s">
        <v>1906</v>
      </c>
      <c r="F116" s="630"/>
    </row>
    <row r="117" spans="1:9" ht="13">
      <c r="A117" s="627"/>
      <c r="B117" s="627"/>
      <c r="C117" s="627" t="str">
        <f>"Prior Year"</f>
        <v>Prior Year</v>
      </c>
      <c r="D117" s="628" t="s">
        <v>1907</v>
      </c>
      <c r="E117" s="628" t="s">
        <v>1335</v>
      </c>
      <c r="F117" s="628" t="s">
        <v>2031</v>
      </c>
    </row>
    <row r="118" spans="1:9" ht="13">
      <c r="A118" s="624" t="s">
        <v>329</v>
      </c>
      <c r="B118" s="624" t="s">
        <v>1831</v>
      </c>
      <c r="C118" s="624" t="s">
        <v>1908</v>
      </c>
      <c r="D118" s="630" t="s">
        <v>13</v>
      </c>
      <c r="E118" s="630" t="s">
        <v>1907</v>
      </c>
      <c r="F118" s="123" t="s">
        <v>205</v>
      </c>
    </row>
    <row r="119" spans="1:9" ht="13">
      <c r="A119" s="627">
        <f>A111+1</f>
        <v>77</v>
      </c>
      <c r="B119" s="627">
        <v>350.1</v>
      </c>
      <c r="C119" s="668">
        <f>'17-Depreciation'!C24</f>
        <v>88722949.825873926</v>
      </c>
      <c r="D119" s="881">
        <f>'18-DepRates'!G6</f>
        <v>0</v>
      </c>
      <c r="E119" s="882">
        <f>C119*D119</f>
        <v>0</v>
      </c>
      <c r="F119" s="1157" t="s">
        <v>2032</v>
      </c>
      <c r="G119" s="579"/>
      <c r="H119" s="668"/>
      <c r="I119" s="666"/>
    </row>
    <row r="120" spans="1:9" ht="13">
      <c r="A120" s="627">
        <f>A119+1</f>
        <v>78</v>
      </c>
      <c r="B120" s="627">
        <v>350.2</v>
      </c>
      <c r="C120" s="668">
        <f>'17-Depreciation'!D24</f>
        <v>165732565.69245622</v>
      </c>
      <c r="D120" s="881">
        <f>'18-DepRates'!G7</f>
        <v>1.66E-2</v>
      </c>
      <c r="E120" s="882">
        <f>C120*D120</f>
        <v>2751160.5904947734</v>
      </c>
      <c r="F120" s="1157" t="s">
        <v>2033</v>
      </c>
      <c r="G120" s="579"/>
      <c r="H120" s="668"/>
      <c r="I120" s="666"/>
    </row>
    <row r="121" spans="1:9" ht="13">
      <c r="A121" s="627">
        <f t="shared" ref="A121:A133" si="78">A120+1</f>
        <v>79</v>
      </c>
      <c r="B121" s="627">
        <v>352</v>
      </c>
      <c r="C121" s="668">
        <f>'17-Depreciation'!E24</f>
        <v>741230571.26955175</v>
      </c>
      <c r="D121" s="881">
        <f>'18-DepRates'!G8</f>
        <v>2.5700000000000001E-2</v>
      </c>
      <c r="E121" s="882">
        <f t="shared" ref="E121:E128" si="79">C121*D121</f>
        <v>19049625.681627482</v>
      </c>
      <c r="F121" s="1157" t="s">
        <v>2034</v>
      </c>
      <c r="G121" s="579"/>
      <c r="H121" s="668"/>
      <c r="I121" s="666"/>
    </row>
    <row r="122" spans="1:9" ht="13">
      <c r="A122" s="627">
        <f t="shared" si="78"/>
        <v>80</v>
      </c>
      <c r="B122" s="627">
        <v>353</v>
      </c>
      <c r="C122" s="668">
        <f>'17-Depreciation'!F24</f>
        <v>3714934155.6737089</v>
      </c>
      <c r="D122" s="881">
        <f>'18-DepRates'!G9</f>
        <v>2.47E-2</v>
      </c>
      <c r="E122" s="882">
        <f t="shared" si="79"/>
        <v>91758873.645140603</v>
      </c>
      <c r="F122" s="1157" t="s">
        <v>2035</v>
      </c>
      <c r="G122" s="579"/>
      <c r="H122" s="668"/>
      <c r="I122" s="666"/>
    </row>
    <row r="123" spans="1:9" ht="13">
      <c r="A123" s="627">
        <f t="shared" si="78"/>
        <v>81</v>
      </c>
      <c r="B123" s="627">
        <v>354</v>
      </c>
      <c r="C123" s="668">
        <f>'17-Depreciation'!G24</f>
        <v>2305124777.8401799</v>
      </c>
      <c r="D123" s="881">
        <f>'18-DepRates'!G10</f>
        <v>2.4400000000000002E-2</v>
      </c>
      <c r="E123" s="882">
        <f>C123*D123</f>
        <v>56245044.579300396</v>
      </c>
      <c r="F123" s="1157" t="s">
        <v>2036</v>
      </c>
      <c r="G123" s="579"/>
      <c r="H123" s="668"/>
      <c r="I123" s="666"/>
    </row>
    <row r="124" spans="1:9" ht="13">
      <c r="A124" s="627">
        <f t="shared" si="78"/>
        <v>82</v>
      </c>
      <c r="B124" s="627">
        <v>355</v>
      </c>
      <c r="C124" s="668">
        <f>'17-Depreciation'!H24</f>
        <v>408001019.0888837</v>
      </c>
      <c r="D124" s="881">
        <f>'18-DepRates'!G11</f>
        <v>3.6700000000000003E-2</v>
      </c>
      <c r="E124" s="882">
        <f t="shared" si="79"/>
        <v>14973637.400562033</v>
      </c>
      <c r="F124" s="1157" t="s">
        <v>2037</v>
      </c>
      <c r="G124" s="579"/>
      <c r="H124" s="668"/>
      <c r="I124" s="666"/>
    </row>
    <row r="125" spans="1:9" ht="13">
      <c r="A125" s="627">
        <f t="shared" si="78"/>
        <v>83</v>
      </c>
      <c r="B125" s="627">
        <v>356</v>
      </c>
      <c r="C125" s="668">
        <f>'17-Depreciation'!I24</f>
        <v>1408013215.7482004</v>
      </c>
      <c r="D125" s="881">
        <f>'18-DepRates'!G12</f>
        <v>3.0499999999999999E-2</v>
      </c>
      <c r="E125" s="882">
        <f t="shared" si="79"/>
        <v>42944403.080320112</v>
      </c>
      <c r="F125" s="1157" t="s">
        <v>2038</v>
      </c>
      <c r="G125" s="579"/>
      <c r="H125" s="668"/>
      <c r="I125" s="666"/>
    </row>
    <row r="126" spans="1:9" ht="13">
      <c r="A126" s="627">
        <f t="shared" si="78"/>
        <v>84</v>
      </c>
      <c r="B126" s="627">
        <v>357</v>
      </c>
      <c r="C126" s="668">
        <f>'17-Depreciation'!J24</f>
        <v>215368701.52640039</v>
      </c>
      <c r="D126" s="881">
        <f>'18-DepRates'!G13</f>
        <v>1.6500000000000001E-2</v>
      </c>
      <c r="E126" s="882">
        <f t="shared" si="79"/>
        <v>3553583.5751856067</v>
      </c>
      <c r="F126" s="1157" t="s">
        <v>2039</v>
      </c>
      <c r="G126" s="579"/>
      <c r="H126" s="668"/>
      <c r="I126" s="666"/>
    </row>
    <row r="127" spans="1:9" ht="13">
      <c r="A127" s="627">
        <f t="shared" si="78"/>
        <v>85</v>
      </c>
      <c r="B127" s="627">
        <v>358</v>
      </c>
      <c r="C127" s="668">
        <f>'17-Depreciation'!K24</f>
        <v>59251565.606308758</v>
      </c>
      <c r="D127" s="881">
        <f>'18-DepRates'!G14</f>
        <v>3.8699999999999998E-2</v>
      </c>
      <c r="E127" s="882">
        <f t="shared" si="79"/>
        <v>2293035.5889641489</v>
      </c>
      <c r="F127" s="1157" t="s">
        <v>2040</v>
      </c>
      <c r="G127" s="579"/>
      <c r="H127" s="668"/>
      <c r="I127" s="666"/>
    </row>
    <row r="128" spans="1:9" ht="13">
      <c r="A128" s="627">
        <f t="shared" si="78"/>
        <v>86</v>
      </c>
      <c r="B128" s="627">
        <v>359</v>
      </c>
      <c r="C128" s="668">
        <f>'17-Depreciation'!L24</f>
        <v>179151598.49303469</v>
      </c>
      <c r="D128" s="881">
        <f>'18-DepRates'!G15</f>
        <v>1.5599999999999999E-2</v>
      </c>
      <c r="E128" s="882">
        <f t="shared" si="79"/>
        <v>2794764.9364913409</v>
      </c>
      <c r="F128" s="1157" t="s">
        <v>2041</v>
      </c>
      <c r="G128" s="579"/>
      <c r="H128" s="668"/>
      <c r="I128" s="666"/>
    </row>
    <row r="129" spans="1:9" ht="13">
      <c r="A129" s="627">
        <f t="shared" si="78"/>
        <v>87</v>
      </c>
      <c r="F129" s="579"/>
      <c r="G129" s="579"/>
    </row>
    <row r="130" spans="1:9" ht="13">
      <c r="A130" s="627">
        <f t="shared" si="78"/>
        <v>88</v>
      </c>
      <c r="C130" s="642" t="s">
        <v>1909</v>
      </c>
      <c r="E130" s="669">
        <f>SUM(E119:E128)</f>
        <v>236364129.0780865</v>
      </c>
      <c r="F130" s="579" t="str">
        <f>"Sum of C"&amp;RIGHT(E115)&amp;" Lines "&amp;A119&amp;" to "&amp;A128</f>
        <v>Sum of C4 Lines 77 to 86</v>
      </c>
      <c r="G130" s="579"/>
    </row>
    <row r="131" spans="1:9" ht="13">
      <c r="A131" s="627">
        <f t="shared" si="78"/>
        <v>89</v>
      </c>
      <c r="C131" s="621" t="str">
        <f>"Sum of Dec Prior Year Plant"</f>
        <v>Sum of Dec Prior Year Plant</v>
      </c>
      <c r="E131" s="670">
        <f>SUM(C119:C128)</f>
        <v>9285531120.7645969</v>
      </c>
      <c r="F131" s="579" t="str">
        <f>"Sum of C"&amp;RIGHT(C115)&amp;" Lines "&amp;A119&amp;" to "&amp;A128</f>
        <v>Sum of C2 Lines 77 to 86</v>
      </c>
      <c r="G131" s="579"/>
    </row>
    <row r="132" spans="1:9" ht="13">
      <c r="A132" s="627">
        <f t="shared" si="78"/>
        <v>90</v>
      </c>
    </row>
    <row r="133" spans="1:9" ht="13">
      <c r="A133" s="627">
        <f t="shared" si="78"/>
        <v>91</v>
      </c>
      <c r="C133" s="621" t="s">
        <v>1910</v>
      </c>
      <c r="E133" s="643">
        <f>E130/E131</f>
        <v>2.5455100629572128E-2</v>
      </c>
      <c r="F133" s="579" t="str">
        <f>"Line "&amp;A130&amp;" / Line "&amp;A131</f>
        <v>Line 88 / Line 89</v>
      </c>
    </row>
    <row r="134" spans="1:9" ht="13">
      <c r="A134" s="627"/>
    </row>
    <row r="135" spans="1:9" ht="13">
      <c r="A135" s="627"/>
      <c r="B135" s="620" t="s">
        <v>230</v>
      </c>
      <c r="C135"/>
      <c r="D135"/>
      <c r="E135"/>
      <c r="F135"/>
      <c r="G135"/>
      <c r="H135"/>
      <c r="I135"/>
    </row>
    <row r="136" spans="1:9" ht="13">
      <c r="A136" s="627"/>
      <c r="B136" s="615" t="s">
        <v>2062</v>
      </c>
      <c r="C136" s="650"/>
      <c r="D136" s="650"/>
      <c r="E136" s="650"/>
      <c r="F136" s="650"/>
      <c r="G136" s="650"/>
      <c r="H136" s="650"/>
      <c r="I136" s="650"/>
    </row>
    <row r="137" spans="1:9" ht="13">
      <c r="A137" s="627"/>
      <c r="B137" s="615" t="s">
        <v>2071</v>
      </c>
      <c r="C137"/>
      <c r="D137"/>
      <c r="E137"/>
      <c r="F137"/>
      <c r="G137" s="14"/>
      <c r="H137" s="14"/>
      <c r="I137"/>
    </row>
    <row r="138" spans="1:9" ht="13">
      <c r="A138" s="627"/>
    </row>
    <row r="139" spans="1:9" ht="13">
      <c r="A139" s="627"/>
    </row>
    <row r="140" spans="1:9" ht="13">
      <c r="A140" s="627"/>
    </row>
    <row r="141" spans="1:9" ht="13">
      <c r="A141" s="627"/>
    </row>
    <row r="142" spans="1:9" ht="13">
      <c r="A142" s="627"/>
    </row>
    <row r="143" spans="1:9" ht="13">
      <c r="A143" s="627"/>
    </row>
    <row r="144" spans="1:9" ht="13">
      <c r="A144" s="627"/>
    </row>
    <row r="145" spans="1:1" ht="13">
      <c r="A145" s="627"/>
    </row>
    <row r="146" spans="1:1" ht="13">
      <c r="A146" s="627"/>
    </row>
    <row r="147" spans="1:1" ht="13">
      <c r="A147" s="627"/>
    </row>
    <row r="148" spans="1:1" ht="13">
      <c r="A148" s="627"/>
    </row>
    <row r="149" spans="1:1" ht="13">
      <c r="A149" s="627"/>
    </row>
    <row r="150" spans="1:1" ht="13">
      <c r="A150" s="627"/>
    </row>
    <row r="151" spans="1:1" ht="13">
      <c r="A151" s="627"/>
    </row>
    <row r="152" spans="1:1" ht="13">
      <c r="A152" s="627"/>
    </row>
    <row r="153" spans="1:1" ht="13">
      <c r="A153" s="627"/>
    </row>
    <row r="154" spans="1:1" ht="13">
      <c r="A154" s="627"/>
    </row>
    <row r="155" spans="1:1" ht="13">
      <c r="A155" s="627"/>
    </row>
    <row r="156" spans="1:1" ht="13">
      <c r="A156" s="627"/>
    </row>
    <row r="157" spans="1:1" ht="13">
      <c r="A157" s="627"/>
    </row>
    <row r="158" spans="1:1" ht="13">
      <c r="A158" s="627"/>
    </row>
    <row r="159" spans="1:1" ht="13">
      <c r="A159" s="627"/>
    </row>
    <row r="160" spans="1:1" ht="13">
      <c r="A160" s="627"/>
    </row>
    <row r="161" spans="1:1" ht="13">
      <c r="A161" s="627"/>
    </row>
    <row r="162" spans="1:1" ht="13">
      <c r="A162" s="627"/>
    </row>
    <row r="163" spans="1:1" ht="13">
      <c r="A163" s="627"/>
    </row>
    <row r="164" spans="1:1" ht="13">
      <c r="A164" s="627"/>
    </row>
    <row r="165" spans="1:1" ht="13">
      <c r="A165" s="627"/>
    </row>
    <row r="166" spans="1:1" ht="13">
      <c r="A166" s="627"/>
    </row>
    <row r="167" spans="1:1" ht="13">
      <c r="A167" s="627"/>
    </row>
    <row r="168" spans="1:1" ht="13">
      <c r="A168" s="627"/>
    </row>
    <row r="169" spans="1:1" ht="13">
      <c r="A169" s="627"/>
    </row>
    <row r="170" spans="1:1" ht="13">
      <c r="A170" s="627"/>
    </row>
    <row r="171" spans="1:1" ht="13">
      <c r="A171" s="627"/>
    </row>
    <row r="172" spans="1:1" ht="13">
      <c r="A172" s="627"/>
    </row>
    <row r="173" spans="1:1" ht="13">
      <c r="A173" s="627"/>
    </row>
    <row r="174" spans="1:1" ht="13">
      <c r="A174" s="627"/>
    </row>
    <row r="175" spans="1:1" ht="13">
      <c r="A175" s="627"/>
    </row>
    <row r="176" spans="1:1" ht="13">
      <c r="A176" s="627"/>
    </row>
    <row r="177" spans="1:1" ht="13">
      <c r="A177" s="627"/>
    </row>
    <row r="178" spans="1:1" ht="13">
      <c r="A178" s="627"/>
    </row>
    <row r="179" spans="1:1" ht="13">
      <c r="A179" s="627"/>
    </row>
    <row r="180" spans="1:1" ht="13">
      <c r="A180" s="627"/>
    </row>
    <row r="181" spans="1:1" ht="13">
      <c r="A181" s="627"/>
    </row>
    <row r="182" spans="1:1" ht="13">
      <c r="A182" s="627"/>
    </row>
    <row r="183" spans="1:1" ht="13">
      <c r="A183" s="627"/>
    </row>
    <row r="184" spans="1:1" ht="13">
      <c r="A184" s="627"/>
    </row>
    <row r="185" spans="1:1" ht="13">
      <c r="A185" s="627"/>
    </row>
    <row r="186" spans="1:1" ht="13">
      <c r="A186" s="627"/>
    </row>
    <row r="187" spans="1:1" ht="13">
      <c r="A187" s="627"/>
    </row>
    <row r="188" spans="1:1" ht="13">
      <c r="A188" s="627"/>
    </row>
    <row r="189" spans="1:1" ht="13">
      <c r="A189" s="627"/>
    </row>
    <row r="190" spans="1:1" ht="13">
      <c r="A190" s="627"/>
    </row>
    <row r="191" spans="1:1" ht="13">
      <c r="A191" s="627"/>
    </row>
    <row r="192" spans="1:1" ht="13">
      <c r="A192" s="627"/>
    </row>
    <row r="193" spans="1:1" ht="13">
      <c r="A193" s="627"/>
    </row>
    <row r="194" spans="1:1" ht="13">
      <c r="A194" s="627"/>
    </row>
    <row r="195" spans="1:1" ht="13">
      <c r="A195" s="627"/>
    </row>
    <row r="196" spans="1:1" ht="13">
      <c r="A196" s="627"/>
    </row>
    <row r="197" spans="1:1" ht="13">
      <c r="A197" s="627"/>
    </row>
    <row r="198" spans="1:1" ht="13">
      <c r="A198" s="627"/>
    </row>
    <row r="199" spans="1:1" ht="13">
      <c r="A199" s="627"/>
    </row>
    <row r="200" spans="1:1" ht="13">
      <c r="A200" s="627"/>
    </row>
    <row r="201" spans="1:1" ht="13">
      <c r="A201" s="627"/>
    </row>
    <row r="202" spans="1:1" ht="13">
      <c r="A202" s="627"/>
    </row>
    <row r="203" spans="1:1" ht="13">
      <c r="A203" s="627"/>
    </row>
    <row r="204" spans="1:1" ht="13">
      <c r="A204" s="627"/>
    </row>
  </sheetData>
  <pageMargins left="0.7" right="0.7" top="0.75" bottom="0.75" header="0.3" footer="0.3"/>
  <pageSetup scale="52" orientation="landscape" cellComments="asDisplayed" r:id="rId1"/>
  <headerFooter>
    <oddHeader>&amp;CSchedule 16
Plant Additions
&amp;RTO2021 Draft Annual Update 
Attachment 1</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zoomScalePageLayoutView="80" workbookViewId="0"/>
  </sheetViews>
  <sheetFormatPr defaultRowHeight="12.5"/>
  <cols>
    <col min="1" max="1" width="4.54296875" customWidth="1"/>
    <col min="3" max="3" width="15.453125" customWidth="1"/>
    <col min="4" max="5" width="14.54296875" customWidth="1"/>
    <col min="6" max="6" width="15.54296875" customWidth="1"/>
    <col min="7" max="13" width="14.54296875" customWidth="1"/>
  </cols>
  <sheetData>
    <row r="1" spans="1:13" ht="13">
      <c r="A1" s="1" t="s">
        <v>250</v>
      </c>
      <c r="B1" s="228"/>
      <c r="C1" s="228"/>
      <c r="D1" s="228"/>
      <c r="E1" s="228"/>
      <c r="F1" s="228"/>
      <c r="G1" s="228"/>
      <c r="H1" s="228"/>
      <c r="I1" s="505" t="s">
        <v>446</v>
      </c>
      <c r="J1" s="184"/>
      <c r="K1" s="228"/>
      <c r="L1" s="228"/>
      <c r="M1" s="228"/>
    </row>
    <row r="2" spans="1:13">
      <c r="A2" s="228"/>
      <c r="B2" s="228"/>
      <c r="C2" s="228"/>
      <c r="D2" s="228"/>
      <c r="E2" s="228"/>
      <c r="F2" s="228"/>
      <c r="G2" s="228"/>
      <c r="H2" s="228"/>
      <c r="K2" s="228"/>
      <c r="L2" s="228"/>
      <c r="M2" s="228"/>
    </row>
    <row r="3" spans="1:13" ht="13">
      <c r="A3" s="228"/>
      <c r="B3" s="1" t="s">
        <v>965</v>
      </c>
      <c r="C3" s="228"/>
      <c r="D3" s="228"/>
      <c r="E3" s="228"/>
      <c r="F3" s="228"/>
      <c r="G3" s="228"/>
      <c r="H3" s="236"/>
      <c r="I3" s="865" t="s">
        <v>1715</v>
      </c>
      <c r="J3" s="387">
        <v>2019</v>
      </c>
      <c r="K3" s="228"/>
      <c r="L3" s="228"/>
      <c r="M3" s="228"/>
    </row>
    <row r="4" spans="1:13">
      <c r="A4" s="228"/>
      <c r="B4" s="228"/>
      <c r="C4" s="228"/>
      <c r="D4" s="228"/>
      <c r="E4" s="228"/>
      <c r="F4" s="228"/>
      <c r="G4" s="228"/>
      <c r="H4" s="236"/>
      <c r="I4" s="236"/>
      <c r="J4" s="228"/>
      <c r="K4" s="228"/>
      <c r="L4" s="228"/>
      <c r="M4" s="228"/>
    </row>
    <row r="5" spans="1:13" ht="13">
      <c r="A5" s="228"/>
      <c r="B5" s="467" t="s">
        <v>968</v>
      </c>
      <c r="C5" s="228"/>
      <c r="D5" s="228"/>
      <c r="E5" s="228"/>
      <c r="F5" s="228"/>
      <c r="G5" s="228"/>
      <c r="H5" s="469" t="s">
        <v>1767</v>
      </c>
      <c r="I5" s="236"/>
      <c r="J5" s="228"/>
      <c r="K5" s="228"/>
      <c r="L5" s="228"/>
      <c r="M5" s="228"/>
    </row>
    <row r="6" spans="1:13">
      <c r="A6" s="228"/>
      <c r="B6" s="228"/>
      <c r="C6" s="228"/>
      <c r="D6" s="228"/>
      <c r="E6" s="228"/>
      <c r="F6" s="228"/>
      <c r="G6" s="228"/>
      <c r="H6" s="228"/>
      <c r="I6" s="228"/>
      <c r="J6" s="228"/>
      <c r="K6" s="228"/>
      <c r="L6" s="228"/>
      <c r="M6" s="228"/>
    </row>
    <row r="7" spans="1:13" ht="13">
      <c r="A7" s="228"/>
      <c r="B7" s="84" t="s">
        <v>358</v>
      </c>
      <c r="C7" s="84" t="s">
        <v>342</v>
      </c>
      <c r="D7" s="84" t="s">
        <v>343</v>
      </c>
      <c r="E7" s="84" t="s">
        <v>344</v>
      </c>
      <c r="F7" s="84" t="s">
        <v>345</v>
      </c>
      <c r="G7" s="84" t="s">
        <v>346</v>
      </c>
      <c r="H7" s="84" t="s">
        <v>347</v>
      </c>
      <c r="I7" s="84" t="s">
        <v>534</v>
      </c>
      <c r="J7" s="84" t="s">
        <v>951</v>
      </c>
      <c r="K7" s="84" t="s">
        <v>963</v>
      </c>
      <c r="L7" s="84" t="s">
        <v>966</v>
      </c>
      <c r="M7" s="84" t="s">
        <v>984</v>
      </c>
    </row>
    <row r="8" spans="1:13">
      <c r="A8" s="228"/>
      <c r="B8" s="244"/>
      <c r="C8" s="228"/>
      <c r="D8" s="228"/>
      <c r="E8" s="228"/>
      <c r="F8" s="228"/>
      <c r="G8" s="228"/>
      <c r="H8" s="228"/>
      <c r="I8" s="228"/>
      <c r="J8" s="228"/>
      <c r="K8" s="228"/>
      <c r="L8" s="228"/>
      <c r="M8" s="228"/>
    </row>
    <row r="9" spans="1:13" ht="13">
      <c r="A9" s="228"/>
      <c r="B9" s="110"/>
      <c r="C9" s="506" t="s">
        <v>12</v>
      </c>
      <c r="D9" s="228"/>
      <c r="E9" s="228"/>
      <c r="F9" s="228"/>
      <c r="G9" s="228"/>
      <c r="H9" s="228"/>
      <c r="I9" s="228"/>
      <c r="J9" s="228"/>
      <c r="K9" s="228"/>
      <c r="L9" s="228"/>
      <c r="M9" s="228"/>
    </row>
    <row r="10" spans="1:13" ht="13">
      <c r="A10" s="228"/>
      <c r="B10" s="110"/>
      <c r="C10" s="506" t="s">
        <v>964</v>
      </c>
      <c r="D10" s="228"/>
      <c r="E10" s="228"/>
      <c r="F10" s="228"/>
      <c r="G10" s="228"/>
      <c r="H10" s="228"/>
      <c r="I10" s="228"/>
      <c r="J10" s="228"/>
      <c r="K10" s="228"/>
      <c r="L10" s="228"/>
      <c r="M10" s="228"/>
    </row>
    <row r="11" spans="1:13" ht="13">
      <c r="A11" s="51" t="s">
        <v>329</v>
      </c>
      <c r="B11" s="123" t="s">
        <v>1750</v>
      </c>
      <c r="C11" s="352">
        <v>350.1</v>
      </c>
      <c r="D11" s="352">
        <v>350.2</v>
      </c>
      <c r="E11" s="352">
        <v>352</v>
      </c>
      <c r="F11" s="352">
        <v>353</v>
      </c>
      <c r="G11" s="352">
        <v>354</v>
      </c>
      <c r="H11" s="352">
        <v>355</v>
      </c>
      <c r="I11" s="352">
        <v>356</v>
      </c>
      <c r="J11" s="352">
        <v>357</v>
      </c>
      <c r="K11" s="352">
        <v>358</v>
      </c>
      <c r="L11" s="352">
        <v>359</v>
      </c>
      <c r="M11" s="123" t="s">
        <v>196</v>
      </c>
    </row>
    <row r="12" spans="1:13" ht="13">
      <c r="A12" s="553">
        <v>1</v>
      </c>
      <c r="B12" s="939" t="s">
        <v>2479</v>
      </c>
      <c r="C12" s="230">
        <f>'6-PlantInService'!C12</f>
        <v>87352690.455148399</v>
      </c>
      <c r="D12" s="230">
        <f>'6-PlantInService'!D12</f>
        <v>165261946.55087399</v>
      </c>
      <c r="E12" s="230">
        <f>'6-PlantInService'!E12</f>
        <v>643675309.98467612</v>
      </c>
      <c r="F12" s="230">
        <f>'6-PlantInService'!F12</f>
        <v>3459763553.0279365</v>
      </c>
      <c r="G12" s="230">
        <f>'6-PlantInService'!G12</f>
        <v>2284709795.0439997</v>
      </c>
      <c r="H12" s="230">
        <f>'6-PlantInService'!H12</f>
        <v>386542290.96381313</v>
      </c>
      <c r="I12" s="230">
        <f>'6-PlantInService'!I12</f>
        <v>1311509387.1831667</v>
      </c>
      <c r="J12" s="230">
        <f>'6-PlantInService'!J12</f>
        <v>190891202.00003627</v>
      </c>
      <c r="K12" s="230">
        <f>'6-PlantInService'!K12</f>
        <v>83989219.000066027</v>
      </c>
      <c r="L12" s="230">
        <f>'6-PlantInService'!L12</f>
        <v>173783603.00000003</v>
      </c>
      <c r="M12" s="230">
        <f>'6-PlantInService'!M12</f>
        <v>8787478997.2097168</v>
      </c>
    </row>
    <row r="13" spans="1:13" ht="13">
      <c r="A13" s="553">
        <f>A12+1</f>
        <v>2</v>
      </c>
      <c r="B13" s="939" t="s">
        <v>2554</v>
      </c>
      <c r="C13" s="230">
        <f>'6-PlantInService'!C13</f>
        <v>87356155.797575638</v>
      </c>
      <c r="D13" s="230">
        <f>'6-PlantInService'!D13</f>
        <v>165217772.22775602</v>
      </c>
      <c r="E13" s="230">
        <f>'6-PlantInService'!E13</f>
        <v>646001649.72808814</v>
      </c>
      <c r="F13" s="230">
        <f>'6-PlantInService'!F13</f>
        <v>3462904493.8507605</v>
      </c>
      <c r="G13" s="230">
        <f>'6-PlantInService'!G13</f>
        <v>2273515090.3975925</v>
      </c>
      <c r="H13" s="230">
        <f>'6-PlantInService'!H13</f>
        <v>392609454.77819699</v>
      </c>
      <c r="I13" s="230">
        <f>'6-PlantInService'!I13</f>
        <v>1319770640.9577789</v>
      </c>
      <c r="J13" s="230">
        <f>'6-PlantInService'!J13</f>
        <v>190887474.38222408</v>
      </c>
      <c r="K13" s="230">
        <f>'6-PlantInService'!K13</f>
        <v>83987440.191650137</v>
      </c>
      <c r="L13" s="230">
        <f>'6-PlantInService'!L13</f>
        <v>173793754.13508439</v>
      </c>
      <c r="M13" s="230">
        <f>'6-PlantInService'!M13</f>
        <v>8796043926.4467068</v>
      </c>
    </row>
    <row r="14" spans="1:13" ht="13">
      <c r="A14" s="553">
        <f t="shared" ref="A14:A76" si="0">A13+1</f>
        <v>3</v>
      </c>
      <c r="B14" s="939" t="s">
        <v>2555</v>
      </c>
      <c r="C14" s="230">
        <f>'6-PlantInService'!C14</f>
        <v>87378283.397575647</v>
      </c>
      <c r="D14" s="230">
        <f>'6-PlantInService'!D14</f>
        <v>165238733.9709281</v>
      </c>
      <c r="E14" s="230">
        <f>'6-PlantInService'!E14</f>
        <v>649915490.91427851</v>
      </c>
      <c r="F14" s="230">
        <f>'6-PlantInService'!F14</f>
        <v>3463000293.5497246</v>
      </c>
      <c r="G14" s="230">
        <f>'6-PlantInService'!G14</f>
        <v>2273899913.0902042</v>
      </c>
      <c r="H14" s="230">
        <f>'6-PlantInService'!H14</f>
        <v>394544587.5583322</v>
      </c>
      <c r="I14" s="230">
        <f>'6-PlantInService'!I14</f>
        <v>1320181319.0387657</v>
      </c>
      <c r="J14" s="230">
        <f>'6-PlantInService'!J14</f>
        <v>190896528.80466503</v>
      </c>
      <c r="K14" s="230">
        <f>'6-PlantInService'!K14</f>
        <v>83991813.243796289</v>
      </c>
      <c r="L14" s="230">
        <f>'6-PlantInService'!L14</f>
        <v>173965840.29050624</v>
      </c>
      <c r="M14" s="230">
        <f>'6-PlantInService'!M14</f>
        <v>8803012803.8587761</v>
      </c>
    </row>
    <row r="15" spans="1:13" ht="13">
      <c r="A15" s="553">
        <f t="shared" si="0"/>
        <v>4</v>
      </c>
      <c r="B15" s="939" t="s">
        <v>2556</v>
      </c>
      <c r="C15" s="230">
        <f>'6-PlantInService'!C15</f>
        <v>87422936.397575647</v>
      </c>
      <c r="D15" s="230">
        <f>'6-PlantInService'!D15</f>
        <v>165274761.31141976</v>
      </c>
      <c r="E15" s="230">
        <f>'6-PlantInService'!E15</f>
        <v>656305655.3051796</v>
      </c>
      <c r="F15" s="230">
        <f>'6-PlantInService'!F15</f>
        <v>3473399158.8300886</v>
      </c>
      <c r="G15" s="230">
        <f>'6-PlantInService'!G15</f>
        <v>2273589636.4238544</v>
      </c>
      <c r="H15" s="230">
        <f>'6-PlantInService'!H15</f>
        <v>396552950.73370737</v>
      </c>
      <c r="I15" s="230">
        <f>'6-PlantInService'!I15</f>
        <v>1322780078.999042</v>
      </c>
      <c r="J15" s="230">
        <f>'6-PlantInService'!J15</f>
        <v>190915965.14155641</v>
      </c>
      <c r="K15" s="230">
        <f>'6-PlantInService'!K15</f>
        <v>83998079.695823774</v>
      </c>
      <c r="L15" s="230">
        <f>'6-PlantInService'!L15</f>
        <v>176594549.02726787</v>
      </c>
      <c r="M15" s="230">
        <f>'6-PlantInService'!M15</f>
        <v>8826833771.8655167</v>
      </c>
    </row>
    <row r="16" spans="1:13" ht="13">
      <c r="A16" s="553">
        <f t="shared" si="0"/>
        <v>5</v>
      </c>
      <c r="B16" s="939" t="s">
        <v>2557</v>
      </c>
      <c r="C16" s="230">
        <f>'6-PlantInService'!C16</f>
        <v>87480041.513463184</v>
      </c>
      <c r="D16" s="230">
        <f>'6-PlantInService'!D16</f>
        <v>165233219.62313735</v>
      </c>
      <c r="E16" s="230">
        <f>'6-PlantInService'!E16</f>
        <v>656534696.02460039</v>
      </c>
      <c r="F16" s="230">
        <f>'6-PlantInService'!F16</f>
        <v>3484806815.0543184</v>
      </c>
      <c r="G16" s="230">
        <f>'6-PlantInService'!G16</f>
        <v>2277229730.4424171</v>
      </c>
      <c r="H16" s="230">
        <f>'6-PlantInService'!H16</f>
        <v>397457164.28235877</v>
      </c>
      <c r="I16" s="230">
        <f>'6-PlantInService'!I16</f>
        <v>1339023383.3166633</v>
      </c>
      <c r="J16" s="230">
        <f>'6-PlantInService'!J16</f>
        <v>190926871.33673123</v>
      </c>
      <c r="K16" s="230">
        <f>'6-PlantInService'!K16</f>
        <v>84003482.969925135</v>
      </c>
      <c r="L16" s="230">
        <f>'6-PlantInService'!L16</f>
        <v>176656377.09970364</v>
      </c>
      <c r="M16" s="230">
        <f>'6-PlantInService'!M16</f>
        <v>8859351781.6633167</v>
      </c>
    </row>
    <row r="17" spans="1:14" ht="13">
      <c r="A17" s="553">
        <f t="shared" si="0"/>
        <v>6</v>
      </c>
      <c r="B17" s="939" t="s">
        <v>2558</v>
      </c>
      <c r="C17" s="230">
        <f>'6-PlantInService'!C17</f>
        <v>87483624.883834735</v>
      </c>
      <c r="D17" s="230">
        <f>'6-PlantInService'!D17</f>
        <v>165268205.02870607</v>
      </c>
      <c r="E17" s="230">
        <f>'6-PlantInService'!E17</f>
        <v>660917188.50644588</v>
      </c>
      <c r="F17" s="230">
        <f>'6-PlantInService'!F17</f>
        <v>3507319640.2373776</v>
      </c>
      <c r="G17" s="230">
        <f>'6-PlantInService'!G17</f>
        <v>2278145726.7590322</v>
      </c>
      <c r="H17" s="230">
        <f>'6-PlantInService'!H17</f>
        <v>398520801.56604367</v>
      </c>
      <c r="I17" s="230">
        <f>'6-PlantInService'!I17</f>
        <v>1361310693.3430395</v>
      </c>
      <c r="J17" s="230">
        <f>'6-PlantInService'!J17</f>
        <v>190946304.73330876</v>
      </c>
      <c r="K17" s="230">
        <f>'6-PlantInService'!K17</f>
        <v>84012373.441688359</v>
      </c>
      <c r="L17" s="230">
        <f>'6-PlantInService'!L17</f>
        <v>177585902.42037222</v>
      </c>
      <c r="M17" s="230">
        <f>'6-PlantInService'!M17</f>
        <v>8911510460.9198494</v>
      </c>
    </row>
    <row r="18" spans="1:14" ht="13">
      <c r="A18" s="553">
        <f t="shared" si="0"/>
        <v>7</v>
      </c>
      <c r="B18" s="939" t="s">
        <v>2559</v>
      </c>
      <c r="C18" s="230">
        <f>'6-PlantInService'!C18</f>
        <v>87557692.034069747</v>
      </c>
      <c r="D18" s="230">
        <f>'6-PlantInService'!D18</f>
        <v>165408136.3430278</v>
      </c>
      <c r="E18" s="230">
        <f>'6-PlantInService'!E18</f>
        <v>661485300.18819571</v>
      </c>
      <c r="F18" s="230">
        <f>'6-PlantInService'!F18</f>
        <v>3511174755.8738618</v>
      </c>
      <c r="G18" s="230">
        <f>'6-PlantInService'!G18</f>
        <v>2281853520.6046057</v>
      </c>
      <c r="H18" s="230">
        <f>'6-PlantInService'!H18</f>
        <v>399556990.00535166</v>
      </c>
      <c r="I18" s="230">
        <f>'6-PlantInService'!I18</f>
        <v>1369808901.6540136</v>
      </c>
      <c r="J18" s="230">
        <f>'6-PlantInService'!J18</f>
        <v>190952605.14374197</v>
      </c>
      <c r="K18" s="230">
        <f>'6-PlantInService'!K18</f>
        <v>84019571.495635763</v>
      </c>
      <c r="L18" s="230">
        <f>'6-PlantInService'!L18</f>
        <v>177579720.21706134</v>
      </c>
      <c r="M18" s="230">
        <f>'6-PlantInService'!M18</f>
        <v>8929397193.5595665</v>
      </c>
    </row>
    <row r="19" spans="1:14" ht="13">
      <c r="A19" s="553">
        <f t="shared" si="0"/>
        <v>8</v>
      </c>
      <c r="B19" s="939" t="s">
        <v>2560</v>
      </c>
      <c r="C19" s="230">
        <f>'6-PlantInService'!C19</f>
        <v>87553683.814069748</v>
      </c>
      <c r="D19" s="230">
        <f>'6-PlantInService'!D19</f>
        <v>165483879.36154321</v>
      </c>
      <c r="E19" s="230">
        <f>'6-PlantInService'!E19</f>
        <v>661382665.51631856</v>
      </c>
      <c r="F19" s="230">
        <f>'6-PlantInService'!F19</f>
        <v>3515998242.9279389</v>
      </c>
      <c r="G19" s="230">
        <f>'6-PlantInService'!G19</f>
        <v>2283177846.3192172</v>
      </c>
      <c r="H19" s="230">
        <f>'6-PlantInService'!H19</f>
        <v>400761723.2236163</v>
      </c>
      <c r="I19" s="230">
        <f>'6-PlantInService'!I19</f>
        <v>1371206860.8436511</v>
      </c>
      <c r="J19" s="230">
        <f>'6-PlantInService'!J19</f>
        <v>215333812.56488377</v>
      </c>
      <c r="K19" s="230">
        <f>'6-PlantInService'!K19</f>
        <v>59244428.228950471</v>
      </c>
      <c r="L19" s="230">
        <f>'6-PlantInService'!L19</f>
        <v>177612079.24833342</v>
      </c>
      <c r="M19" s="230">
        <f>'6-PlantInService'!M19</f>
        <v>8937755222.048521</v>
      </c>
    </row>
    <row r="20" spans="1:14" ht="13">
      <c r="A20" s="553">
        <f t="shared" si="0"/>
        <v>9</v>
      </c>
      <c r="B20" s="939" t="s">
        <v>2561</v>
      </c>
      <c r="C20" s="230">
        <f>'6-PlantInService'!C20</f>
        <v>87553683.814069748</v>
      </c>
      <c r="D20" s="230">
        <f>'6-PlantInService'!D20</f>
        <v>165484093.87374327</v>
      </c>
      <c r="E20" s="230">
        <f>'6-PlantInService'!E20</f>
        <v>674909871.43864024</v>
      </c>
      <c r="F20" s="230">
        <f>'6-PlantInService'!F20</f>
        <v>3538452630.2068014</v>
      </c>
      <c r="G20" s="230">
        <f>'6-PlantInService'!G20</f>
        <v>2285134791.815619</v>
      </c>
      <c r="H20" s="230">
        <f>'6-PlantInService'!H20</f>
        <v>401429531.76485151</v>
      </c>
      <c r="I20" s="230">
        <f>'6-PlantInService'!I20</f>
        <v>1370067207.3267097</v>
      </c>
      <c r="J20" s="230">
        <f>'6-PlantInService'!J20</f>
        <v>215340821.97947031</v>
      </c>
      <c r="K20" s="230">
        <f>'6-PlantInService'!K20</f>
        <v>59244866.79172115</v>
      </c>
      <c r="L20" s="230">
        <f>'6-PlantInService'!L20</f>
        <v>177615266.92994034</v>
      </c>
      <c r="M20" s="230">
        <f>'6-PlantInService'!M20</f>
        <v>8975232765.9415684</v>
      </c>
    </row>
    <row r="21" spans="1:14" ht="13">
      <c r="A21" s="553">
        <f t="shared" si="0"/>
        <v>10</v>
      </c>
      <c r="B21" s="939" t="s">
        <v>2562</v>
      </c>
      <c r="C21" s="230">
        <f>'6-PlantInService'!C21</f>
        <v>87570144.77582708</v>
      </c>
      <c r="D21" s="230">
        <f>'6-PlantInService'!D21</f>
        <v>165595201.03246102</v>
      </c>
      <c r="E21" s="230">
        <f>'6-PlantInService'!E21</f>
        <v>677295973.08559442</v>
      </c>
      <c r="F21" s="230">
        <f>'6-PlantInService'!F21</f>
        <v>3543843021.1083984</v>
      </c>
      <c r="G21" s="230">
        <f>'6-PlantInService'!G21</f>
        <v>2297900874.677537</v>
      </c>
      <c r="H21" s="230">
        <f>'6-PlantInService'!H21</f>
        <v>402224730.09936982</v>
      </c>
      <c r="I21" s="230">
        <f>'6-PlantInService'!I21</f>
        <v>1379053256.7337482</v>
      </c>
      <c r="J21" s="230">
        <f>'6-PlantInService'!J21</f>
        <v>215347099.57419631</v>
      </c>
      <c r="K21" s="230">
        <f>'6-PlantInService'!K21</f>
        <v>59245373.248900287</v>
      </c>
      <c r="L21" s="230">
        <f>'6-PlantInService'!L21</f>
        <v>177619374.09883332</v>
      </c>
      <c r="M21" s="230">
        <f>'6-PlantInService'!M21</f>
        <v>9005695048.434866</v>
      </c>
    </row>
    <row r="22" spans="1:14" ht="13">
      <c r="A22" s="553">
        <f t="shared" si="0"/>
        <v>11</v>
      </c>
      <c r="B22" s="939" t="s">
        <v>2563</v>
      </c>
      <c r="C22" s="230">
        <f>'6-PlantInService'!C22</f>
        <v>87569796.354639083</v>
      </c>
      <c r="D22" s="230">
        <f>'6-PlantInService'!D22</f>
        <v>165598608.52328014</v>
      </c>
      <c r="E22" s="230">
        <f>'6-PlantInService'!E22</f>
        <v>677882531.62483716</v>
      </c>
      <c r="F22" s="230">
        <f>'6-PlantInService'!F22</f>
        <v>3550828647.1864853</v>
      </c>
      <c r="G22" s="230">
        <f>'6-PlantInService'!G22</f>
        <v>2299348771.0964823</v>
      </c>
      <c r="H22" s="230">
        <f>'6-PlantInService'!H22</f>
        <v>403632407.59406573</v>
      </c>
      <c r="I22" s="230">
        <f>'6-PlantInService'!I22</f>
        <v>1403798673.0661542</v>
      </c>
      <c r="J22" s="230">
        <f>'6-PlantInService'!J22</f>
        <v>215352794.50621113</v>
      </c>
      <c r="K22" s="230">
        <f>'6-PlantInService'!K22</f>
        <v>59245902.41609361</v>
      </c>
      <c r="L22" s="230">
        <f>'6-PlantInService'!L22</f>
        <v>178258588.02527183</v>
      </c>
      <c r="M22" s="230">
        <f>'6-PlantInService'!M22</f>
        <v>9041516720.3935204</v>
      </c>
    </row>
    <row r="23" spans="1:14" ht="13">
      <c r="A23" s="553">
        <f t="shared" si="0"/>
        <v>12</v>
      </c>
      <c r="B23" s="939" t="s">
        <v>2564</v>
      </c>
      <c r="C23" s="230">
        <f>'6-PlantInService'!C23</f>
        <v>88713599.713699505</v>
      </c>
      <c r="D23" s="230">
        <f>'6-PlantInService'!D23</f>
        <v>165585387.5366627</v>
      </c>
      <c r="E23" s="230">
        <f>'6-PlantInService'!E23</f>
        <v>677781640.19913304</v>
      </c>
      <c r="F23" s="230">
        <f>'6-PlantInService'!F23</f>
        <v>3558254573.4971943</v>
      </c>
      <c r="G23" s="230">
        <f>'6-PlantInService'!G23</f>
        <v>2300875370.6415114</v>
      </c>
      <c r="H23" s="230">
        <f>'6-PlantInService'!H23</f>
        <v>404634826.6358096</v>
      </c>
      <c r="I23" s="230">
        <f>'6-PlantInService'!I23</f>
        <v>1406436694.3842559</v>
      </c>
      <c r="J23" s="230">
        <f>'6-PlantInService'!J23</f>
        <v>215364289.11686331</v>
      </c>
      <c r="K23" s="230">
        <f>'6-PlantInService'!K23</f>
        <v>59250147.216889076</v>
      </c>
      <c r="L23" s="230">
        <f>'6-PlantInService'!L23</f>
        <v>178942879.29017994</v>
      </c>
      <c r="M23" s="230">
        <f>'6-PlantInService'!M23</f>
        <v>9055839408.2321987</v>
      </c>
    </row>
    <row r="24" spans="1:14" ht="13">
      <c r="A24" s="553">
        <f t="shared" si="0"/>
        <v>13</v>
      </c>
      <c r="B24" s="939" t="s">
        <v>2553</v>
      </c>
      <c r="C24" s="230">
        <f>'6-PlantInService'!C24</f>
        <v>88722949.825873926</v>
      </c>
      <c r="D24" s="230">
        <f>'6-PlantInService'!D24</f>
        <v>165732565.69245622</v>
      </c>
      <c r="E24" s="230">
        <f>'6-PlantInService'!E24</f>
        <v>741230571.26955175</v>
      </c>
      <c r="F24" s="230">
        <f>'6-PlantInService'!F24</f>
        <v>3714934155.6737089</v>
      </c>
      <c r="G24" s="230">
        <f>'6-PlantInService'!G24</f>
        <v>2305124777.8401799</v>
      </c>
      <c r="H24" s="230">
        <f>'6-PlantInService'!H24</f>
        <v>408001019.0888837</v>
      </c>
      <c r="I24" s="230">
        <f>'6-PlantInService'!I24</f>
        <v>1408013215.7482004</v>
      </c>
      <c r="J24" s="230">
        <f>'6-PlantInService'!J24</f>
        <v>215368701.52640039</v>
      </c>
      <c r="K24" s="230">
        <f>'6-PlantInService'!K24</f>
        <v>59251565.606308758</v>
      </c>
      <c r="L24" s="230">
        <f>'6-PlantInService'!L24</f>
        <v>179151598.49303469</v>
      </c>
      <c r="M24" s="230">
        <f>'6-PlantInService'!M24</f>
        <v>9285531120.7645969</v>
      </c>
    </row>
    <row r="25" spans="1:14" ht="13">
      <c r="A25" s="553">
        <f t="shared" si="0"/>
        <v>14</v>
      </c>
      <c r="B25" s="228"/>
      <c r="C25" s="228"/>
      <c r="D25" s="228"/>
      <c r="E25" s="228"/>
      <c r="F25" s="228"/>
      <c r="G25" s="228"/>
      <c r="H25" s="228"/>
      <c r="I25" s="228"/>
      <c r="J25" s="228"/>
      <c r="K25" s="228"/>
      <c r="L25" s="228"/>
      <c r="M25" s="228"/>
    </row>
    <row r="26" spans="1:14" ht="13">
      <c r="A26" s="553">
        <f t="shared" si="0"/>
        <v>15</v>
      </c>
      <c r="B26" s="615" t="s">
        <v>2459</v>
      </c>
      <c r="C26" s="236"/>
      <c r="D26" s="236"/>
      <c r="E26" s="236"/>
      <c r="F26" s="236"/>
      <c r="G26" s="236"/>
      <c r="H26" s="236"/>
      <c r="I26" s="228"/>
      <c r="J26" s="228"/>
      <c r="K26" s="228"/>
      <c r="L26" s="228"/>
      <c r="M26" s="228"/>
    </row>
    <row r="27" spans="1:14" ht="13">
      <c r="A27" s="553"/>
      <c r="B27" s="110"/>
      <c r="C27" s="236"/>
      <c r="D27" s="236"/>
      <c r="E27" s="236"/>
      <c r="F27" s="236"/>
      <c r="G27" s="228"/>
      <c r="H27" s="228"/>
      <c r="I27" s="228"/>
      <c r="J27" s="228"/>
      <c r="K27" s="228"/>
      <c r="L27" s="228"/>
      <c r="M27" s="228"/>
    </row>
    <row r="28" spans="1:14" ht="13">
      <c r="A28" s="553">
        <f>A26+1</f>
        <v>16</v>
      </c>
      <c r="B28" s="123" t="s">
        <v>1750</v>
      </c>
      <c r="C28" s="352">
        <v>350.1</v>
      </c>
      <c r="D28" s="352">
        <v>350.2</v>
      </c>
      <c r="E28" s="352">
        <v>352</v>
      </c>
      <c r="F28" s="352">
        <v>353</v>
      </c>
      <c r="G28" s="84">
        <v>354</v>
      </c>
      <c r="H28" s="84">
        <v>355</v>
      </c>
      <c r="I28" s="84">
        <v>356</v>
      </c>
      <c r="J28" s="84">
        <v>357</v>
      </c>
      <c r="K28" s="84">
        <v>358</v>
      </c>
      <c r="L28" s="84">
        <v>359</v>
      </c>
      <c r="M28" s="3"/>
    </row>
    <row r="29" spans="1:14" ht="13">
      <c r="A29" s="553" t="s">
        <v>2012</v>
      </c>
      <c r="B29" s="939" t="s">
        <v>2479</v>
      </c>
      <c r="C29" s="706">
        <v>0</v>
      </c>
      <c r="D29" s="706">
        <v>1.66E-2</v>
      </c>
      <c r="E29" s="706">
        <v>2.5700000000000001E-2</v>
      </c>
      <c r="F29" s="706">
        <v>2.47E-2</v>
      </c>
      <c r="G29" s="706">
        <v>2.4400000000000002E-2</v>
      </c>
      <c r="H29" s="706">
        <v>3.6700000000000003E-2</v>
      </c>
      <c r="I29" s="706">
        <v>3.0499999999999999E-2</v>
      </c>
      <c r="J29" s="706">
        <v>1.6500000000000001E-2</v>
      </c>
      <c r="K29" s="706">
        <v>3.8699999999999998E-2</v>
      </c>
      <c r="L29" s="706">
        <v>1.5599999999999999E-2</v>
      </c>
      <c r="M29" s="228"/>
      <c r="N29" s="504"/>
    </row>
    <row r="30" spans="1:14" ht="13">
      <c r="A30" s="553" t="s">
        <v>2013</v>
      </c>
      <c r="B30" s="939" t="s">
        <v>2554</v>
      </c>
      <c r="C30" s="706">
        <v>0</v>
      </c>
      <c r="D30" s="706">
        <v>1.66E-2</v>
      </c>
      <c r="E30" s="706">
        <v>2.5700000000000001E-2</v>
      </c>
      <c r="F30" s="706">
        <v>2.47E-2</v>
      </c>
      <c r="G30" s="706">
        <v>2.4400000000000002E-2</v>
      </c>
      <c r="H30" s="706">
        <v>3.6700000000000003E-2</v>
      </c>
      <c r="I30" s="706">
        <v>3.0499999999999999E-2</v>
      </c>
      <c r="J30" s="706">
        <v>1.6500000000000001E-2</v>
      </c>
      <c r="K30" s="706">
        <v>3.8699999999999998E-2</v>
      </c>
      <c r="L30" s="706">
        <v>1.5599999999999999E-2</v>
      </c>
      <c r="M30" s="228"/>
      <c r="N30" s="504"/>
    </row>
    <row r="31" spans="1:14" ht="13">
      <c r="A31" s="553" t="s">
        <v>2014</v>
      </c>
      <c r="B31" s="939" t="s">
        <v>2555</v>
      </c>
      <c r="C31" s="706">
        <v>0</v>
      </c>
      <c r="D31" s="706">
        <v>1.66E-2</v>
      </c>
      <c r="E31" s="706">
        <v>2.5700000000000001E-2</v>
      </c>
      <c r="F31" s="706">
        <v>2.47E-2</v>
      </c>
      <c r="G31" s="706">
        <v>2.4400000000000002E-2</v>
      </c>
      <c r="H31" s="706">
        <v>3.6700000000000003E-2</v>
      </c>
      <c r="I31" s="706">
        <v>3.0499999999999999E-2</v>
      </c>
      <c r="J31" s="706">
        <v>1.6500000000000001E-2</v>
      </c>
      <c r="K31" s="706">
        <v>3.8699999999999998E-2</v>
      </c>
      <c r="L31" s="706">
        <v>1.5599999999999999E-2</v>
      </c>
      <c r="M31" s="228"/>
      <c r="N31" s="504"/>
    </row>
    <row r="32" spans="1:14" ht="13">
      <c r="A32" s="553" t="s">
        <v>2015</v>
      </c>
      <c r="B32" s="939" t="s">
        <v>2556</v>
      </c>
      <c r="C32" s="706">
        <v>0</v>
      </c>
      <c r="D32" s="706">
        <v>1.66E-2</v>
      </c>
      <c r="E32" s="706">
        <v>2.5700000000000001E-2</v>
      </c>
      <c r="F32" s="706">
        <v>2.47E-2</v>
      </c>
      <c r="G32" s="706">
        <v>2.4400000000000002E-2</v>
      </c>
      <c r="H32" s="706">
        <v>3.6700000000000003E-2</v>
      </c>
      <c r="I32" s="706">
        <v>3.0499999999999999E-2</v>
      </c>
      <c r="J32" s="706">
        <v>1.6500000000000001E-2</v>
      </c>
      <c r="K32" s="706">
        <v>3.8699999999999998E-2</v>
      </c>
      <c r="L32" s="706">
        <v>1.5599999999999999E-2</v>
      </c>
      <c r="M32" s="228"/>
      <c r="N32" s="504"/>
    </row>
    <row r="33" spans="1:14" ht="13">
      <c r="A33" s="553" t="s">
        <v>2016</v>
      </c>
      <c r="B33" s="939" t="s">
        <v>2557</v>
      </c>
      <c r="C33" s="706">
        <v>0</v>
      </c>
      <c r="D33" s="706">
        <v>1.66E-2</v>
      </c>
      <c r="E33" s="706">
        <v>2.5700000000000001E-2</v>
      </c>
      <c r="F33" s="706">
        <v>2.47E-2</v>
      </c>
      <c r="G33" s="706">
        <v>2.4400000000000002E-2</v>
      </c>
      <c r="H33" s="706">
        <v>3.6700000000000003E-2</v>
      </c>
      <c r="I33" s="706">
        <v>3.0499999999999999E-2</v>
      </c>
      <c r="J33" s="706">
        <v>1.6500000000000001E-2</v>
      </c>
      <c r="K33" s="706">
        <v>3.8699999999999998E-2</v>
      </c>
      <c r="L33" s="706">
        <v>1.5599999999999999E-2</v>
      </c>
      <c r="M33" s="228"/>
      <c r="N33" s="504"/>
    </row>
    <row r="34" spans="1:14" ht="13">
      <c r="A34" s="553" t="s">
        <v>2017</v>
      </c>
      <c r="B34" s="939" t="s">
        <v>2558</v>
      </c>
      <c r="C34" s="706">
        <v>0</v>
      </c>
      <c r="D34" s="706">
        <v>1.66E-2</v>
      </c>
      <c r="E34" s="706">
        <v>2.5700000000000001E-2</v>
      </c>
      <c r="F34" s="706">
        <v>2.47E-2</v>
      </c>
      <c r="G34" s="706">
        <v>2.4400000000000002E-2</v>
      </c>
      <c r="H34" s="706">
        <v>3.6700000000000003E-2</v>
      </c>
      <c r="I34" s="706">
        <v>3.0499999999999999E-2</v>
      </c>
      <c r="J34" s="706">
        <v>1.6500000000000001E-2</v>
      </c>
      <c r="K34" s="706">
        <v>3.8699999999999998E-2</v>
      </c>
      <c r="L34" s="706">
        <v>1.5599999999999999E-2</v>
      </c>
      <c r="M34" s="228"/>
      <c r="N34" s="504"/>
    </row>
    <row r="35" spans="1:14" ht="13">
      <c r="A35" s="553" t="s">
        <v>2018</v>
      </c>
      <c r="B35" s="939" t="s">
        <v>2559</v>
      </c>
      <c r="C35" s="706">
        <v>0</v>
      </c>
      <c r="D35" s="706">
        <v>1.66E-2</v>
      </c>
      <c r="E35" s="706">
        <v>2.5700000000000001E-2</v>
      </c>
      <c r="F35" s="706">
        <v>2.47E-2</v>
      </c>
      <c r="G35" s="706">
        <v>2.4400000000000002E-2</v>
      </c>
      <c r="H35" s="706">
        <v>3.6700000000000003E-2</v>
      </c>
      <c r="I35" s="706">
        <v>3.0499999999999999E-2</v>
      </c>
      <c r="J35" s="706">
        <v>1.6500000000000001E-2</v>
      </c>
      <c r="K35" s="706">
        <v>3.8699999999999998E-2</v>
      </c>
      <c r="L35" s="706">
        <v>1.5599999999999999E-2</v>
      </c>
      <c r="M35" s="228"/>
      <c r="N35" s="504"/>
    </row>
    <row r="36" spans="1:14" ht="13">
      <c r="A36" s="553" t="s">
        <v>2019</v>
      </c>
      <c r="B36" s="939" t="s">
        <v>2560</v>
      </c>
      <c r="C36" s="706">
        <v>0</v>
      </c>
      <c r="D36" s="706">
        <v>1.66E-2</v>
      </c>
      <c r="E36" s="706">
        <v>2.5700000000000001E-2</v>
      </c>
      <c r="F36" s="706">
        <v>2.47E-2</v>
      </c>
      <c r="G36" s="706">
        <v>2.4400000000000002E-2</v>
      </c>
      <c r="H36" s="706">
        <v>3.6700000000000003E-2</v>
      </c>
      <c r="I36" s="706">
        <v>3.0499999999999999E-2</v>
      </c>
      <c r="J36" s="706">
        <v>1.6500000000000001E-2</v>
      </c>
      <c r="K36" s="706">
        <v>3.8699999999999998E-2</v>
      </c>
      <c r="L36" s="706">
        <v>1.5599999999999999E-2</v>
      </c>
      <c r="M36" s="228"/>
      <c r="N36" s="504"/>
    </row>
    <row r="37" spans="1:14" ht="13">
      <c r="A37" s="553" t="s">
        <v>2020</v>
      </c>
      <c r="B37" s="939" t="s">
        <v>2561</v>
      </c>
      <c r="C37" s="706">
        <v>0</v>
      </c>
      <c r="D37" s="706">
        <v>1.66E-2</v>
      </c>
      <c r="E37" s="706">
        <v>2.5700000000000001E-2</v>
      </c>
      <c r="F37" s="706">
        <v>2.47E-2</v>
      </c>
      <c r="G37" s="706">
        <v>2.4400000000000002E-2</v>
      </c>
      <c r="H37" s="706">
        <v>3.6700000000000003E-2</v>
      </c>
      <c r="I37" s="706">
        <v>3.0499999999999999E-2</v>
      </c>
      <c r="J37" s="706">
        <v>1.6500000000000001E-2</v>
      </c>
      <c r="K37" s="706">
        <v>3.8699999999999998E-2</v>
      </c>
      <c r="L37" s="706">
        <v>1.5599999999999999E-2</v>
      </c>
      <c r="M37" s="228"/>
      <c r="N37" s="504"/>
    </row>
    <row r="38" spans="1:14" ht="13">
      <c r="A38" s="553" t="s">
        <v>2021</v>
      </c>
      <c r="B38" s="939" t="s">
        <v>2562</v>
      </c>
      <c r="C38" s="706">
        <v>0</v>
      </c>
      <c r="D38" s="706">
        <v>1.66E-2</v>
      </c>
      <c r="E38" s="706">
        <v>2.5700000000000001E-2</v>
      </c>
      <c r="F38" s="706">
        <v>2.47E-2</v>
      </c>
      <c r="G38" s="706">
        <v>2.4400000000000002E-2</v>
      </c>
      <c r="H38" s="706">
        <v>3.6700000000000003E-2</v>
      </c>
      <c r="I38" s="706">
        <v>3.0499999999999999E-2</v>
      </c>
      <c r="J38" s="706">
        <v>1.6500000000000001E-2</v>
      </c>
      <c r="K38" s="706">
        <v>3.8699999999999998E-2</v>
      </c>
      <c r="L38" s="706">
        <v>1.5599999999999999E-2</v>
      </c>
      <c r="M38" s="228"/>
      <c r="N38" s="504"/>
    </row>
    <row r="39" spans="1:14" ht="13">
      <c r="A39" s="553" t="s">
        <v>2022</v>
      </c>
      <c r="B39" s="939" t="s">
        <v>2563</v>
      </c>
      <c r="C39" s="706">
        <v>0</v>
      </c>
      <c r="D39" s="706">
        <v>1.66E-2</v>
      </c>
      <c r="E39" s="706">
        <v>2.5700000000000001E-2</v>
      </c>
      <c r="F39" s="706">
        <v>2.47E-2</v>
      </c>
      <c r="G39" s="706">
        <v>2.4400000000000002E-2</v>
      </c>
      <c r="H39" s="706">
        <v>3.6700000000000003E-2</v>
      </c>
      <c r="I39" s="706">
        <v>3.0499999999999999E-2</v>
      </c>
      <c r="J39" s="706">
        <v>1.6500000000000001E-2</v>
      </c>
      <c r="K39" s="706">
        <v>3.8699999999999998E-2</v>
      </c>
      <c r="L39" s="706">
        <v>1.5599999999999999E-2</v>
      </c>
      <c r="M39" s="228"/>
    </row>
    <row r="40" spans="1:14" ht="13">
      <c r="A40" s="553" t="s">
        <v>2023</v>
      </c>
      <c r="B40" s="939" t="s">
        <v>2564</v>
      </c>
      <c r="C40" s="706">
        <v>0</v>
      </c>
      <c r="D40" s="706">
        <v>1.66E-2</v>
      </c>
      <c r="E40" s="706">
        <v>2.5700000000000001E-2</v>
      </c>
      <c r="F40" s="706">
        <v>2.47E-2</v>
      </c>
      <c r="G40" s="706">
        <v>2.4400000000000002E-2</v>
      </c>
      <c r="H40" s="706">
        <v>3.6700000000000003E-2</v>
      </c>
      <c r="I40" s="706">
        <v>3.0499999999999999E-2</v>
      </c>
      <c r="J40" s="706">
        <v>1.6500000000000001E-2</v>
      </c>
      <c r="K40" s="706">
        <v>3.8699999999999998E-2</v>
      </c>
      <c r="L40" s="706">
        <v>1.5599999999999999E-2</v>
      </c>
      <c r="M40" s="228"/>
    </row>
    <row r="41" spans="1:14" ht="13">
      <c r="A41" s="553" t="s">
        <v>2024</v>
      </c>
      <c r="B41" s="939" t="s">
        <v>2553</v>
      </c>
      <c r="C41" s="706">
        <v>0</v>
      </c>
      <c r="D41" s="706">
        <v>1.66E-2</v>
      </c>
      <c r="E41" s="706">
        <v>2.5700000000000001E-2</v>
      </c>
      <c r="F41" s="706">
        <v>2.47E-2</v>
      </c>
      <c r="G41" s="706">
        <v>2.4400000000000002E-2</v>
      </c>
      <c r="H41" s="706">
        <v>3.6700000000000003E-2</v>
      </c>
      <c r="I41" s="706">
        <v>3.0499999999999999E-2</v>
      </c>
      <c r="J41" s="706">
        <v>1.6500000000000001E-2</v>
      </c>
      <c r="K41" s="706">
        <v>3.8699999999999998E-2</v>
      </c>
      <c r="L41" s="706">
        <v>1.5599999999999999E-2</v>
      </c>
      <c r="M41" s="228"/>
    </row>
    <row r="42" spans="1:14" ht="13">
      <c r="A42" s="553">
        <v>18</v>
      </c>
      <c r="C42" s="360"/>
      <c r="D42" s="360"/>
      <c r="E42" s="360"/>
      <c r="F42" s="360"/>
      <c r="G42" s="360"/>
      <c r="H42" s="360"/>
      <c r="I42" s="360"/>
      <c r="J42" s="360"/>
      <c r="K42" s="360"/>
      <c r="L42" s="360"/>
      <c r="M42" s="228"/>
    </row>
    <row r="43" spans="1:14" ht="13">
      <c r="A43" s="553">
        <f t="shared" si="0"/>
        <v>19</v>
      </c>
      <c r="B43" s="469" t="s">
        <v>967</v>
      </c>
      <c r="C43" s="237"/>
      <c r="D43" s="237"/>
      <c r="E43" s="237"/>
      <c r="F43" s="237"/>
      <c r="G43" s="504" t="s">
        <v>1685</v>
      </c>
      <c r="H43" s="237"/>
      <c r="I43" s="360"/>
      <c r="J43" s="360"/>
      <c r="K43" s="360"/>
      <c r="L43" s="360"/>
      <c r="M43" s="228"/>
    </row>
    <row r="44" spans="1:14" ht="13">
      <c r="A44" s="553">
        <f t="shared" si="0"/>
        <v>20</v>
      </c>
      <c r="B44" s="236"/>
      <c r="C44" s="236"/>
      <c r="D44" s="236"/>
      <c r="E44" s="236"/>
      <c r="F44" s="236"/>
      <c r="G44" s="236"/>
      <c r="H44" s="236"/>
      <c r="I44" s="228"/>
      <c r="J44" s="228"/>
      <c r="K44" s="228"/>
      <c r="L44" s="228"/>
      <c r="M44" s="228"/>
    </row>
    <row r="45" spans="1:14" ht="13">
      <c r="A45" s="553">
        <f t="shared" si="0"/>
        <v>21</v>
      </c>
      <c r="B45" s="110"/>
      <c r="C45" s="823" t="s">
        <v>12</v>
      </c>
      <c r="D45" s="236"/>
      <c r="E45" s="236"/>
      <c r="F45" s="236"/>
      <c r="G45" s="236"/>
      <c r="H45" s="236"/>
      <c r="I45" s="228"/>
      <c r="J45" s="228"/>
      <c r="K45" s="228"/>
      <c r="L45" s="228"/>
      <c r="M45" s="228"/>
    </row>
    <row r="46" spans="1:14" ht="13">
      <c r="A46" s="553">
        <f t="shared" si="0"/>
        <v>22</v>
      </c>
      <c r="B46" s="110"/>
      <c r="C46" s="823" t="s">
        <v>964</v>
      </c>
      <c r="D46" s="236"/>
      <c r="E46" s="236"/>
      <c r="F46" s="236"/>
      <c r="G46" s="236"/>
      <c r="H46" s="236"/>
      <c r="I46" s="228"/>
      <c r="J46" s="228"/>
      <c r="K46" s="228"/>
      <c r="L46" s="228"/>
      <c r="M46" s="553" t="s">
        <v>192</v>
      </c>
    </row>
    <row r="47" spans="1:14" ht="13">
      <c r="A47" s="553">
        <f t="shared" si="0"/>
        <v>23</v>
      </c>
      <c r="B47" s="123" t="s">
        <v>1750</v>
      </c>
      <c r="C47" s="352">
        <v>350.1</v>
      </c>
      <c r="D47" s="352">
        <v>350.2</v>
      </c>
      <c r="E47" s="352">
        <v>352</v>
      </c>
      <c r="F47" s="352">
        <v>353</v>
      </c>
      <c r="G47" s="352">
        <v>354</v>
      </c>
      <c r="H47" s="352">
        <v>355</v>
      </c>
      <c r="I47" s="352">
        <v>356</v>
      </c>
      <c r="J47" s="352">
        <v>357</v>
      </c>
      <c r="K47" s="352">
        <v>358</v>
      </c>
      <c r="L47" s="352">
        <v>359</v>
      </c>
      <c r="M47" s="123" t="s">
        <v>196</v>
      </c>
    </row>
    <row r="48" spans="1:14" ht="13">
      <c r="A48" s="553">
        <f t="shared" si="0"/>
        <v>24</v>
      </c>
      <c r="B48" s="939" t="s">
        <v>2554</v>
      </c>
      <c r="C48" s="232">
        <f>C12*$C$30/12</f>
        <v>0</v>
      </c>
      <c r="D48" s="232">
        <f t="shared" ref="D48:D59" si="1">D12*$D30/12</f>
        <v>228612.35939537571</v>
      </c>
      <c r="E48" s="232">
        <f t="shared" ref="E48:E59" si="2">E12*$E30/12</f>
        <v>1378537.9555505149</v>
      </c>
      <c r="F48" s="232">
        <f t="shared" ref="F48:F59" si="3">F12*$F30/12</f>
        <v>7121346.6466491697</v>
      </c>
      <c r="G48" s="232">
        <f t="shared" ref="G48:G59" si="4">G12*$G30/12</f>
        <v>4645576.5832561329</v>
      </c>
      <c r="H48" s="232">
        <f t="shared" ref="H48:H59" si="5">H12*$H30/12</f>
        <v>1182175.173197662</v>
      </c>
      <c r="I48" s="232">
        <f t="shared" ref="I48:I59" si="6">I12*$I30/12</f>
        <v>3333419.692423882</v>
      </c>
      <c r="J48" s="232">
        <f t="shared" ref="J48:J59" si="7">J12*$J30/12</f>
        <v>262475.40275004989</v>
      </c>
      <c r="K48" s="232">
        <f t="shared" ref="K48:K59" si="8">K12*$K30/12</f>
        <v>270865.23127521289</v>
      </c>
      <c r="L48" s="232">
        <f t="shared" ref="L48:L59" si="9">L12*$L30/12</f>
        <v>225918.68390000003</v>
      </c>
      <c r="M48" s="230">
        <f>SUM(C48:L48)</f>
        <v>18648927.728397995</v>
      </c>
    </row>
    <row r="49" spans="1:13" ht="13">
      <c r="A49" s="553">
        <f t="shared" si="0"/>
        <v>25</v>
      </c>
      <c r="B49" s="939" t="s">
        <v>2555</v>
      </c>
      <c r="C49" s="232">
        <f>C13*$C$31/12</f>
        <v>0</v>
      </c>
      <c r="D49" s="232">
        <f t="shared" si="1"/>
        <v>228551.25158172916</v>
      </c>
      <c r="E49" s="232">
        <f t="shared" si="2"/>
        <v>1383520.1998343221</v>
      </c>
      <c r="F49" s="232">
        <f t="shared" si="3"/>
        <v>7127811.7498428151</v>
      </c>
      <c r="G49" s="232">
        <f t="shared" si="4"/>
        <v>4622814.0171417715</v>
      </c>
      <c r="H49" s="232">
        <f t="shared" si="5"/>
        <v>1200730.582529986</v>
      </c>
      <c r="I49" s="232">
        <f t="shared" si="6"/>
        <v>3354417.0457676877</v>
      </c>
      <c r="J49" s="232">
        <f t="shared" si="7"/>
        <v>262470.27727555815</v>
      </c>
      <c r="K49" s="232">
        <f t="shared" si="8"/>
        <v>270859.49461807165</v>
      </c>
      <c r="L49" s="232">
        <f t="shared" si="9"/>
        <v>225931.8803756097</v>
      </c>
      <c r="M49" s="230">
        <f t="shared" ref="M49:M59" si="10">SUM(C49:L49)</f>
        <v>18677106.498967554</v>
      </c>
    </row>
    <row r="50" spans="1:13" ht="13">
      <c r="A50" s="553">
        <f t="shared" si="0"/>
        <v>26</v>
      </c>
      <c r="B50" s="939" t="s">
        <v>2556</v>
      </c>
      <c r="C50" s="232">
        <f>C14*$C$32/12</f>
        <v>0</v>
      </c>
      <c r="D50" s="232">
        <f t="shared" si="1"/>
        <v>228580.24865978389</v>
      </c>
      <c r="E50" s="232">
        <f t="shared" si="2"/>
        <v>1391902.3430414132</v>
      </c>
      <c r="F50" s="232">
        <f t="shared" si="3"/>
        <v>7128008.9375565164</v>
      </c>
      <c r="G50" s="232">
        <f t="shared" si="4"/>
        <v>4623596.4899500823</v>
      </c>
      <c r="H50" s="232">
        <f t="shared" si="5"/>
        <v>1206648.8636158996</v>
      </c>
      <c r="I50" s="232">
        <f t="shared" si="6"/>
        <v>3355460.8525568624</v>
      </c>
      <c r="J50" s="232">
        <f t="shared" si="7"/>
        <v>262482.72710641444</v>
      </c>
      <c r="K50" s="232">
        <f t="shared" si="8"/>
        <v>270873.59771124303</v>
      </c>
      <c r="L50" s="232">
        <f t="shared" si="9"/>
        <v>226155.59237765812</v>
      </c>
      <c r="M50" s="230">
        <f t="shared" si="10"/>
        <v>18693709.652575873</v>
      </c>
    </row>
    <row r="51" spans="1:13" ht="13">
      <c r="A51" s="553">
        <f t="shared" si="0"/>
        <v>27</v>
      </c>
      <c r="B51" s="939" t="s">
        <v>2557</v>
      </c>
      <c r="C51" s="232">
        <f>C15*$C$33/12</f>
        <v>0</v>
      </c>
      <c r="D51" s="232">
        <f t="shared" si="1"/>
        <v>228630.08648079736</v>
      </c>
      <c r="E51" s="232">
        <f t="shared" si="2"/>
        <v>1405587.9451119264</v>
      </c>
      <c r="F51" s="232">
        <f t="shared" si="3"/>
        <v>7149413.268591932</v>
      </c>
      <c r="G51" s="232">
        <f t="shared" si="4"/>
        <v>4622965.5940618375</v>
      </c>
      <c r="H51" s="232">
        <f t="shared" si="5"/>
        <v>1212791.1076605886</v>
      </c>
      <c r="I51" s="232">
        <f t="shared" si="6"/>
        <v>3362066.0341225653</v>
      </c>
      <c r="J51" s="232">
        <f t="shared" si="7"/>
        <v>262509.4520696401</v>
      </c>
      <c r="K51" s="232">
        <f t="shared" si="8"/>
        <v>270893.80701903166</v>
      </c>
      <c r="L51" s="232">
        <f t="shared" si="9"/>
        <v>229572.91373544824</v>
      </c>
      <c r="M51" s="230">
        <f t="shared" si="10"/>
        <v>18744430.208853766</v>
      </c>
    </row>
    <row r="52" spans="1:13" ht="13">
      <c r="A52" s="553">
        <f t="shared" si="0"/>
        <v>28</v>
      </c>
      <c r="B52" s="939" t="s">
        <v>2558</v>
      </c>
      <c r="C52" s="232">
        <f>C16*$C$34/12</f>
        <v>0</v>
      </c>
      <c r="D52" s="232">
        <f t="shared" si="1"/>
        <v>228572.62047867334</v>
      </c>
      <c r="E52" s="232">
        <f t="shared" si="2"/>
        <v>1406078.4739860191</v>
      </c>
      <c r="F52" s="232">
        <f t="shared" si="3"/>
        <v>7172894.0276534716</v>
      </c>
      <c r="G52" s="232">
        <f t="shared" si="4"/>
        <v>4630367.1185662486</v>
      </c>
      <c r="H52" s="232">
        <f t="shared" si="5"/>
        <v>1215556.4940968805</v>
      </c>
      <c r="I52" s="232">
        <f t="shared" si="6"/>
        <v>3403351.0992631856</v>
      </c>
      <c r="J52" s="232">
        <f t="shared" si="7"/>
        <v>262524.44808800548</v>
      </c>
      <c r="K52" s="232">
        <f t="shared" si="8"/>
        <v>270911.23257800855</v>
      </c>
      <c r="L52" s="232">
        <f t="shared" si="9"/>
        <v>229653.29022961471</v>
      </c>
      <c r="M52" s="230">
        <f t="shared" si="10"/>
        <v>18819908.804940108</v>
      </c>
    </row>
    <row r="53" spans="1:13" ht="13">
      <c r="A53" s="553">
        <f t="shared" si="0"/>
        <v>29</v>
      </c>
      <c r="B53" s="939" t="s">
        <v>2559</v>
      </c>
      <c r="C53" s="232">
        <f>C17*$C$35/12</f>
        <v>0</v>
      </c>
      <c r="D53" s="232">
        <f t="shared" si="1"/>
        <v>228621.01695637673</v>
      </c>
      <c r="E53" s="232">
        <f t="shared" si="2"/>
        <v>1415464.3120513048</v>
      </c>
      <c r="F53" s="232">
        <f t="shared" si="3"/>
        <v>7219232.9261552691</v>
      </c>
      <c r="G53" s="232">
        <f t="shared" si="4"/>
        <v>4632229.6444100328</v>
      </c>
      <c r="H53" s="232">
        <f t="shared" si="5"/>
        <v>1218809.4514561503</v>
      </c>
      <c r="I53" s="232">
        <f t="shared" si="6"/>
        <v>3459998.0122468919</v>
      </c>
      <c r="J53" s="232">
        <f t="shared" si="7"/>
        <v>262551.16900829953</v>
      </c>
      <c r="K53" s="232">
        <f t="shared" si="8"/>
        <v>270939.90434944496</v>
      </c>
      <c r="L53" s="232">
        <f t="shared" si="9"/>
        <v>230861.67314648387</v>
      </c>
      <c r="M53" s="230">
        <f t="shared" si="10"/>
        <v>18938708.109780256</v>
      </c>
    </row>
    <row r="54" spans="1:13" ht="13">
      <c r="A54" s="553">
        <f t="shared" si="0"/>
        <v>30</v>
      </c>
      <c r="B54" s="939" t="s">
        <v>2560</v>
      </c>
      <c r="C54" s="232">
        <f>C18*$C$36/12</f>
        <v>0</v>
      </c>
      <c r="D54" s="232">
        <f t="shared" si="1"/>
        <v>228814.58860785514</v>
      </c>
      <c r="E54" s="232">
        <f t="shared" si="2"/>
        <v>1416681.0179030525</v>
      </c>
      <c r="F54" s="232">
        <f t="shared" si="3"/>
        <v>7227168.039173699</v>
      </c>
      <c r="G54" s="232">
        <f t="shared" si="4"/>
        <v>4639768.8252293654</v>
      </c>
      <c r="H54" s="232">
        <f t="shared" si="5"/>
        <v>1221978.4610997008</v>
      </c>
      <c r="I54" s="232">
        <f t="shared" si="6"/>
        <v>3481597.6250372846</v>
      </c>
      <c r="J54" s="232">
        <f t="shared" si="7"/>
        <v>262559.83207264525</v>
      </c>
      <c r="K54" s="232">
        <f t="shared" si="8"/>
        <v>270963.11807342531</v>
      </c>
      <c r="L54" s="232">
        <f t="shared" si="9"/>
        <v>230853.63628217974</v>
      </c>
      <c r="M54" s="230">
        <f t="shared" si="10"/>
        <v>18980385.143479209</v>
      </c>
    </row>
    <row r="55" spans="1:13" ht="13">
      <c r="A55" s="553">
        <f t="shared" si="0"/>
        <v>31</v>
      </c>
      <c r="B55" s="939" t="s">
        <v>2561</v>
      </c>
      <c r="C55" s="232">
        <f>C19*$C$37/12</f>
        <v>0</v>
      </c>
      <c r="D55" s="232">
        <f t="shared" si="1"/>
        <v>228919.36645013478</v>
      </c>
      <c r="E55" s="232">
        <f t="shared" si="2"/>
        <v>1416461.2086474488</v>
      </c>
      <c r="F55" s="232">
        <f t="shared" si="3"/>
        <v>7237096.3833600068</v>
      </c>
      <c r="G55" s="232">
        <f t="shared" si="4"/>
        <v>4642461.6208490757</v>
      </c>
      <c r="H55" s="232">
        <f t="shared" si="5"/>
        <v>1225662.9368588934</v>
      </c>
      <c r="I55" s="232">
        <f t="shared" si="6"/>
        <v>3485150.7713109464</v>
      </c>
      <c r="J55" s="232">
        <f t="shared" si="7"/>
        <v>296083.99227671517</v>
      </c>
      <c r="K55" s="232">
        <f t="shared" si="8"/>
        <v>191063.28103836524</v>
      </c>
      <c r="L55" s="232">
        <f t="shared" si="9"/>
        <v>230895.70302283345</v>
      </c>
      <c r="M55" s="230">
        <f t="shared" si="10"/>
        <v>18953795.263814423</v>
      </c>
    </row>
    <row r="56" spans="1:13" ht="13">
      <c r="A56" s="553">
        <f t="shared" si="0"/>
        <v>32</v>
      </c>
      <c r="B56" s="939" t="s">
        <v>2562</v>
      </c>
      <c r="C56" s="232">
        <f>C20*$C$38/12</f>
        <v>0</v>
      </c>
      <c r="D56" s="232">
        <f t="shared" si="1"/>
        <v>228919.66319201153</v>
      </c>
      <c r="E56" s="232">
        <f t="shared" si="2"/>
        <v>1445431.9746644211</v>
      </c>
      <c r="F56" s="232">
        <f t="shared" si="3"/>
        <v>7283314.9971756665</v>
      </c>
      <c r="G56" s="232">
        <f t="shared" si="4"/>
        <v>4646440.7433584258</v>
      </c>
      <c r="H56" s="232">
        <f t="shared" si="5"/>
        <v>1227705.3179808378</v>
      </c>
      <c r="I56" s="232">
        <f t="shared" si="6"/>
        <v>3482254.1519553871</v>
      </c>
      <c r="J56" s="232">
        <f t="shared" si="7"/>
        <v>296093.63022177172</v>
      </c>
      <c r="K56" s="232">
        <f t="shared" si="8"/>
        <v>191064.69540330069</v>
      </c>
      <c r="L56" s="232">
        <f t="shared" si="9"/>
        <v>230899.84700892246</v>
      </c>
      <c r="M56" s="230">
        <f t="shared" si="10"/>
        <v>19032125.020960744</v>
      </c>
    </row>
    <row r="57" spans="1:13" ht="13">
      <c r="A57" s="553">
        <f t="shared" si="0"/>
        <v>33</v>
      </c>
      <c r="B57" s="939" t="s">
        <v>2563</v>
      </c>
      <c r="C57" s="232">
        <f>C21*$C$39/12</f>
        <v>0</v>
      </c>
      <c r="D57" s="232">
        <f t="shared" si="1"/>
        <v>229073.36142823775</v>
      </c>
      <c r="E57" s="232">
        <f t="shared" si="2"/>
        <v>1450542.2090249814</v>
      </c>
      <c r="F57" s="232">
        <f t="shared" si="3"/>
        <v>7294410.2184481202</v>
      </c>
      <c r="G57" s="232">
        <f t="shared" si="4"/>
        <v>4672398.4451776585</v>
      </c>
      <c r="H57" s="232">
        <f t="shared" si="5"/>
        <v>1230137.2995539063</v>
      </c>
      <c r="I57" s="232">
        <f t="shared" si="6"/>
        <v>3505093.6941982768</v>
      </c>
      <c r="J57" s="232">
        <f t="shared" si="7"/>
        <v>296102.26191451994</v>
      </c>
      <c r="K57" s="232">
        <f t="shared" si="8"/>
        <v>191066.32872770343</v>
      </c>
      <c r="L57" s="232">
        <f t="shared" si="9"/>
        <v>230905.18632848331</v>
      </c>
      <c r="M57" s="230">
        <f t="shared" si="10"/>
        <v>19099729.004801892</v>
      </c>
    </row>
    <row r="58" spans="1:13" ht="13">
      <c r="A58" s="553">
        <f t="shared" si="0"/>
        <v>34</v>
      </c>
      <c r="B58" s="939" t="s">
        <v>2564</v>
      </c>
      <c r="C58" s="232">
        <f>C22*$C$40/12</f>
        <v>0</v>
      </c>
      <c r="D58" s="232">
        <f t="shared" si="1"/>
        <v>229078.07512387086</v>
      </c>
      <c r="E58" s="232">
        <f t="shared" si="2"/>
        <v>1451798.4218965264</v>
      </c>
      <c r="F58" s="232">
        <f t="shared" si="3"/>
        <v>7308788.9654588485</v>
      </c>
      <c r="G58" s="232">
        <f t="shared" si="4"/>
        <v>4675342.5012295144</v>
      </c>
      <c r="H58" s="232">
        <f t="shared" si="5"/>
        <v>1234442.4465585179</v>
      </c>
      <c r="I58" s="232">
        <f t="shared" si="6"/>
        <v>3567988.2940431419</v>
      </c>
      <c r="J58" s="232">
        <f t="shared" si="7"/>
        <v>296110.0924460403</v>
      </c>
      <c r="K58" s="232">
        <f t="shared" si="8"/>
        <v>191068.03529190188</v>
      </c>
      <c r="L58" s="232">
        <f t="shared" si="9"/>
        <v>231736.16443285337</v>
      </c>
      <c r="M58" s="230">
        <f t="shared" si="10"/>
        <v>19186352.996481214</v>
      </c>
    </row>
    <row r="59" spans="1:13" ht="13">
      <c r="A59" s="553">
        <f t="shared" si="0"/>
        <v>35</v>
      </c>
      <c r="B59" s="939" t="s">
        <v>2553</v>
      </c>
      <c r="C59" s="232">
        <f>C23*$C$41/12</f>
        <v>0</v>
      </c>
      <c r="D59" s="232">
        <f t="shared" si="1"/>
        <v>229059.78609238341</v>
      </c>
      <c r="E59" s="232">
        <f t="shared" si="2"/>
        <v>1451582.3460931433</v>
      </c>
      <c r="F59" s="232">
        <f t="shared" si="3"/>
        <v>7324073.9971150579</v>
      </c>
      <c r="G59" s="232">
        <f t="shared" si="4"/>
        <v>4678446.5869710734</v>
      </c>
      <c r="H59" s="232">
        <f t="shared" si="5"/>
        <v>1237508.1781278511</v>
      </c>
      <c r="I59" s="232">
        <f t="shared" si="6"/>
        <v>3574693.2648933171</v>
      </c>
      <c r="J59" s="232">
        <f t="shared" si="7"/>
        <v>296125.89753568708</v>
      </c>
      <c r="K59" s="232">
        <f t="shared" si="8"/>
        <v>191081.72477446726</v>
      </c>
      <c r="L59" s="232">
        <f t="shared" si="9"/>
        <v>232625.7430772339</v>
      </c>
      <c r="M59" s="91">
        <f t="shared" si="10"/>
        <v>19215197.524680212</v>
      </c>
    </row>
    <row r="60" spans="1:13" ht="13">
      <c r="A60" s="553">
        <f t="shared" si="0"/>
        <v>36</v>
      </c>
      <c r="B60" s="229" t="s">
        <v>197</v>
      </c>
      <c r="C60" s="230">
        <f>SUM(C48:C59)</f>
        <v>0</v>
      </c>
      <c r="D60" s="230">
        <f t="shared" ref="D60:K60" si="11">SUM(D48:D59)</f>
        <v>2745432.4244472296</v>
      </c>
      <c r="E60" s="230">
        <f t="shared" si="11"/>
        <v>17013588.407805074</v>
      </c>
      <c r="F60" s="230">
        <f t="shared" si="11"/>
        <v>86593560.157180578</v>
      </c>
      <c r="G60" s="230">
        <f t="shared" si="11"/>
        <v>55732408.17020122</v>
      </c>
      <c r="H60" s="230">
        <f>SUM(H48:H59)</f>
        <v>14614146.312736873</v>
      </c>
      <c r="I60" s="230">
        <f t="shared" si="11"/>
        <v>41365490.537819423</v>
      </c>
      <c r="J60" s="230">
        <f t="shared" si="11"/>
        <v>3318089.182765347</v>
      </c>
      <c r="K60" s="230">
        <f t="shared" si="11"/>
        <v>2851650.4508601767</v>
      </c>
      <c r="L60" s="230">
        <f>SUM(L48:L59)</f>
        <v>2756010.3139173212</v>
      </c>
      <c r="M60" s="7"/>
    </row>
    <row r="61" spans="1:13" ht="13">
      <c r="A61" s="553">
        <f t="shared" si="0"/>
        <v>37</v>
      </c>
      <c r="B61" s="228"/>
      <c r="C61" s="228"/>
      <c r="D61" s="228"/>
      <c r="E61" s="228"/>
      <c r="F61" s="228"/>
      <c r="G61" s="228"/>
      <c r="H61" s="228"/>
      <c r="I61" s="228"/>
      <c r="J61" s="228"/>
      <c r="K61" s="228"/>
      <c r="L61" s="465" t="s">
        <v>969</v>
      </c>
      <c r="M61" s="230">
        <f>SUM(M48:M59)</f>
        <v>226990375.95773327</v>
      </c>
    </row>
    <row r="62" spans="1:13" ht="13">
      <c r="A62" s="553">
        <f t="shared" si="0"/>
        <v>38</v>
      </c>
      <c r="B62" s="228"/>
      <c r="C62" s="228"/>
      <c r="D62" s="228"/>
      <c r="E62" s="228"/>
      <c r="F62" s="228"/>
      <c r="G62" s="228"/>
      <c r="H62" s="228"/>
      <c r="I62" s="228"/>
      <c r="J62" s="228"/>
      <c r="K62" s="228"/>
      <c r="L62" s="707" t="s">
        <v>970</v>
      </c>
      <c r="M62" s="228"/>
    </row>
    <row r="63" spans="1:13" ht="13">
      <c r="A63" s="553">
        <f t="shared" si="0"/>
        <v>39</v>
      </c>
      <c r="B63" s="1" t="s">
        <v>1006</v>
      </c>
      <c r="C63" s="228"/>
      <c r="D63" s="228"/>
      <c r="E63" s="228"/>
      <c r="F63" s="228"/>
      <c r="G63" s="228"/>
      <c r="H63" s="228"/>
      <c r="I63" s="228"/>
      <c r="J63" s="228"/>
      <c r="K63" s="228"/>
      <c r="L63" s="228"/>
      <c r="M63" s="228"/>
    </row>
    <row r="64" spans="1:13" ht="13">
      <c r="A64" s="553">
        <f t="shared" si="0"/>
        <v>40</v>
      </c>
      <c r="B64" s="228"/>
      <c r="C64" s="228"/>
      <c r="D64" s="228"/>
      <c r="E64" s="228"/>
      <c r="F64" s="228"/>
      <c r="G64" s="228"/>
      <c r="H64" s="228"/>
      <c r="I64" s="228"/>
      <c r="J64" s="228"/>
      <c r="K64" s="228"/>
      <c r="L64" s="228"/>
      <c r="M64" s="228"/>
    </row>
    <row r="65" spans="1:13" ht="13">
      <c r="A65" s="553">
        <f t="shared" si="0"/>
        <v>41</v>
      </c>
      <c r="B65" s="228"/>
      <c r="C65" s="228"/>
      <c r="D65" s="84">
        <v>360</v>
      </c>
      <c r="E65" s="84">
        <v>361</v>
      </c>
      <c r="F65" s="84">
        <v>362</v>
      </c>
      <c r="G65" s="228"/>
      <c r="H65" s="51" t="s">
        <v>179</v>
      </c>
      <c r="I65" s="3"/>
      <c r="J65" s="228"/>
      <c r="K65" s="228"/>
      <c r="L65" s="228"/>
      <c r="M65" s="228"/>
    </row>
    <row r="66" spans="1:13" ht="13">
      <c r="A66" s="553">
        <f t="shared" si="0"/>
        <v>42</v>
      </c>
      <c r="B66" s="467" t="s">
        <v>1007</v>
      </c>
      <c r="C66" s="228"/>
      <c r="D66" s="232">
        <f>'6-PlantInService'!C35</f>
        <v>0</v>
      </c>
      <c r="E66" s="232">
        <f>'6-PlantInService'!D35</f>
        <v>0</v>
      </c>
      <c r="F66" s="232">
        <f>'6-PlantInService'!E35</f>
        <v>0</v>
      </c>
      <c r="G66" s="236"/>
      <c r="H66" s="469" t="s">
        <v>2174</v>
      </c>
      <c r="I66" s="466"/>
      <c r="J66" s="228"/>
      <c r="K66" s="228"/>
      <c r="L66" s="228"/>
      <c r="M66" s="228"/>
    </row>
    <row r="67" spans="1:13" ht="13">
      <c r="A67" s="553">
        <f t="shared" si="0"/>
        <v>43</v>
      </c>
      <c r="B67" s="467" t="s">
        <v>1008</v>
      </c>
      <c r="C67" s="228"/>
      <c r="D67" s="449">
        <f>'6-PlantInService'!C36</f>
        <v>0</v>
      </c>
      <c r="E67" s="449">
        <f>'6-PlantInService'!D36</f>
        <v>0</v>
      </c>
      <c r="F67" s="449">
        <f>'6-PlantInService'!E36</f>
        <v>0</v>
      </c>
      <c r="G67" s="236"/>
      <c r="H67" s="469" t="s">
        <v>2175</v>
      </c>
      <c r="I67" s="236"/>
      <c r="J67" s="228"/>
      <c r="K67" s="228"/>
      <c r="M67" s="228"/>
    </row>
    <row r="68" spans="1:13" ht="13">
      <c r="A68" s="553">
        <f t="shared" si="0"/>
        <v>44</v>
      </c>
      <c r="B68" s="467" t="s">
        <v>1009</v>
      </c>
      <c r="C68" s="228"/>
      <c r="D68" s="232">
        <f>AVERAGE(D66:D67)</f>
        <v>0</v>
      </c>
      <c r="E68" s="232">
        <f>AVERAGE(E66:E67)</f>
        <v>0</v>
      </c>
      <c r="F68" s="232">
        <f>AVERAGE(F66:F67)</f>
        <v>0</v>
      </c>
      <c r="G68" s="236"/>
      <c r="H68" s="883"/>
      <c r="I68" s="471"/>
      <c r="J68" s="228"/>
      <c r="K68" s="228"/>
      <c r="M68" s="228"/>
    </row>
    <row r="69" spans="1:13" ht="13">
      <c r="A69" s="553">
        <f t="shared" si="0"/>
        <v>45</v>
      </c>
      <c r="D69" s="14"/>
      <c r="E69" s="14"/>
      <c r="F69" s="14"/>
      <c r="G69" s="14"/>
      <c r="H69" s="14"/>
      <c r="J69" s="228"/>
      <c r="K69" s="228"/>
      <c r="M69" s="228"/>
    </row>
    <row r="70" spans="1:13" ht="13">
      <c r="A70" s="553">
        <f t="shared" si="0"/>
        <v>46</v>
      </c>
      <c r="B70" s="615" t="s">
        <v>1768</v>
      </c>
      <c r="C70" s="228"/>
      <c r="D70" s="236"/>
      <c r="E70" s="236"/>
      <c r="F70" s="14"/>
      <c r="G70" s="14"/>
      <c r="H70" s="14"/>
      <c r="J70" s="236"/>
      <c r="K70" s="236"/>
      <c r="L70" s="232"/>
      <c r="M70" s="228"/>
    </row>
    <row r="71" spans="1:13" ht="13">
      <c r="A71" s="553">
        <f t="shared" si="0"/>
        <v>47</v>
      </c>
      <c r="B71" s="228"/>
      <c r="D71" s="352">
        <v>360</v>
      </c>
      <c r="E71" s="352">
        <v>361</v>
      </c>
      <c r="F71" s="352">
        <v>362</v>
      </c>
      <c r="G71" s="14"/>
      <c r="H71" s="14"/>
      <c r="J71" s="236"/>
      <c r="K71" s="236"/>
      <c r="L71" s="232"/>
      <c r="M71" s="228"/>
    </row>
    <row r="72" spans="1:13" ht="13">
      <c r="A72" s="553">
        <f t="shared" si="0"/>
        <v>48</v>
      </c>
      <c r="D72" s="237">
        <f>'18-DepRates'!$G20</f>
        <v>1.67E-2</v>
      </c>
      <c r="E72" s="237">
        <f>'18-DepRates'!$G21</f>
        <v>2.2700000000000001E-2</v>
      </c>
      <c r="F72" s="237">
        <f>'18-DepRates'!$G22</f>
        <v>1.9E-2</v>
      </c>
      <c r="G72" s="14"/>
      <c r="H72" s="14"/>
      <c r="J72" s="236"/>
      <c r="K72" s="236"/>
      <c r="L72" s="232"/>
      <c r="M72" s="228"/>
    </row>
    <row r="73" spans="1:13" ht="13">
      <c r="A73" s="553">
        <f t="shared" si="0"/>
        <v>49</v>
      </c>
      <c r="D73" s="14"/>
      <c r="E73" s="14"/>
      <c r="F73" s="14"/>
      <c r="G73" s="14"/>
      <c r="H73" s="14"/>
      <c r="J73" s="236"/>
      <c r="K73" s="236"/>
      <c r="L73" s="111"/>
      <c r="M73" s="228"/>
    </row>
    <row r="74" spans="1:13" ht="13">
      <c r="A74" s="553">
        <f t="shared" si="0"/>
        <v>50</v>
      </c>
      <c r="B74" t="s">
        <v>361</v>
      </c>
      <c r="D74" s="14"/>
      <c r="E74" s="14"/>
      <c r="F74" s="469" t="s">
        <v>1686</v>
      </c>
      <c r="G74" s="14"/>
      <c r="H74" s="14"/>
      <c r="J74" s="236"/>
      <c r="K74" s="236"/>
      <c r="L74" s="237"/>
      <c r="M74" s="228"/>
    </row>
    <row r="75" spans="1:13" ht="13">
      <c r="A75" s="553">
        <f t="shared" si="0"/>
        <v>51</v>
      </c>
      <c r="J75" s="236"/>
      <c r="K75" s="236"/>
      <c r="L75" s="237"/>
      <c r="M75" s="228"/>
    </row>
    <row r="76" spans="1:13" ht="13">
      <c r="A76" s="553">
        <f t="shared" si="0"/>
        <v>52</v>
      </c>
      <c r="D76" s="84">
        <v>360</v>
      </c>
      <c r="E76" s="84">
        <v>361</v>
      </c>
      <c r="F76" s="84">
        <v>362</v>
      </c>
      <c r="G76" s="362" t="s">
        <v>196</v>
      </c>
      <c r="J76" s="236"/>
      <c r="K76" s="236"/>
      <c r="L76" s="237"/>
      <c r="M76" s="228"/>
    </row>
    <row r="77" spans="1:13" ht="13">
      <c r="A77" s="553">
        <f t="shared" ref="A77:A90" si="12">A76+1</f>
        <v>53</v>
      </c>
      <c r="D77" s="7">
        <f xml:space="preserve"> D68*D72</f>
        <v>0</v>
      </c>
      <c r="E77" s="7">
        <f xml:space="preserve"> E68*E72</f>
        <v>0</v>
      </c>
      <c r="F77" s="7">
        <f xml:space="preserve"> F68*F72</f>
        <v>0</v>
      </c>
      <c r="G77" s="7">
        <f>SUM(D77:F77)</f>
        <v>0</v>
      </c>
      <c r="H77" s="16" t="s">
        <v>1010</v>
      </c>
      <c r="J77" s="236"/>
      <c r="K77" s="236"/>
      <c r="L77" s="232"/>
      <c r="M77" s="228"/>
    </row>
    <row r="78" spans="1:13" ht="13">
      <c r="A78" s="553">
        <f t="shared" si="12"/>
        <v>54</v>
      </c>
      <c r="H78" s="16" t="s">
        <v>1011</v>
      </c>
      <c r="J78" s="236"/>
      <c r="K78" s="236"/>
      <c r="L78" s="236"/>
      <c r="M78" s="228"/>
    </row>
    <row r="79" spans="1:13" ht="13">
      <c r="A79" s="553">
        <f t="shared" si="12"/>
        <v>55</v>
      </c>
      <c r="J79" s="236"/>
      <c r="K79" s="236"/>
      <c r="L79" s="236"/>
      <c r="M79" s="228"/>
    </row>
    <row r="80" spans="1:13" ht="13">
      <c r="A80" s="553">
        <f t="shared" si="12"/>
        <v>56</v>
      </c>
      <c r="B80" s="1" t="s">
        <v>1012</v>
      </c>
      <c r="J80" s="236"/>
      <c r="K80" s="236"/>
      <c r="L80" s="236"/>
      <c r="M80" s="228"/>
    </row>
    <row r="81" spans="1:13" ht="13">
      <c r="A81" s="553">
        <f t="shared" si="12"/>
        <v>57</v>
      </c>
      <c r="B81" s="228"/>
      <c r="C81" s="228"/>
      <c r="D81" s="228"/>
      <c r="E81" s="228"/>
      <c r="F81" s="228"/>
      <c r="G81" s="228"/>
      <c r="H81" s="228"/>
      <c r="I81" s="228"/>
      <c r="J81" s="228"/>
      <c r="K81" s="228"/>
      <c r="L81" s="228"/>
      <c r="M81" s="228"/>
    </row>
    <row r="82" spans="1:13" ht="13">
      <c r="A82" s="553">
        <f t="shared" si="12"/>
        <v>58</v>
      </c>
      <c r="B82" s="537" t="s">
        <v>971</v>
      </c>
      <c r="C82" s="228"/>
      <c r="D82" s="228"/>
      <c r="E82" s="228"/>
      <c r="F82" s="228"/>
      <c r="G82" s="228"/>
      <c r="H82" s="363">
        <v>235636576</v>
      </c>
      <c r="I82" s="471" t="s">
        <v>973</v>
      </c>
      <c r="J82" s="228"/>
      <c r="K82" s="228"/>
      <c r="L82" s="228"/>
      <c r="M82" s="228"/>
    </row>
    <row r="83" spans="1:13" ht="13">
      <c r="A83" s="553">
        <f t="shared" si="12"/>
        <v>59</v>
      </c>
      <c r="B83" s="467" t="s">
        <v>972</v>
      </c>
      <c r="C83" s="228"/>
      <c r="D83" s="228"/>
      <c r="E83" s="228"/>
      <c r="F83" s="228"/>
      <c r="G83" s="228"/>
      <c r="H83" s="100">
        <v>193129519</v>
      </c>
      <c r="I83" s="471" t="s">
        <v>974</v>
      </c>
      <c r="J83" s="228"/>
      <c r="K83" s="228"/>
      <c r="L83" s="228"/>
      <c r="M83" s="228"/>
    </row>
    <row r="84" spans="1:13" ht="13">
      <c r="A84" s="553">
        <f t="shared" si="12"/>
        <v>60</v>
      </c>
      <c r="B84" s="537" t="s">
        <v>975</v>
      </c>
      <c r="C84" s="228"/>
      <c r="D84" s="228"/>
      <c r="E84" s="228"/>
      <c r="F84" s="228"/>
      <c r="G84" s="228"/>
      <c r="H84" s="230">
        <f>SUM(H82:H83)</f>
        <v>428766095</v>
      </c>
      <c r="I84" s="466" t="str">
        <f>"Line "&amp;A82&amp;" + Line "&amp;A83&amp;""</f>
        <v>Line 58 + Line 59</v>
      </c>
      <c r="J84" s="236"/>
      <c r="K84" s="228"/>
      <c r="L84" s="228"/>
      <c r="M84" s="228"/>
    </row>
    <row r="85" spans="1:13" ht="13">
      <c r="A85" s="553">
        <f t="shared" si="12"/>
        <v>61</v>
      </c>
      <c r="B85" s="537" t="s">
        <v>93</v>
      </c>
      <c r="C85" s="228"/>
      <c r="D85" s="228"/>
      <c r="E85" s="228"/>
      <c r="F85" s="228"/>
      <c r="G85" s="228"/>
      <c r="H85" s="243">
        <f>'27-Allocators'!G15</f>
        <v>6.5680595610890333E-2</v>
      </c>
      <c r="I85" s="113" t="str">
        <f>"27-Allocators, Line "&amp;'27-Allocators'!A15&amp;""</f>
        <v>27-Allocators, Line 9</v>
      </c>
      <c r="J85" s="236"/>
      <c r="K85" s="228"/>
      <c r="L85" s="228"/>
      <c r="M85" s="228"/>
    </row>
    <row r="86" spans="1:13" ht="13">
      <c r="A86" s="553">
        <f t="shared" si="12"/>
        <v>62</v>
      </c>
      <c r="B86" s="537" t="s">
        <v>976</v>
      </c>
      <c r="C86" s="228"/>
      <c r="D86" s="228"/>
      <c r="E86" s="228"/>
      <c r="F86" s="228"/>
      <c r="G86" s="228"/>
      <c r="H86" s="230">
        <f>H84*H85</f>
        <v>28161612.497355588</v>
      </c>
      <c r="I86" s="466" t="str">
        <f>"Line "&amp;A84&amp;" * Line "&amp;A85&amp;""</f>
        <v>Line 60 * Line 61</v>
      </c>
      <c r="J86" s="236"/>
      <c r="K86" s="228"/>
      <c r="L86" s="228"/>
      <c r="M86" s="228"/>
    </row>
    <row r="87" spans="1:13" ht="13">
      <c r="A87" s="553">
        <f t="shared" si="12"/>
        <v>63</v>
      </c>
      <c r="B87" s="537"/>
      <c r="C87" s="467"/>
      <c r="D87" s="228"/>
      <c r="E87" s="228"/>
      <c r="F87" s="228"/>
      <c r="G87" s="228"/>
      <c r="H87" s="228"/>
      <c r="I87" s="228"/>
      <c r="J87" s="228"/>
      <c r="K87" s="228"/>
      <c r="L87" s="228"/>
      <c r="M87" s="228"/>
    </row>
    <row r="88" spans="1:13" ht="13">
      <c r="A88" s="553">
        <f t="shared" si="12"/>
        <v>64</v>
      </c>
      <c r="B88" s="83" t="s">
        <v>1655</v>
      </c>
      <c r="C88" s="228"/>
      <c r="D88" s="228"/>
      <c r="E88" s="228"/>
      <c r="F88" s="228"/>
      <c r="G88" s="228"/>
      <c r="H88" s="228"/>
      <c r="I88" s="228"/>
      <c r="J88" s="228"/>
      <c r="K88" s="228"/>
      <c r="L88" s="228"/>
      <c r="M88" s="228"/>
    </row>
    <row r="89" spans="1:13" ht="13">
      <c r="A89" s="553">
        <f t="shared" si="12"/>
        <v>65</v>
      </c>
      <c r="B89" s="537"/>
      <c r="C89" s="467"/>
      <c r="D89" s="228"/>
      <c r="E89" s="228"/>
      <c r="F89" s="228"/>
      <c r="G89" s="228"/>
      <c r="H89" s="228"/>
      <c r="I89" s="228"/>
      <c r="J89" s="228"/>
      <c r="K89" s="228"/>
      <c r="L89" s="228"/>
      <c r="M89" s="228"/>
    </row>
    <row r="90" spans="1:13" ht="13">
      <c r="A90" s="553">
        <f t="shared" si="12"/>
        <v>66</v>
      </c>
      <c r="B90" s="537" t="s">
        <v>1654</v>
      </c>
      <c r="C90" s="228"/>
      <c r="D90" s="228"/>
      <c r="E90" s="228"/>
      <c r="F90" s="3" t="s">
        <v>175</v>
      </c>
      <c r="G90" s="3" t="s">
        <v>179</v>
      </c>
      <c r="H90" s="228"/>
      <c r="I90" s="228"/>
    </row>
    <row r="91" spans="1:13" ht="13">
      <c r="A91" s="553">
        <f>A90+1</f>
        <v>67</v>
      </c>
      <c r="B91" s="471" t="s">
        <v>962</v>
      </c>
      <c r="C91" s="228"/>
      <c r="D91" s="228"/>
      <c r="E91" s="228"/>
      <c r="F91" s="230">
        <f>M61</f>
        <v>226990375.95773327</v>
      </c>
      <c r="G91" s="471" t="str">
        <f>"Line "&amp;A61&amp;", Col 12"</f>
        <v>Line 37, Col 12</v>
      </c>
      <c r="H91" s="228"/>
      <c r="I91" s="228"/>
    </row>
    <row r="92" spans="1:13" ht="13">
      <c r="A92" s="553">
        <f>A91+1</f>
        <v>68</v>
      </c>
      <c r="B92" s="471" t="s">
        <v>978</v>
      </c>
      <c r="C92" s="228"/>
      <c r="D92" s="228"/>
      <c r="E92" s="228"/>
      <c r="F92" s="230">
        <f>G77</f>
        <v>0</v>
      </c>
      <c r="G92" s="471" t="str">
        <f>"Line "&amp;A77&amp;""</f>
        <v>Line 53</v>
      </c>
      <c r="H92" s="228"/>
      <c r="I92" s="228"/>
    </row>
    <row r="93" spans="1:13" ht="13">
      <c r="A93" s="553">
        <f>A92+1</f>
        <v>69</v>
      </c>
      <c r="B93" s="471" t="s">
        <v>977</v>
      </c>
      <c r="C93" s="228"/>
      <c r="D93" s="228"/>
      <c r="E93" s="228"/>
      <c r="F93" s="91">
        <f>H86</f>
        <v>28161612.497355588</v>
      </c>
      <c r="G93" s="471" t="str">
        <f>"Line "&amp;A86&amp;""</f>
        <v>Line 62</v>
      </c>
      <c r="H93" s="228"/>
      <c r="I93" s="228"/>
    </row>
    <row r="94" spans="1:13" ht="13">
      <c r="A94" s="553">
        <f>A93+1</f>
        <v>70</v>
      </c>
      <c r="B94" s="228"/>
      <c r="C94" s="228"/>
      <c r="D94" s="228"/>
      <c r="E94" s="229" t="s">
        <v>1013</v>
      </c>
      <c r="F94" s="230">
        <f>SUM(F91:F93)</f>
        <v>255151988.45508885</v>
      </c>
      <c r="G94" s="471" t="str">
        <f>"Line "&amp;A91&amp;" + Line "&amp;A92&amp;" + Line "&amp;A93&amp;""</f>
        <v>Line 67 + Line 68 + Line 69</v>
      </c>
      <c r="H94" s="228"/>
      <c r="I94" s="228"/>
    </row>
    <row r="95" spans="1:13" ht="13">
      <c r="A95" s="228"/>
      <c r="B95" s="1" t="s">
        <v>230</v>
      </c>
      <c r="C95" s="228"/>
      <c r="D95" s="228"/>
      <c r="E95" s="228"/>
      <c r="F95" s="228"/>
      <c r="G95" s="228"/>
      <c r="H95" s="228"/>
      <c r="I95" s="228"/>
    </row>
    <row r="96" spans="1:13">
      <c r="A96" s="228"/>
      <c r="B96" s="467" t="s">
        <v>1420</v>
      </c>
      <c r="C96" s="228"/>
      <c r="D96" s="228"/>
      <c r="E96" s="228"/>
      <c r="F96" s="228"/>
      <c r="G96" s="228"/>
      <c r="H96" s="228"/>
      <c r="I96" s="228"/>
    </row>
    <row r="97" spans="1:10">
      <c r="A97" s="228"/>
      <c r="B97" s="469" t="str">
        <f>"same account, times the Monthly Depreciation Rate for that account.  Monthly rate = annual rates on Line "&amp;A29&amp;" etc. divided by 12."</f>
        <v>same account, times the Monthly Depreciation Rate for that account.  Monthly rate = annual rates on Line 17a etc. divided by 12.</v>
      </c>
      <c r="C97" s="236"/>
      <c r="D97" s="236"/>
      <c r="E97" s="236"/>
      <c r="F97" s="236"/>
      <c r="G97" s="236"/>
      <c r="H97" s="236"/>
      <c r="I97" s="236"/>
      <c r="J97" s="14"/>
    </row>
    <row r="98" spans="1:10">
      <c r="A98" s="228"/>
      <c r="B98" s="469" t="str">
        <f>"2) Depreciation Expense for each account is equal to the Average BOY/EOY value on Line "&amp;A68&amp;" times the"</f>
        <v>2) Depreciation Expense for each account is equal to the Average BOY/EOY value on Line 44 times the</v>
      </c>
      <c r="C98" s="236"/>
      <c r="D98" s="236"/>
      <c r="E98" s="236"/>
      <c r="F98" s="236"/>
      <c r="G98" s="236"/>
      <c r="H98" s="236"/>
      <c r="I98" s="236"/>
      <c r="J98" s="14"/>
    </row>
    <row r="99" spans="1:10">
      <c r="B99" s="469" t="str">
        <f>"Depreciation Rate on Line "&amp;A72&amp;"."</f>
        <v>Depreciation Rate on Line 48.</v>
      </c>
      <c r="C99" s="14"/>
      <c r="D99" s="14"/>
      <c r="E99" s="14"/>
      <c r="F99" s="14"/>
      <c r="G99" s="14"/>
      <c r="H99" s="14"/>
      <c r="I99" s="14"/>
      <c r="J99" s="14"/>
    </row>
    <row r="100" spans="1:10" ht="13">
      <c r="B100" s="44" t="s">
        <v>377</v>
      </c>
      <c r="C100" s="14"/>
      <c r="D100" s="14"/>
      <c r="E100" s="14"/>
      <c r="F100" s="14"/>
      <c r="G100" s="14"/>
      <c r="H100" s="14"/>
      <c r="I100" s="14"/>
      <c r="J100" s="14"/>
    </row>
    <row r="101" spans="1:10">
      <c r="B101" s="467" t="s">
        <v>2460</v>
      </c>
      <c r="C101" s="14"/>
      <c r="D101" s="14"/>
      <c r="E101" s="14"/>
      <c r="F101" s="14"/>
      <c r="G101" s="14"/>
      <c r="H101" s="14"/>
      <c r="I101" s="14"/>
      <c r="J101" s="14"/>
    </row>
    <row r="102" spans="1:10">
      <c r="B102" s="467" t="s">
        <v>2458</v>
      </c>
      <c r="C102" s="14"/>
      <c r="D102" s="14"/>
      <c r="E102" s="14"/>
      <c r="F102" s="14"/>
      <c r="G102" s="14"/>
      <c r="H102" s="14"/>
      <c r="I102" s="14"/>
      <c r="J102" s="14"/>
    </row>
    <row r="103" spans="1:10">
      <c r="B103" s="469" t="s">
        <v>1755</v>
      </c>
      <c r="C103" s="14"/>
      <c r="D103" s="14"/>
      <c r="E103" s="14"/>
      <c r="F103" s="14"/>
      <c r="G103" s="14"/>
      <c r="H103" s="14"/>
      <c r="I103" s="14"/>
      <c r="J103" s="14"/>
    </row>
    <row r="104" spans="1:10">
      <c r="B104" s="469"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4"/>
      <c r="D104" s="14"/>
      <c r="E104" s="14"/>
      <c r="F104" s="14"/>
      <c r="G104" s="14"/>
      <c r="H104" s="14"/>
      <c r="I104" s="14"/>
      <c r="J104" s="14"/>
    </row>
  </sheetData>
  <pageMargins left="0.7" right="0.7" top="0.75" bottom="0.75" header="0.3" footer="0.3"/>
  <pageSetup scale="63" orientation="landscape" cellComments="asDisplayed" r:id="rId1"/>
  <headerFooter>
    <oddHeader>&amp;CSchedule 17
Depreciation Expense
&amp;RTO2021 Draft Annual Update 
Attachment 1</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6"/>
  <sheetViews>
    <sheetView zoomScaleNormal="100" workbookViewId="0"/>
  </sheetViews>
  <sheetFormatPr defaultColWidth="8.54296875" defaultRowHeight="12.5"/>
  <cols>
    <col min="1" max="1" width="4.54296875" style="972" customWidth="1"/>
    <col min="2" max="3" width="8.54296875" style="972"/>
    <col min="4" max="4" width="38.54296875" style="972" customWidth="1"/>
    <col min="5" max="7" width="8.54296875" style="467"/>
    <col min="8" max="16384" width="8.54296875" style="972"/>
  </cols>
  <sheetData>
    <row r="1" spans="1:11" ht="13">
      <c r="A1" s="386" t="s">
        <v>1014</v>
      </c>
      <c r="B1" s="467"/>
      <c r="C1" s="467"/>
      <c r="D1" s="467"/>
      <c r="K1" s="972" t="s">
        <v>2442</v>
      </c>
    </row>
    <row r="2" spans="1:11">
      <c r="A2" s="467"/>
      <c r="B2" s="467"/>
      <c r="C2" s="467"/>
      <c r="D2" s="467"/>
    </row>
    <row r="3" spans="1:11" ht="13">
      <c r="A3" s="467"/>
      <c r="B3" s="386" t="s">
        <v>320</v>
      </c>
      <c r="C3" s="467"/>
      <c r="D3" s="467"/>
      <c r="E3" s="553" t="s">
        <v>371</v>
      </c>
      <c r="F3" s="553"/>
      <c r="G3" s="553"/>
    </row>
    <row r="4" spans="1:11" ht="13">
      <c r="A4" s="467"/>
      <c r="B4" s="467"/>
      <c r="C4" s="231" t="s">
        <v>12</v>
      </c>
      <c r="D4" s="467"/>
      <c r="E4" s="553" t="s">
        <v>1015</v>
      </c>
      <c r="F4" s="4" t="s">
        <v>1016</v>
      </c>
      <c r="G4" s="4"/>
    </row>
    <row r="5" spans="1:11" ht="13">
      <c r="A5" s="51" t="s">
        <v>329</v>
      </c>
      <c r="B5" s="467"/>
      <c r="C5" s="362" t="s">
        <v>99</v>
      </c>
      <c r="D5" s="362" t="s">
        <v>100</v>
      </c>
      <c r="E5" s="3" t="s">
        <v>1017</v>
      </c>
      <c r="F5" s="3" t="s">
        <v>1018</v>
      </c>
      <c r="G5" s="3" t="s">
        <v>196</v>
      </c>
    </row>
    <row r="6" spans="1:11" ht="15" customHeight="1">
      <c r="A6" s="553">
        <v>1</v>
      </c>
      <c r="B6" s="467"/>
      <c r="C6" s="707">
        <v>350.1</v>
      </c>
      <c r="D6" s="471" t="s">
        <v>1019</v>
      </c>
      <c r="E6" s="504">
        <v>0</v>
      </c>
      <c r="F6" s="504">
        <v>0</v>
      </c>
      <c r="G6" s="504">
        <v>0</v>
      </c>
    </row>
    <row r="7" spans="1:11" ht="15" customHeight="1">
      <c r="A7" s="553">
        <f>A6+1</f>
        <v>2</v>
      </c>
      <c r="B7" s="467"/>
      <c r="C7" s="707">
        <v>350.2</v>
      </c>
      <c r="D7" s="471" t="s">
        <v>1020</v>
      </c>
      <c r="E7" s="504">
        <v>1.66E-2</v>
      </c>
      <c r="F7" s="504">
        <v>0</v>
      </c>
      <c r="G7" s="504">
        <v>1.66E-2</v>
      </c>
    </row>
    <row r="8" spans="1:11" ht="13">
      <c r="A8" s="553">
        <f t="shared" ref="A8:A16" si="0">A7+1</f>
        <v>3</v>
      </c>
      <c r="B8" s="467"/>
      <c r="C8" s="707">
        <v>352</v>
      </c>
      <c r="D8" s="471" t="s">
        <v>1021</v>
      </c>
      <c r="E8" s="504">
        <v>1.7999999999999999E-2</v>
      </c>
      <c r="F8" s="504">
        <v>7.7000000000000002E-3</v>
      </c>
      <c r="G8" s="504">
        <v>2.5700000000000001E-2</v>
      </c>
    </row>
    <row r="9" spans="1:11" ht="13">
      <c r="A9" s="553">
        <f t="shared" si="0"/>
        <v>4</v>
      </c>
      <c r="B9" s="467"/>
      <c r="C9" s="707">
        <v>353</v>
      </c>
      <c r="D9" s="471" t="s">
        <v>1022</v>
      </c>
      <c r="E9" s="504">
        <v>2.1999999999999999E-2</v>
      </c>
      <c r="F9" s="504">
        <v>2.7000000000000001E-3</v>
      </c>
      <c r="G9" s="504">
        <v>2.47E-2</v>
      </c>
    </row>
    <row r="10" spans="1:11" ht="13">
      <c r="A10" s="553">
        <f t="shared" si="0"/>
        <v>5</v>
      </c>
      <c r="B10" s="467"/>
      <c r="C10" s="707">
        <v>354</v>
      </c>
      <c r="D10" s="471" t="s">
        <v>1189</v>
      </c>
      <c r="E10" s="504">
        <v>1.35E-2</v>
      </c>
      <c r="F10" s="504">
        <v>1.09E-2</v>
      </c>
      <c r="G10" s="504">
        <v>2.4400000000000002E-2</v>
      </c>
    </row>
    <row r="11" spans="1:11" ht="13">
      <c r="A11" s="553">
        <f t="shared" si="0"/>
        <v>6</v>
      </c>
      <c r="B11" s="467"/>
      <c r="C11" s="707">
        <v>355</v>
      </c>
      <c r="D11" s="471" t="s">
        <v>1023</v>
      </c>
      <c r="E11" s="504">
        <v>0.02</v>
      </c>
      <c r="F11" s="504">
        <v>1.67E-2</v>
      </c>
      <c r="G11" s="504">
        <v>3.6700000000000003E-2</v>
      </c>
    </row>
    <row r="12" spans="1:11" ht="13">
      <c r="A12" s="553">
        <f t="shared" si="0"/>
        <v>7</v>
      </c>
      <c r="B12" s="467"/>
      <c r="C12" s="707">
        <v>356</v>
      </c>
      <c r="D12" s="471" t="s">
        <v>1024</v>
      </c>
      <c r="E12" s="504">
        <v>0.02</v>
      </c>
      <c r="F12" s="504">
        <v>1.0500000000000001E-2</v>
      </c>
      <c r="G12" s="504">
        <v>3.0499999999999999E-2</v>
      </c>
    </row>
    <row r="13" spans="1:11" ht="13">
      <c r="A13" s="553">
        <f t="shared" si="0"/>
        <v>8</v>
      </c>
      <c r="B13" s="467"/>
      <c r="C13" s="707">
        <v>357</v>
      </c>
      <c r="D13" s="471" t="s">
        <v>1025</v>
      </c>
      <c r="E13" s="504">
        <v>1.6500000000000001E-2</v>
      </c>
      <c r="F13" s="504">
        <v>0</v>
      </c>
      <c r="G13" s="504">
        <v>1.6500000000000001E-2</v>
      </c>
    </row>
    <row r="14" spans="1:11" ht="13">
      <c r="A14" s="553">
        <f t="shared" si="0"/>
        <v>9</v>
      </c>
      <c r="B14" s="467"/>
      <c r="C14" s="707">
        <v>358</v>
      </c>
      <c r="D14" s="471" t="s">
        <v>1026</v>
      </c>
      <c r="E14" s="504">
        <v>3.2599999999999997E-2</v>
      </c>
      <c r="F14" s="504">
        <v>6.1000000000000004E-3</v>
      </c>
      <c r="G14" s="504">
        <v>3.8699999999999998E-2</v>
      </c>
    </row>
    <row r="15" spans="1:11" ht="13">
      <c r="A15" s="553">
        <f t="shared" si="0"/>
        <v>10</v>
      </c>
      <c r="B15" s="467"/>
      <c r="C15" s="707">
        <v>359</v>
      </c>
      <c r="D15" s="471" t="s">
        <v>1027</v>
      </c>
      <c r="E15" s="504">
        <v>1.5599999999999999E-2</v>
      </c>
      <c r="F15" s="504">
        <v>0</v>
      </c>
      <c r="G15" s="504">
        <v>1.5599999999999999E-2</v>
      </c>
    </row>
    <row r="16" spans="1:11" ht="13">
      <c r="A16" s="553">
        <f t="shared" si="0"/>
        <v>11</v>
      </c>
      <c r="B16" s="467"/>
      <c r="C16" s="467"/>
      <c r="D16" s="467"/>
    </row>
    <row r="17" spans="1:7" ht="13">
      <c r="A17" s="467"/>
      <c r="B17" s="386" t="s">
        <v>321</v>
      </c>
      <c r="C17" s="467"/>
      <c r="D17" s="467"/>
      <c r="E17" s="553" t="s">
        <v>371</v>
      </c>
      <c r="F17" s="553"/>
      <c r="G17" s="553"/>
    </row>
    <row r="18" spans="1:7" ht="13">
      <c r="A18" s="467"/>
      <c r="B18" s="467"/>
      <c r="C18" s="231" t="s">
        <v>12</v>
      </c>
      <c r="D18" s="467"/>
      <c r="E18" s="553" t="s">
        <v>1015</v>
      </c>
      <c r="F18" s="4" t="s">
        <v>1016</v>
      </c>
      <c r="G18" s="4"/>
    </row>
    <row r="19" spans="1:7" ht="13">
      <c r="A19" s="467"/>
      <c r="B19" s="467"/>
      <c r="C19" s="362" t="s">
        <v>99</v>
      </c>
      <c r="D19" s="362" t="s">
        <v>100</v>
      </c>
      <c r="E19" s="3" t="s">
        <v>1017</v>
      </c>
      <c r="F19" s="3" t="s">
        <v>1018</v>
      </c>
      <c r="G19" s="3" t="s">
        <v>196</v>
      </c>
    </row>
    <row r="20" spans="1:7" ht="13">
      <c r="A20" s="553">
        <f>A16+1</f>
        <v>12</v>
      </c>
      <c r="B20" s="467"/>
      <c r="C20" s="467">
        <v>360</v>
      </c>
      <c r="D20" s="471" t="s">
        <v>1028</v>
      </c>
      <c r="E20" s="504">
        <v>1.67E-2</v>
      </c>
      <c r="F20" s="504">
        <v>0</v>
      </c>
      <c r="G20" s="504">
        <v>1.67E-2</v>
      </c>
    </row>
    <row r="21" spans="1:7" ht="13">
      <c r="A21" s="553">
        <f>A20+1</f>
        <v>13</v>
      </c>
      <c r="B21" s="467"/>
      <c r="C21" s="467">
        <v>361</v>
      </c>
      <c r="D21" s="471" t="s">
        <v>1021</v>
      </c>
      <c r="E21" s="504">
        <v>1.7500000000000002E-2</v>
      </c>
      <c r="F21" s="504">
        <v>5.1999999999999998E-3</v>
      </c>
      <c r="G21" s="504">
        <v>2.2700000000000001E-2</v>
      </c>
    </row>
    <row r="22" spans="1:7" ht="13">
      <c r="A22" s="553">
        <f>A21+1</f>
        <v>14</v>
      </c>
      <c r="B22" s="467"/>
      <c r="C22" s="467">
        <v>362</v>
      </c>
      <c r="D22" s="471" t="s">
        <v>1022</v>
      </c>
      <c r="E22" s="504">
        <v>1.32E-2</v>
      </c>
      <c r="F22" s="504">
        <v>5.7999999999999996E-3</v>
      </c>
      <c r="G22" s="504">
        <v>1.9E-2</v>
      </c>
    </row>
    <row r="23" spans="1:7">
      <c r="A23" s="467"/>
      <c r="B23" s="467"/>
      <c r="C23" s="467"/>
      <c r="D23" s="467"/>
    </row>
    <row r="24" spans="1:7" ht="13">
      <c r="A24" s="467"/>
      <c r="B24" s="386" t="s">
        <v>1029</v>
      </c>
      <c r="C24" s="467"/>
      <c r="D24" s="467"/>
      <c r="E24" s="553" t="s">
        <v>371</v>
      </c>
    </row>
    <row r="25" spans="1:7" ht="13">
      <c r="A25" s="467"/>
      <c r="B25" s="467"/>
      <c r="C25" s="231" t="s">
        <v>12</v>
      </c>
      <c r="D25" s="467"/>
      <c r="E25" s="553" t="s">
        <v>1015</v>
      </c>
      <c r="F25" s="4" t="s">
        <v>1016</v>
      </c>
      <c r="G25" s="4"/>
    </row>
    <row r="26" spans="1:7" ht="13">
      <c r="A26" s="467"/>
      <c r="B26" s="467"/>
      <c r="C26" s="362" t="s">
        <v>99</v>
      </c>
      <c r="D26" s="362" t="s">
        <v>100</v>
      </c>
      <c r="E26" s="3" t="s">
        <v>1017</v>
      </c>
      <c r="F26" s="3" t="s">
        <v>1018</v>
      </c>
      <c r="G26" s="3" t="s">
        <v>196</v>
      </c>
    </row>
    <row r="27" spans="1:7" ht="13">
      <c r="A27" s="553">
        <f>A22+1</f>
        <v>15</v>
      </c>
      <c r="B27" s="467"/>
      <c r="C27" s="467">
        <v>389</v>
      </c>
      <c r="D27" s="471" t="s">
        <v>1028</v>
      </c>
      <c r="E27" s="841">
        <v>1.67E-2</v>
      </c>
      <c r="F27" s="841">
        <v>0</v>
      </c>
      <c r="G27" s="841">
        <v>1.67E-2</v>
      </c>
    </row>
    <row r="28" spans="1:7" ht="13">
      <c r="A28" s="553">
        <f t="shared" ref="A28:A42" si="1">A27+1</f>
        <v>16</v>
      </c>
      <c r="B28" s="467"/>
      <c r="C28" s="467">
        <v>390</v>
      </c>
      <c r="D28" s="471" t="s">
        <v>1021</v>
      </c>
      <c r="E28" s="841">
        <v>1.8099999999999998E-2</v>
      </c>
      <c r="F28" s="841">
        <v>2.7000000000000001E-3</v>
      </c>
      <c r="G28" s="841">
        <v>2.0799999999999999E-2</v>
      </c>
    </row>
    <row r="29" spans="1:7" ht="13">
      <c r="A29" s="553">
        <f t="shared" si="1"/>
        <v>17</v>
      </c>
      <c r="B29" s="467"/>
      <c r="C29" s="467">
        <v>391.1</v>
      </c>
      <c r="D29" s="841" t="s">
        <v>1030</v>
      </c>
      <c r="E29" s="841">
        <v>0.05</v>
      </c>
      <c r="F29" s="841">
        <v>0</v>
      </c>
      <c r="G29" s="841">
        <v>0.05</v>
      </c>
    </row>
    <row r="30" spans="1:7" ht="13">
      <c r="A30" s="553">
        <f t="shared" si="1"/>
        <v>18</v>
      </c>
      <c r="B30" s="467"/>
      <c r="C30" s="467">
        <v>391.5</v>
      </c>
      <c r="D30" s="841" t="s">
        <v>1581</v>
      </c>
      <c r="E30" s="841">
        <v>0.2</v>
      </c>
      <c r="F30" s="841">
        <v>0</v>
      </c>
      <c r="G30" s="841">
        <v>0.2</v>
      </c>
    </row>
    <row r="31" spans="1:7" ht="13">
      <c r="A31" s="553">
        <f t="shared" si="1"/>
        <v>19</v>
      </c>
      <c r="B31" s="467"/>
      <c r="C31" s="467">
        <v>391.6</v>
      </c>
      <c r="D31" s="841" t="s">
        <v>1582</v>
      </c>
      <c r="E31" s="841">
        <v>0.2</v>
      </c>
      <c r="F31" s="841">
        <v>0</v>
      </c>
      <c r="G31" s="841">
        <v>0.2</v>
      </c>
    </row>
    <row r="32" spans="1:7" ht="13">
      <c r="A32" s="553">
        <f t="shared" si="1"/>
        <v>20</v>
      </c>
      <c r="B32" s="467"/>
      <c r="C32" s="467">
        <v>391.2</v>
      </c>
      <c r="D32" s="841" t="s">
        <v>1583</v>
      </c>
      <c r="E32" s="841">
        <v>0.2</v>
      </c>
      <c r="F32" s="841">
        <v>0</v>
      </c>
      <c r="G32" s="841">
        <v>0.2</v>
      </c>
    </row>
    <row r="33" spans="1:7" ht="13">
      <c r="A33" s="553">
        <f t="shared" si="1"/>
        <v>21</v>
      </c>
      <c r="B33" s="467"/>
      <c r="C33" s="467">
        <v>391.3</v>
      </c>
      <c r="D33" s="841" t="s">
        <v>1584</v>
      </c>
      <c r="E33" s="841">
        <v>0.2</v>
      </c>
      <c r="F33" s="841">
        <v>0</v>
      </c>
      <c r="G33" s="841">
        <v>0.2</v>
      </c>
    </row>
    <row r="34" spans="1:7" ht="13">
      <c r="A34" s="553">
        <f t="shared" si="1"/>
        <v>22</v>
      </c>
      <c r="B34" s="467"/>
      <c r="C34" s="465">
        <v>391.7</v>
      </c>
      <c r="D34" s="841" t="s">
        <v>1585</v>
      </c>
      <c r="E34" s="841">
        <v>0.2</v>
      </c>
      <c r="F34" s="841">
        <v>0</v>
      </c>
      <c r="G34" s="841">
        <v>0.2</v>
      </c>
    </row>
    <row r="35" spans="1:7" ht="13">
      <c r="A35" s="553">
        <f t="shared" si="1"/>
        <v>23</v>
      </c>
      <c r="B35" s="467"/>
      <c r="C35" s="465">
        <v>391.4</v>
      </c>
      <c r="D35" s="841" t="s">
        <v>1586</v>
      </c>
      <c r="E35" s="841">
        <v>0.1429</v>
      </c>
      <c r="F35" s="841">
        <v>0</v>
      </c>
      <c r="G35" s="841">
        <v>0.1429</v>
      </c>
    </row>
    <row r="36" spans="1:7" ht="13">
      <c r="A36" s="553">
        <f t="shared" si="1"/>
        <v>24</v>
      </c>
      <c r="B36" s="467"/>
      <c r="C36" s="467">
        <v>391.4</v>
      </c>
      <c r="D36" s="841" t="s">
        <v>1587</v>
      </c>
      <c r="E36" s="841">
        <v>0.1</v>
      </c>
      <c r="F36" s="841">
        <v>0</v>
      </c>
      <c r="G36" s="841">
        <v>0.1</v>
      </c>
    </row>
    <row r="37" spans="1:7" ht="13">
      <c r="A37" s="553">
        <f t="shared" si="1"/>
        <v>25</v>
      </c>
      <c r="B37" s="467"/>
      <c r="C37" s="465">
        <v>391.4</v>
      </c>
      <c r="D37" s="841" t="s">
        <v>1588</v>
      </c>
      <c r="E37" s="841">
        <v>6.6699999999999995E-2</v>
      </c>
      <c r="F37" s="841">
        <v>0</v>
      </c>
      <c r="G37" s="841">
        <v>6.6699999999999995E-2</v>
      </c>
    </row>
    <row r="38" spans="1:7" ht="13">
      <c r="A38" s="553">
        <f t="shared" si="1"/>
        <v>26</v>
      </c>
      <c r="B38" s="467"/>
      <c r="C38" s="465">
        <v>391.4</v>
      </c>
      <c r="D38" s="841" t="s">
        <v>1589</v>
      </c>
      <c r="E38" s="841">
        <v>0.05</v>
      </c>
      <c r="F38" s="841">
        <v>0</v>
      </c>
      <c r="G38" s="841">
        <v>0.05</v>
      </c>
    </row>
    <row r="39" spans="1:7" ht="13">
      <c r="A39" s="553">
        <f t="shared" si="1"/>
        <v>27</v>
      </c>
      <c r="B39" s="467"/>
      <c r="C39" s="465">
        <v>391.4</v>
      </c>
      <c r="D39" s="504" t="s">
        <v>2527</v>
      </c>
      <c r="E39" s="504">
        <v>0.2</v>
      </c>
      <c r="F39" s="504">
        <v>0</v>
      </c>
      <c r="G39" s="504">
        <v>0.2</v>
      </c>
    </row>
    <row r="40" spans="1:7" ht="13">
      <c r="A40" s="553">
        <f t="shared" si="1"/>
        <v>28</v>
      </c>
      <c r="B40" s="467"/>
      <c r="C40" s="465">
        <v>393</v>
      </c>
      <c r="D40" s="467" t="s">
        <v>1590</v>
      </c>
      <c r="E40" s="841">
        <v>0.05</v>
      </c>
      <c r="F40" s="841">
        <v>0</v>
      </c>
      <c r="G40" s="841">
        <v>0.05</v>
      </c>
    </row>
    <row r="41" spans="1:7" ht="13">
      <c r="A41" s="553">
        <f t="shared" si="1"/>
        <v>29</v>
      </c>
      <c r="B41" s="467"/>
      <c r="C41" s="465">
        <v>395</v>
      </c>
      <c r="D41" s="467" t="s">
        <v>1591</v>
      </c>
      <c r="E41" s="841">
        <v>6.6699999999999995E-2</v>
      </c>
      <c r="F41" s="841">
        <v>0</v>
      </c>
      <c r="G41" s="841">
        <v>6.6699999999999995E-2</v>
      </c>
    </row>
    <row r="42" spans="1:7" ht="13">
      <c r="A42" s="553">
        <f t="shared" si="1"/>
        <v>30</v>
      </c>
      <c r="B42" s="467"/>
      <c r="C42" s="465">
        <v>398</v>
      </c>
      <c r="D42" s="467" t="s">
        <v>1592</v>
      </c>
      <c r="E42" s="841">
        <v>0.05</v>
      </c>
      <c r="F42" s="841">
        <v>0</v>
      </c>
      <c r="G42" s="841">
        <v>0.05</v>
      </c>
    </row>
    <row r="43" spans="1:7" ht="13">
      <c r="A43" s="553">
        <f>A42+1</f>
        <v>31</v>
      </c>
      <c r="B43" s="467"/>
      <c r="C43" s="465">
        <v>397</v>
      </c>
      <c r="D43" s="467" t="s">
        <v>2185</v>
      </c>
      <c r="E43" s="841">
        <v>0.2</v>
      </c>
      <c r="F43" s="841">
        <v>0</v>
      </c>
      <c r="G43" s="841">
        <v>0.2</v>
      </c>
    </row>
    <row r="44" spans="1:7" ht="13">
      <c r="A44" s="553">
        <f t="shared" ref="A44:A53" si="2">A43+1</f>
        <v>32</v>
      </c>
      <c r="B44" s="467"/>
      <c r="C44" s="465">
        <v>397</v>
      </c>
      <c r="D44" s="467" t="s">
        <v>1593</v>
      </c>
      <c r="E44" s="841">
        <v>0.1429</v>
      </c>
      <c r="F44" s="841">
        <v>0</v>
      </c>
      <c r="G44" s="841">
        <v>0.1429</v>
      </c>
    </row>
    <row r="45" spans="1:7" ht="13">
      <c r="A45" s="553">
        <f t="shared" si="2"/>
        <v>33</v>
      </c>
      <c r="B45" s="467"/>
      <c r="C45" s="465">
        <v>397</v>
      </c>
      <c r="D45" s="467" t="s">
        <v>1594</v>
      </c>
      <c r="E45" s="841">
        <v>0.1</v>
      </c>
      <c r="F45" s="841">
        <v>0</v>
      </c>
      <c r="G45" s="841">
        <v>0.1</v>
      </c>
    </row>
    <row r="46" spans="1:7" ht="13">
      <c r="A46" s="553">
        <f t="shared" si="2"/>
        <v>34</v>
      </c>
      <c r="B46" s="467"/>
      <c r="C46" s="465">
        <v>397</v>
      </c>
      <c r="D46" s="467" t="s">
        <v>1595</v>
      </c>
      <c r="E46" s="841">
        <v>6.6699999999999995E-2</v>
      </c>
      <c r="F46" s="841">
        <v>0</v>
      </c>
      <c r="G46" s="841">
        <v>6.6699999999999995E-2</v>
      </c>
    </row>
    <row r="47" spans="1:7" ht="13">
      <c r="A47" s="553">
        <f t="shared" si="2"/>
        <v>35</v>
      </c>
      <c r="B47" s="467"/>
      <c r="C47" s="465">
        <v>397</v>
      </c>
      <c r="D47" s="467" t="s">
        <v>2186</v>
      </c>
      <c r="E47" s="1014">
        <v>0.05</v>
      </c>
      <c r="F47" s="841">
        <v>0</v>
      </c>
      <c r="G47" s="1014">
        <v>0.05</v>
      </c>
    </row>
    <row r="48" spans="1:7" ht="13">
      <c r="A48" s="553">
        <f t="shared" si="2"/>
        <v>36</v>
      </c>
      <c r="B48" s="467"/>
      <c r="C48" s="465">
        <v>397</v>
      </c>
      <c r="D48" s="467" t="s">
        <v>1596</v>
      </c>
      <c r="E48" s="841">
        <v>0.04</v>
      </c>
      <c r="F48" s="841">
        <v>0</v>
      </c>
      <c r="G48" s="841">
        <v>0.04</v>
      </c>
    </row>
    <row r="49" spans="1:7" ht="13">
      <c r="A49" s="553">
        <f t="shared" si="2"/>
        <v>37</v>
      </c>
      <c r="B49" s="467"/>
      <c r="C49" s="465">
        <v>397</v>
      </c>
      <c r="D49" s="467" t="s">
        <v>1597</v>
      </c>
      <c r="E49" s="841">
        <v>2.5000000000000001E-2</v>
      </c>
      <c r="F49" s="841">
        <v>0</v>
      </c>
      <c r="G49" s="841">
        <v>2.5000000000000001E-2</v>
      </c>
    </row>
    <row r="50" spans="1:7" ht="13">
      <c r="A50" s="553">
        <f t="shared" si="2"/>
        <v>38</v>
      </c>
      <c r="B50" s="467"/>
      <c r="C50" s="465">
        <v>392</v>
      </c>
      <c r="D50" s="467" t="s">
        <v>1598</v>
      </c>
      <c r="E50" s="841">
        <v>0.1429</v>
      </c>
      <c r="F50" s="841">
        <v>0</v>
      </c>
      <c r="G50" s="841">
        <v>0.1429</v>
      </c>
    </row>
    <row r="51" spans="1:7" ht="13">
      <c r="A51" s="553">
        <f t="shared" si="2"/>
        <v>39</v>
      </c>
      <c r="B51" s="467"/>
      <c r="C51" s="465">
        <v>394.4</v>
      </c>
      <c r="D51" s="467" t="s">
        <v>1599</v>
      </c>
      <c r="E51" s="841">
        <v>0.1</v>
      </c>
      <c r="F51" s="841">
        <v>0</v>
      </c>
      <c r="G51" s="841">
        <v>0.1</v>
      </c>
    </row>
    <row r="52" spans="1:7" ht="13">
      <c r="A52" s="553">
        <f t="shared" si="2"/>
        <v>40</v>
      </c>
      <c r="B52" s="467"/>
      <c r="C52" s="465">
        <v>394.5</v>
      </c>
      <c r="D52" s="467" t="s">
        <v>1600</v>
      </c>
      <c r="E52" s="841">
        <v>0.1</v>
      </c>
      <c r="F52" s="841">
        <v>0</v>
      </c>
      <c r="G52" s="841">
        <v>0.1</v>
      </c>
    </row>
    <row r="53" spans="1:7" ht="13">
      <c r="A53" s="553">
        <f t="shared" si="2"/>
        <v>41</v>
      </c>
      <c r="B53" s="467"/>
      <c r="C53" s="465">
        <v>396</v>
      </c>
      <c r="D53" s="467" t="s">
        <v>1601</v>
      </c>
      <c r="E53" s="841">
        <v>6.6699999999999995E-2</v>
      </c>
      <c r="F53" s="841">
        <v>0</v>
      </c>
      <c r="G53" s="841">
        <v>6.6699999999999995E-2</v>
      </c>
    </row>
    <row r="54" spans="1:7">
      <c r="A54" s="467"/>
      <c r="B54" s="467"/>
      <c r="C54" s="467"/>
      <c r="D54" s="467"/>
    </row>
    <row r="55" spans="1:7" ht="13">
      <c r="A55" s="467"/>
      <c r="B55" s="386" t="s">
        <v>1031</v>
      </c>
      <c r="C55" s="467"/>
      <c r="D55" s="467"/>
      <c r="E55" s="553" t="s">
        <v>371</v>
      </c>
    </row>
    <row r="56" spans="1:7" ht="13">
      <c r="A56" s="467"/>
      <c r="B56" s="467"/>
      <c r="C56" s="231" t="s">
        <v>12</v>
      </c>
      <c r="D56" s="467"/>
      <c r="E56" s="553" t="s">
        <v>1015</v>
      </c>
      <c r="F56" s="4" t="s">
        <v>1016</v>
      </c>
      <c r="G56" s="4"/>
    </row>
    <row r="57" spans="1:7" ht="13">
      <c r="A57" s="467"/>
      <c r="B57" s="467"/>
      <c r="C57" s="362" t="s">
        <v>99</v>
      </c>
      <c r="D57" s="362" t="s">
        <v>100</v>
      </c>
      <c r="E57" s="3" t="s">
        <v>1017</v>
      </c>
      <c r="F57" s="3" t="s">
        <v>1018</v>
      </c>
      <c r="G57" s="3" t="s">
        <v>196</v>
      </c>
    </row>
    <row r="58" spans="1:7" ht="13">
      <c r="A58" s="553">
        <f>A53+1</f>
        <v>42</v>
      </c>
      <c r="B58" s="467"/>
      <c r="C58" s="465">
        <v>302</v>
      </c>
      <c r="D58" s="471" t="s">
        <v>1032</v>
      </c>
      <c r="E58" s="504">
        <v>1.8499999999999999E-2</v>
      </c>
      <c r="F58" s="504">
        <v>0</v>
      </c>
      <c r="G58" s="504">
        <v>1.8499999999999999E-2</v>
      </c>
    </row>
    <row r="59" spans="1:7" ht="13">
      <c r="A59" s="553">
        <f t="shared" ref="A59:A64" si="3">A58+1</f>
        <v>43</v>
      </c>
      <c r="B59" s="467"/>
      <c r="C59" s="465">
        <v>303</v>
      </c>
      <c r="D59" s="471" t="s">
        <v>1033</v>
      </c>
      <c r="E59" s="841">
        <v>2.5000000000000001E-2</v>
      </c>
      <c r="F59" s="841">
        <v>0</v>
      </c>
      <c r="G59" s="841">
        <v>2.5000000000000001E-2</v>
      </c>
    </row>
    <row r="60" spans="1:7" ht="13">
      <c r="A60" s="553">
        <f t="shared" si="3"/>
        <v>44</v>
      </c>
      <c r="B60" s="467"/>
      <c r="C60" s="465">
        <v>301</v>
      </c>
      <c r="D60" s="471" t="s">
        <v>1034</v>
      </c>
      <c r="E60" s="841">
        <v>0.05</v>
      </c>
      <c r="F60" s="841">
        <v>0</v>
      </c>
      <c r="G60" s="841">
        <v>0.05</v>
      </c>
    </row>
    <row r="61" spans="1:7" ht="13">
      <c r="A61" s="553">
        <f t="shared" si="3"/>
        <v>45</v>
      </c>
      <c r="B61" s="467"/>
      <c r="C61" s="465">
        <v>303</v>
      </c>
      <c r="D61" s="471" t="s">
        <v>1035</v>
      </c>
      <c r="E61" s="841">
        <v>0.2031</v>
      </c>
      <c r="F61" s="841">
        <v>0</v>
      </c>
      <c r="G61" s="841">
        <v>0.2031</v>
      </c>
    </row>
    <row r="62" spans="1:7" ht="13">
      <c r="A62" s="553">
        <f t="shared" si="3"/>
        <v>46</v>
      </c>
      <c r="B62" s="467"/>
      <c r="C62" s="465">
        <v>303</v>
      </c>
      <c r="D62" s="471" t="s">
        <v>1036</v>
      </c>
      <c r="E62" s="841">
        <v>0.1462</v>
      </c>
      <c r="F62" s="841">
        <v>0</v>
      </c>
      <c r="G62" s="841">
        <v>0.1462</v>
      </c>
    </row>
    <row r="63" spans="1:7" ht="13">
      <c r="A63" s="553">
        <f t="shared" si="3"/>
        <v>47</v>
      </c>
      <c r="B63" s="467"/>
      <c r="C63" s="465">
        <v>303</v>
      </c>
      <c r="D63" s="471" t="s">
        <v>1037</v>
      </c>
      <c r="E63" s="841">
        <v>0.1293</v>
      </c>
      <c r="F63" s="841">
        <v>0</v>
      </c>
      <c r="G63" s="841">
        <v>0.1293</v>
      </c>
    </row>
    <row r="64" spans="1:7" ht="13">
      <c r="A64" s="553">
        <f t="shared" si="3"/>
        <v>48</v>
      </c>
      <c r="B64" s="467"/>
      <c r="C64" s="465">
        <v>303</v>
      </c>
      <c r="D64" s="471" t="s">
        <v>1038</v>
      </c>
      <c r="E64" s="841">
        <v>8.48E-2</v>
      </c>
      <c r="F64" s="841">
        <v>0</v>
      </c>
      <c r="G64" s="841">
        <v>8.48E-2</v>
      </c>
    </row>
    <row r="65" spans="1:6" ht="13">
      <c r="A65" s="467"/>
      <c r="B65" s="469" t="s">
        <v>1721</v>
      </c>
      <c r="C65" s="469"/>
      <c r="D65" s="469"/>
      <c r="E65" s="469"/>
      <c r="F65" s="469"/>
    </row>
    <row r="66" spans="1:6">
      <c r="A66" s="467"/>
      <c r="B66" s="469" t="s">
        <v>2410</v>
      </c>
      <c r="C66" s="469"/>
      <c r="D66" s="469"/>
      <c r="E66" s="469"/>
      <c r="F66" s="469"/>
    </row>
  </sheetData>
  <pageMargins left="0.7" right="0.7" top="0.75" bottom="0.75" header="0.3" footer="0.3"/>
  <pageSetup scale="75" orientation="portrait" cellComments="asDisplayed" r:id="rId1"/>
  <headerFooter>
    <oddHeader>&amp;CSchedule 18
Depreciation Rates
&amp;RTO2021 Draft Annual Update 
Attachment 1</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55"/>
  <sheetViews>
    <sheetView zoomScale="90" zoomScaleNormal="90" zoomScaleSheetLayoutView="40" zoomScalePageLayoutView="90" workbookViewId="0"/>
  </sheetViews>
  <sheetFormatPr defaultColWidth="9.453125" defaultRowHeight="12.5"/>
  <cols>
    <col min="1" max="1" width="5.54296875" style="480" customWidth="1"/>
    <col min="2" max="2" width="50.54296875" style="480" customWidth="1"/>
    <col min="3" max="3" width="14.54296875" style="478" customWidth="1"/>
    <col min="4" max="4" width="16.453125" style="478" customWidth="1"/>
    <col min="5" max="5" width="14.54296875" style="478" customWidth="1"/>
    <col min="6" max="6" width="12.54296875" style="832" customWidth="1"/>
    <col min="7" max="7" width="16.54296875" style="792" customWidth="1"/>
    <col min="8" max="9" width="14.54296875" style="793" customWidth="1"/>
    <col min="10" max="12" width="14.54296875" style="480" customWidth="1"/>
    <col min="13" max="13" width="9.453125" style="467"/>
    <col min="14" max="14" width="10.54296875" style="467" bestFit="1" customWidth="1"/>
    <col min="15" max="16384" width="9.453125" style="467"/>
  </cols>
  <sheetData>
    <row r="1" spans="1:12" ht="12.75" customHeight="1">
      <c r="A1" s="401" t="s">
        <v>1256</v>
      </c>
      <c r="C1" s="402"/>
      <c r="D1" s="403"/>
      <c r="E1" s="403"/>
      <c r="F1" s="404"/>
      <c r="G1" s="405"/>
      <c r="H1" s="405"/>
      <c r="I1" s="405"/>
      <c r="J1" s="405"/>
      <c r="K1" s="467"/>
      <c r="L1" s="467"/>
    </row>
    <row r="2" spans="1:12" ht="12.75" customHeight="1">
      <c r="A2" s="406"/>
      <c r="B2" s="1286" t="s">
        <v>2537</v>
      </c>
      <c r="C2" s="516" t="s">
        <v>2667</v>
      </c>
      <c r="D2" s="1273"/>
      <c r="E2" s="403"/>
      <c r="F2" s="407"/>
      <c r="G2" s="672" t="s">
        <v>301</v>
      </c>
      <c r="H2" s="477"/>
      <c r="I2" s="403"/>
      <c r="J2" s="405"/>
      <c r="K2" s="405"/>
      <c r="L2" s="405"/>
    </row>
    <row r="3" spans="1:12" ht="12.75" customHeight="1">
      <c r="A3" s="408"/>
      <c r="B3" s="409" t="s">
        <v>1257</v>
      </c>
      <c r="C3" s="411"/>
      <c r="D3" s="411"/>
      <c r="E3" s="411"/>
      <c r="F3" s="412"/>
      <c r="G3" s="410"/>
      <c r="H3" s="410"/>
      <c r="I3" s="410"/>
      <c r="J3" s="410"/>
      <c r="K3" s="410"/>
      <c r="L3" s="413"/>
    </row>
    <row r="4" spans="1:12" ht="12.75" customHeight="1">
      <c r="A4" s="414"/>
      <c r="B4" s="406"/>
      <c r="C4" s="415"/>
      <c r="D4" s="415"/>
      <c r="E4" s="415"/>
      <c r="F4" s="416"/>
      <c r="G4" s="26"/>
      <c r="H4" s="26"/>
      <c r="I4" s="26"/>
      <c r="J4" s="26"/>
      <c r="K4" s="26"/>
      <c r="L4" s="405"/>
    </row>
    <row r="5" spans="1:12" ht="12.75" customHeight="1">
      <c r="A5" s="410"/>
      <c r="B5" s="417" t="s">
        <v>358</v>
      </c>
      <c r="C5" s="417" t="s">
        <v>342</v>
      </c>
      <c r="D5" s="417" t="s">
        <v>343</v>
      </c>
      <c r="E5" s="417" t="s">
        <v>344</v>
      </c>
      <c r="F5" s="418" t="s">
        <v>345</v>
      </c>
      <c r="G5" s="417" t="s">
        <v>346</v>
      </c>
      <c r="H5" s="417" t="s">
        <v>347</v>
      </c>
      <c r="I5" s="417" t="s">
        <v>534</v>
      </c>
      <c r="J5" s="417" t="s">
        <v>951</v>
      </c>
      <c r="K5" s="417" t="s">
        <v>963</v>
      </c>
      <c r="L5" s="417" t="s">
        <v>966</v>
      </c>
    </row>
    <row r="6" spans="1:12" ht="12.75" customHeight="1">
      <c r="A6" s="414"/>
      <c r="B6" s="406"/>
      <c r="C6" s="1179" t="s">
        <v>1258</v>
      </c>
      <c r="D6" s="415"/>
      <c r="E6" s="415"/>
      <c r="F6" s="788" t="s">
        <v>360</v>
      </c>
      <c r="G6" s="1179" t="s">
        <v>1259</v>
      </c>
      <c r="H6" s="1186"/>
      <c r="I6" s="1186"/>
      <c r="J6" s="1179" t="s">
        <v>1260</v>
      </c>
      <c r="K6" s="1179" t="s">
        <v>1261</v>
      </c>
      <c r="L6" s="1180" t="s">
        <v>1262</v>
      </c>
    </row>
    <row r="7" spans="1:12" ht="12.75" customHeight="1">
      <c r="C7" s="789"/>
      <c r="D7" s="790"/>
      <c r="E7" s="790"/>
      <c r="F7" s="791"/>
      <c r="J7" s="794"/>
    </row>
    <row r="8" spans="1:12" ht="13">
      <c r="A8" s="420"/>
      <c r="B8" s="1473" t="s">
        <v>1263</v>
      </c>
      <c r="C8" s="1475" t="s">
        <v>1264</v>
      </c>
      <c r="D8" s="1475"/>
      <c r="E8" s="1475"/>
      <c r="F8" s="421"/>
      <c r="G8" s="1476" t="s">
        <v>1265</v>
      </c>
      <c r="H8" s="1476"/>
      <c r="I8" s="1477"/>
      <c r="J8" s="1479" t="s">
        <v>1266</v>
      </c>
      <c r="K8" s="1476"/>
      <c r="L8" s="1477"/>
    </row>
    <row r="9" spans="1:12" ht="13">
      <c r="A9" s="51"/>
      <c r="B9" s="1474"/>
      <c r="C9" s="787" t="s">
        <v>196</v>
      </c>
      <c r="D9" s="787" t="s">
        <v>1267</v>
      </c>
      <c r="E9" s="422" t="s">
        <v>1268</v>
      </c>
      <c r="F9" s="423" t="s">
        <v>1210</v>
      </c>
      <c r="G9" s="422" t="s">
        <v>196</v>
      </c>
      <c r="H9" s="422" t="s">
        <v>1267</v>
      </c>
      <c r="I9" s="422" t="s">
        <v>1268</v>
      </c>
      <c r="J9" s="787" t="s">
        <v>196</v>
      </c>
      <c r="K9" s="422" t="s">
        <v>1267</v>
      </c>
      <c r="L9" s="422" t="s">
        <v>1268</v>
      </c>
    </row>
    <row r="10" spans="1:12" ht="13">
      <c r="A10" s="51" t="s">
        <v>329</v>
      </c>
      <c r="B10" s="424" t="s">
        <v>1269</v>
      </c>
      <c r="C10" s="251"/>
      <c r="D10" s="251"/>
      <c r="E10" s="425"/>
      <c r="F10" s="426"/>
      <c r="G10" s="425"/>
      <c r="H10" s="425"/>
      <c r="I10" s="425"/>
      <c r="J10" s="251"/>
      <c r="K10" s="425"/>
      <c r="L10" s="425"/>
    </row>
    <row r="11" spans="1:12" ht="13">
      <c r="A11" s="553">
        <v>1</v>
      </c>
      <c r="B11" s="482" t="s">
        <v>2316</v>
      </c>
      <c r="C11" s="795">
        <f>SUM(D11:E11)</f>
        <v>8092114.7699999996</v>
      </c>
      <c r="D11" s="967">
        <v>3966682.8599999994</v>
      </c>
      <c r="E11" s="967">
        <v>4125431.9100000006</v>
      </c>
      <c r="F11" s="1061"/>
      <c r="G11" s="796">
        <f t="shared" ref="G11:G42" si="0">SUM(H11:I11)</f>
        <v>0</v>
      </c>
      <c r="H11" s="967">
        <v>0</v>
      </c>
      <c r="I11" s="967">
        <v>0</v>
      </c>
      <c r="J11" s="576">
        <f>SUM(K11:L11)</f>
        <v>8092114.7699999996</v>
      </c>
      <c r="K11" s="576">
        <f>D11+H11</f>
        <v>3966682.8599999994</v>
      </c>
      <c r="L11" s="576">
        <f>E11+I11</f>
        <v>4125431.9100000006</v>
      </c>
    </row>
    <row r="12" spans="1:12" ht="13">
      <c r="A12" s="553">
        <f>A11+1</f>
        <v>2</v>
      </c>
      <c r="B12" s="482" t="s">
        <v>1270</v>
      </c>
      <c r="C12" s="795">
        <f>SUM(D12:E12)</f>
        <v>218858.51</v>
      </c>
      <c r="D12" s="967">
        <v>0</v>
      </c>
      <c r="E12" s="967">
        <v>218858.51</v>
      </c>
      <c r="F12" s="1061"/>
      <c r="G12" s="796">
        <f t="shared" si="0"/>
        <v>0</v>
      </c>
      <c r="H12" s="967">
        <v>0</v>
      </c>
      <c r="I12" s="967">
        <v>0</v>
      </c>
      <c r="J12" s="576">
        <f t="shared" ref="J12:J42" si="1">SUM(K12:L12)</f>
        <v>218858.51</v>
      </c>
      <c r="K12" s="576">
        <f t="shared" ref="K12:K21" si="2">D12+H12</f>
        <v>0</v>
      </c>
      <c r="L12" s="576">
        <f t="shared" ref="K12:L27" si="3">E12+I12</f>
        <v>218858.51</v>
      </c>
    </row>
    <row r="13" spans="1:12" ht="13">
      <c r="A13" s="553">
        <f t="shared" ref="A13:A44" si="4">A12+1</f>
        <v>3</v>
      </c>
      <c r="B13" s="574" t="s">
        <v>2317</v>
      </c>
      <c r="C13" s="795">
        <f t="shared" ref="C13:C40" si="5">SUM(D13:E13)</f>
        <v>10979778.239999998</v>
      </c>
      <c r="D13" s="967">
        <v>8989791.4899999984</v>
      </c>
      <c r="E13" s="967">
        <v>1989986.7499999998</v>
      </c>
      <c r="F13" s="1061"/>
      <c r="G13" s="796">
        <f t="shared" si="0"/>
        <v>0</v>
      </c>
      <c r="H13" s="967">
        <v>0</v>
      </c>
      <c r="I13" s="967">
        <v>0</v>
      </c>
      <c r="J13" s="576">
        <f t="shared" si="1"/>
        <v>10979778.239999998</v>
      </c>
      <c r="K13" s="576">
        <f t="shared" si="2"/>
        <v>8989791.4899999984</v>
      </c>
      <c r="L13" s="576">
        <f t="shared" si="3"/>
        <v>1989986.7499999998</v>
      </c>
    </row>
    <row r="14" spans="1:12" ht="13">
      <c r="A14" s="553">
        <f t="shared" si="4"/>
        <v>4</v>
      </c>
      <c r="B14" s="574" t="s">
        <v>1271</v>
      </c>
      <c r="C14" s="795">
        <f t="shared" si="5"/>
        <v>30864992.900000002</v>
      </c>
      <c r="D14" s="967">
        <v>0</v>
      </c>
      <c r="E14" s="967">
        <v>30864992.900000002</v>
      </c>
      <c r="F14" s="1061" t="s">
        <v>551</v>
      </c>
      <c r="G14" s="796">
        <f t="shared" si="0"/>
        <v>-30864992.899999999</v>
      </c>
      <c r="H14" s="967">
        <v>0</v>
      </c>
      <c r="I14" s="967">
        <v>-30864992.899999999</v>
      </c>
      <c r="J14" s="576">
        <f t="shared" si="1"/>
        <v>0</v>
      </c>
      <c r="K14" s="576">
        <f t="shared" si="2"/>
        <v>0</v>
      </c>
      <c r="L14" s="576">
        <f t="shared" si="3"/>
        <v>0</v>
      </c>
    </row>
    <row r="15" spans="1:12" ht="13">
      <c r="A15" s="553">
        <f t="shared" si="4"/>
        <v>5</v>
      </c>
      <c r="B15" s="574" t="s">
        <v>2318</v>
      </c>
      <c r="C15" s="795">
        <f t="shared" si="5"/>
        <v>4579897.2</v>
      </c>
      <c r="D15" s="967">
        <v>4153652.5500000003</v>
      </c>
      <c r="E15" s="967">
        <v>426244.64999999997</v>
      </c>
      <c r="F15" s="1061"/>
      <c r="G15" s="796">
        <f t="shared" si="0"/>
        <v>0</v>
      </c>
      <c r="H15" s="967">
        <v>0</v>
      </c>
      <c r="I15" s="967">
        <v>0</v>
      </c>
      <c r="J15" s="576">
        <f t="shared" si="1"/>
        <v>4579897.2</v>
      </c>
      <c r="K15" s="576">
        <f t="shared" si="2"/>
        <v>4153652.5500000003</v>
      </c>
      <c r="L15" s="576">
        <f t="shared" si="3"/>
        <v>426244.64999999997</v>
      </c>
    </row>
    <row r="16" spans="1:12" ht="13">
      <c r="A16" s="553">
        <f t="shared" si="4"/>
        <v>6</v>
      </c>
      <c r="B16" s="574" t="s">
        <v>2319</v>
      </c>
      <c r="C16" s="795">
        <f t="shared" si="5"/>
        <v>21612432.059999999</v>
      </c>
      <c r="D16" s="967">
        <v>17560848.869999997</v>
      </c>
      <c r="E16" s="967">
        <v>4051583.1900000009</v>
      </c>
      <c r="F16" s="1061"/>
      <c r="G16" s="796">
        <f t="shared" si="0"/>
        <v>0</v>
      </c>
      <c r="H16" s="967">
        <v>0</v>
      </c>
      <c r="I16" s="967">
        <v>0</v>
      </c>
      <c r="J16" s="576">
        <f t="shared" si="1"/>
        <v>21612432.059999999</v>
      </c>
      <c r="K16" s="576">
        <f t="shared" si="2"/>
        <v>17560848.869999997</v>
      </c>
      <c r="L16" s="576">
        <f t="shared" si="3"/>
        <v>4051583.1900000009</v>
      </c>
    </row>
    <row r="17" spans="1:12" ht="13">
      <c r="A17" s="553">
        <f t="shared" si="4"/>
        <v>7</v>
      </c>
      <c r="B17" s="574" t="s">
        <v>1272</v>
      </c>
      <c r="C17" s="795">
        <f t="shared" si="5"/>
        <v>0</v>
      </c>
      <c r="D17" s="967">
        <v>0</v>
      </c>
      <c r="E17" s="967">
        <v>0</v>
      </c>
      <c r="F17" s="1061" t="s">
        <v>552</v>
      </c>
      <c r="G17" s="796">
        <f t="shared" si="0"/>
        <v>0</v>
      </c>
      <c r="H17" s="967">
        <v>0</v>
      </c>
      <c r="I17" s="967">
        <v>0</v>
      </c>
      <c r="J17" s="576">
        <f t="shared" si="1"/>
        <v>0</v>
      </c>
      <c r="K17" s="576">
        <f t="shared" si="2"/>
        <v>0</v>
      </c>
      <c r="L17" s="576">
        <f t="shared" si="3"/>
        <v>0</v>
      </c>
    </row>
    <row r="18" spans="1:12" ht="13">
      <c r="A18" s="553">
        <f t="shared" si="4"/>
        <v>8</v>
      </c>
      <c r="B18" s="574" t="s">
        <v>1273</v>
      </c>
      <c r="C18" s="795">
        <f t="shared" si="5"/>
        <v>869792.65</v>
      </c>
      <c r="D18" s="967">
        <v>0</v>
      </c>
      <c r="E18" s="967">
        <v>869792.65</v>
      </c>
      <c r="F18" s="1061"/>
      <c r="G18" s="796">
        <f t="shared" si="0"/>
        <v>0</v>
      </c>
      <c r="H18" s="967">
        <v>0</v>
      </c>
      <c r="I18" s="967">
        <v>0</v>
      </c>
      <c r="J18" s="576">
        <f t="shared" si="1"/>
        <v>869792.65</v>
      </c>
      <c r="K18" s="576">
        <f t="shared" si="2"/>
        <v>0</v>
      </c>
      <c r="L18" s="576">
        <f t="shared" si="3"/>
        <v>869792.65</v>
      </c>
    </row>
    <row r="19" spans="1:12" ht="13">
      <c r="A19" s="553">
        <f t="shared" si="4"/>
        <v>9</v>
      </c>
      <c r="B19" s="574" t="s">
        <v>2320</v>
      </c>
      <c r="C19" s="795">
        <f t="shared" si="5"/>
        <v>38009999.060000002</v>
      </c>
      <c r="D19" s="967">
        <v>13523556.27</v>
      </c>
      <c r="E19" s="967">
        <v>24486442.790000007</v>
      </c>
      <c r="F19" s="1061"/>
      <c r="G19" s="796">
        <f t="shared" si="0"/>
        <v>0</v>
      </c>
      <c r="H19" s="967">
        <v>0</v>
      </c>
      <c r="I19" s="967">
        <v>0</v>
      </c>
      <c r="J19" s="576">
        <f t="shared" si="1"/>
        <v>38009999.060000002</v>
      </c>
      <c r="K19" s="576">
        <f t="shared" si="2"/>
        <v>13523556.27</v>
      </c>
      <c r="L19" s="576">
        <f t="shared" si="3"/>
        <v>24486442.790000007</v>
      </c>
    </row>
    <row r="20" spans="1:12" ht="13">
      <c r="A20" s="553">
        <f t="shared" si="4"/>
        <v>10</v>
      </c>
      <c r="B20" s="574" t="s">
        <v>2321</v>
      </c>
      <c r="C20" s="795">
        <f t="shared" si="5"/>
        <v>1975667.03</v>
      </c>
      <c r="D20" s="967">
        <v>1703103.03</v>
      </c>
      <c r="E20" s="967">
        <v>272564</v>
      </c>
      <c r="F20" s="1061"/>
      <c r="G20" s="796">
        <f t="shared" si="0"/>
        <v>0</v>
      </c>
      <c r="H20" s="967">
        <v>0</v>
      </c>
      <c r="I20" s="967">
        <v>0</v>
      </c>
      <c r="J20" s="576">
        <f t="shared" si="1"/>
        <v>1975667.03</v>
      </c>
      <c r="K20" s="576">
        <f t="shared" si="2"/>
        <v>1703103.03</v>
      </c>
      <c r="L20" s="576">
        <f t="shared" si="3"/>
        <v>272564</v>
      </c>
    </row>
    <row r="21" spans="1:12" ht="13">
      <c r="A21" s="553">
        <f t="shared" si="4"/>
        <v>11</v>
      </c>
      <c r="B21" s="574" t="s">
        <v>2322</v>
      </c>
      <c r="C21" s="795">
        <f t="shared" si="5"/>
        <v>0</v>
      </c>
      <c r="D21" s="967">
        <v>0</v>
      </c>
      <c r="E21" s="967">
        <v>0</v>
      </c>
      <c r="F21" s="1061"/>
      <c r="G21" s="796">
        <f t="shared" si="0"/>
        <v>0</v>
      </c>
      <c r="H21" s="967">
        <v>0</v>
      </c>
      <c r="I21" s="967">
        <v>0</v>
      </c>
      <c r="J21" s="576">
        <f t="shared" si="1"/>
        <v>0</v>
      </c>
      <c r="K21" s="576">
        <f t="shared" si="2"/>
        <v>0</v>
      </c>
      <c r="L21" s="576">
        <f t="shared" si="3"/>
        <v>0</v>
      </c>
    </row>
    <row r="22" spans="1:12" ht="13">
      <c r="A22" s="553">
        <f t="shared" si="4"/>
        <v>12</v>
      </c>
      <c r="B22" s="574" t="s">
        <v>1275</v>
      </c>
      <c r="C22" s="795">
        <f t="shared" si="5"/>
        <v>19648738.149999999</v>
      </c>
      <c r="D22" s="967">
        <v>0</v>
      </c>
      <c r="E22" s="967">
        <v>19648738.149999999</v>
      </c>
      <c r="F22" s="1061" t="s">
        <v>553</v>
      </c>
      <c r="G22" s="797">
        <f t="shared" si="0"/>
        <v>-19648738.149999999</v>
      </c>
      <c r="H22" s="967">
        <v>0</v>
      </c>
      <c r="I22" s="967">
        <v>-19648738.149999999</v>
      </c>
      <c r="J22" s="576">
        <f t="shared" si="1"/>
        <v>0</v>
      </c>
      <c r="K22" s="576">
        <f t="shared" si="3"/>
        <v>0</v>
      </c>
      <c r="L22" s="576">
        <f t="shared" si="3"/>
        <v>0</v>
      </c>
    </row>
    <row r="23" spans="1:12" ht="13">
      <c r="A23" s="553">
        <f t="shared" si="4"/>
        <v>13</v>
      </c>
      <c r="B23" s="574" t="s">
        <v>1276</v>
      </c>
      <c r="C23" s="795">
        <f t="shared" si="5"/>
        <v>287070.25</v>
      </c>
      <c r="D23" s="967">
        <v>0</v>
      </c>
      <c r="E23" s="967">
        <v>287070.25</v>
      </c>
      <c r="F23" s="1061"/>
      <c r="G23" s="796">
        <f t="shared" si="0"/>
        <v>0</v>
      </c>
      <c r="H23" s="967">
        <v>0</v>
      </c>
      <c r="I23" s="967">
        <v>0</v>
      </c>
      <c r="J23" s="576">
        <f t="shared" si="1"/>
        <v>287070.25</v>
      </c>
      <c r="K23" s="576">
        <f t="shared" si="3"/>
        <v>0</v>
      </c>
      <c r="L23" s="576">
        <f t="shared" si="3"/>
        <v>287070.25</v>
      </c>
    </row>
    <row r="24" spans="1:12" ht="13">
      <c r="A24" s="553">
        <f t="shared" si="4"/>
        <v>14</v>
      </c>
      <c r="B24" s="574" t="s">
        <v>2323</v>
      </c>
      <c r="C24" s="795">
        <f t="shared" si="5"/>
        <v>41780984.579999998</v>
      </c>
      <c r="D24" s="967">
        <v>21299518.829999991</v>
      </c>
      <c r="E24" s="967">
        <v>20481465.750000004</v>
      </c>
      <c r="F24" s="1061" t="s">
        <v>556</v>
      </c>
      <c r="G24" s="796">
        <f>SUM(H24:I24)</f>
        <v>-4261.4800000000005</v>
      </c>
      <c r="H24" s="967">
        <v>-3959.32</v>
      </c>
      <c r="I24" s="967">
        <v>-302.15999999999997</v>
      </c>
      <c r="J24" s="576">
        <f>SUM(K24:L24)</f>
        <v>41776723.099999994</v>
      </c>
      <c r="K24" s="576">
        <f t="shared" si="3"/>
        <v>21295559.50999999</v>
      </c>
      <c r="L24" s="576">
        <f t="shared" si="3"/>
        <v>20481163.590000004</v>
      </c>
    </row>
    <row r="25" spans="1:12" ht="13">
      <c r="A25" s="553">
        <f t="shared" si="4"/>
        <v>15</v>
      </c>
      <c r="B25" s="574" t="s">
        <v>1277</v>
      </c>
      <c r="C25" s="795">
        <f t="shared" si="5"/>
        <v>121060283.48</v>
      </c>
      <c r="D25" s="967">
        <v>191432.74</v>
      </c>
      <c r="E25" s="967">
        <v>120868850.74000001</v>
      </c>
      <c r="F25" s="1061" t="s">
        <v>554</v>
      </c>
      <c r="G25" s="796">
        <f>SUM(H25:I25)</f>
        <v>-120200470.07999998</v>
      </c>
      <c r="H25" s="967">
        <v>-1891.74</v>
      </c>
      <c r="I25" s="967">
        <v>-120198578.33999999</v>
      </c>
      <c r="J25" s="576">
        <f t="shared" si="1"/>
        <v>859813.40000002086</v>
      </c>
      <c r="K25" s="576">
        <f t="shared" si="3"/>
        <v>189541</v>
      </c>
      <c r="L25" s="576">
        <f t="shared" si="3"/>
        <v>670272.40000002086</v>
      </c>
    </row>
    <row r="26" spans="1:12" ht="13">
      <c r="A26" s="553">
        <f t="shared" si="4"/>
        <v>16</v>
      </c>
      <c r="B26" s="574" t="s">
        <v>1278</v>
      </c>
      <c r="C26" s="795">
        <f t="shared" si="5"/>
        <v>722667.31</v>
      </c>
      <c r="D26" s="967">
        <v>0</v>
      </c>
      <c r="E26" s="967">
        <v>722667.31</v>
      </c>
      <c r="F26" s="1061"/>
      <c r="G26" s="796">
        <f t="shared" si="0"/>
        <v>0</v>
      </c>
      <c r="H26" s="967">
        <v>0</v>
      </c>
      <c r="I26" s="967">
        <v>0</v>
      </c>
      <c r="J26" s="576">
        <f t="shared" si="1"/>
        <v>722667.31</v>
      </c>
      <c r="K26" s="576">
        <f t="shared" si="3"/>
        <v>0</v>
      </c>
      <c r="L26" s="576">
        <f t="shared" si="3"/>
        <v>722667.31</v>
      </c>
    </row>
    <row r="27" spans="1:12" ht="13">
      <c r="A27" s="553">
        <f t="shared" si="4"/>
        <v>17</v>
      </c>
      <c r="B27" s="574" t="s">
        <v>2311</v>
      </c>
      <c r="C27" s="795">
        <f t="shared" si="5"/>
        <v>16765926.459999997</v>
      </c>
      <c r="D27" s="967">
        <v>37815.19999999999</v>
      </c>
      <c r="E27" s="967">
        <v>16728111.259999998</v>
      </c>
      <c r="F27" s="1061"/>
      <c r="G27" s="797">
        <f t="shared" si="0"/>
        <v>0</v>
      </c>
      <c r="H27" s="967">
        <v>0</v>
      </c>
      <c r="I27" s="967">
        <v>0</v>
      </c>
      <c r="J27" s="576">
        <f t="shared" si="1"/>
        <v>16765926.459999997</v>
      </c>
      <c r="K27" s="576">
        <f t="shared" si="3"/>
        <v>37815.19999999999</v>
      </c>
      <c r="L27" s="576">
        <f t="shared" si="3"/>
        <v>16728111.259999998</v>
      </c>
    </row>
    <row r="28" spans="1:12" ht="13">
      <c r="A28" s="110">
        <f t="shared" si="4"/>
        <v>18</v>
      </c>
      <c r="B28" s="574" t="s">
        <v>1279</v>
      </c>
      <c r="C28" s="795">
        <f t="shared" si="5"/>
        <v>41012.32</v>
      </c>
      <c r="D28" s="967">
        <v>0</v>
      </c>
      <c r="E28" s="967">
        <v>41012.32</v>
      </c>
      <c r="F28" s="1061"/>
      <c r="G28" s="796">
        <f t="shared" si="0"/>
        <v>0</v>
      </c>
      <c r="H28" s="967">
        <v>0</v>
      </c>
      <c r="I28" s="967">
        <v>0</v>
      </c>
      <c r="J28" s="813">
        <f t="shared" si="1"/>
        <v>41012.32</v>
      </c>
      <c r="K28" s="813">
        <f t="shared" ref="K28:L40" si="6">D28+H28</f>
        <v>0</v>
      </c>
      <c r="L28" s="813">
        <f t="shared" si="6"/>
        <v>41012.32</v>
      </c>
    </row>
    <row r="29" spans="1:12" ht="13">
      <c r="A29" s="110">
        <f t="shared" si="4"/>
        <v>19</v>
      </c>
      <c r="B29" s="574" t="s">
        <v>1280</v>
      </c>
      <c r="C29" s="795">
        <f t="shared" si="5"/>
        <v>355202.04000000004</v>
      </c>
      <c r="D29" s="967">
        <v>0</v>
      </c>
      <c r="E29" s="967">
        <v>355202.04000000004</v>
      </c>
      <c r="F29" s="1061"/>
      <c r="G29" s="797">
        <f t="shared" si="0"/>
        <v>0</v>
      </c>
      <c r="H29" s="967">
        <v>0</v>
      </c>
      <c r="I29" s="967">
        <v>0</v>
      </c>
      <c r="J29" s="813">
        <f t="shared" ref="J29" si="7">SUM(K29:L29)</f>
        <v>355202.04000000004</v>
      </c>
      <c r="K29" s="813">
        <f t="shared" ref="K29" si="8">D29+H29</f>
        <v>0</v>
      </c>
      <c r="L29" s="813">
        <f t="shared" ref="L29" si="9">E29+I29</f>
        <v>355202.04000000004</v>
      </c>
    </row>
    <row r="30" spans="1:12" ht="13">
      <c r="A30" s="110">
        <f t="shared" si="4"/>
        <v>20</v>
      </c>
      <c r="B30" s="574" t="s">
        <v>2324</v>
      </c>
      <c r="C30" s="795">
        <f t="shared" si="5"/>
        <v>2516505.65</v>
      </c>
      <c r="D30" s="967">
        <v>2220917.7799999998</v>
      </c>
      <c r="E30" s="967">
        <v>295587.87</v>
      </c>
      <c r="F30" s="1061"/>
      <c r="G30" s="796">
        <f t="shared" si="0"/>
        <v>0</v>
      </c>
      <c r="H30" s="967">
        <v>0</v>
      </c>
      <c r="I30" s="967">
        <v>0</v>
      </c>
      <c r="J30" s="576">
        <f t="shared" si="1"/>
        <v>2516505.65</v>
      </c>
      <c r="K30" s="576">
        <f t="shared" si="6"/>
        <v>2220917.7799999998</v>
      </c>
      <c r="L30" s="576">
        <f t="shared" si="6"/>
        <v>295587.87</v>
      </c>
    </row>
    <row r="31" spans="1:12" ht="13">
      <c r="A31" s="110">
        <f t="shared" si="4"/>
        <v>21</v>
      </c>
      <c r="B31" s="574" t="s">
        <v>1281</v>
      </c>
      <c r="C31" s="795">
        <f t="shared" si="5"/>
        <v>181917.18</v>
      </c>
      <c r="D31" s="967">
        <v>0</v>
      </c>
      <c r="E31" s="967">
        <v>181917.18</v>
      </c>
      <c r="F31" s="1061"/>
      <c r="G31" s="796">
        <f t="shared" si="0"/>
        <v>0</v>
      </c>
      <c r="H31" s="967">
        <v>0</v>
      </c>
      <c r="I31" s="967">
        <v>0</v>
      </c>
      <c r="J31" s="576">
        <f t="shared" si="1"/>
        <v>181917.18</v>
      </c>
      <c r="K31" s="576">
        <f t="shared" si="6"/>
        <v>0</v>
      </c>
      <c r="L31" s="576">
        <f t="shared" si="6"/>
        <v>181917.18</v>
      </c>
    </row>
    <row r="32" spans="1:12" ht="13">
      <c r="A32" s="110">
        <f t="shared" si="4"/>
        <v>22</v>
      </c>
      <c r="B32" s="574" t="s">
        <v>2325</v>
      </c>
      <c r="C32" s="795">
        <f t="shared" si="5"/>
        <v>42393508.359999999</v>
      </c>
      <c r="D32" s="967">
        <v>11514.89</v>
      </c>
      <c r="E32" s="967">
        <v>42381993.469999999</v>
      </c>
      <c r="F32" s="1061" t="s">
        <v>555</v>
      </c>
      <c r="G32" s="796">
        <f t="shared" si="0"/>
        <v>-39147707</v>
      </c>
      <c r="H32" s="967">
        <v>0</v>
      </c>
      <c r="I32" s="967">
        <v>-39147707</v>
      </c>
      <c r="J32" s="576">
        <f t="shared" si="1"/>
        <v>3245801.3599999989</v>
      </c>
      <c r="K32" s="576">
        <f t="shared" si="6"/>
        <v>11514.89</v>
      </c>
      <c r="L32" s="576">
        <f t="shared" si="6"/>
        <v>3234286.4699999988</v>
      </c>
    </row>
    <row r="33" spans="1:12" ht="13">
      <c r="A33" s="110">
        <f t="shared" si="4"/>
        <v>23</v>
      </c>
      <c r="B33" s="574" t="s">
        <v>1282</v>
      </c>
      <c r="C33" s="795">
        <f t="shared" si="5"/>
        <v>271140.73</v>
      </c>
      <c r="D33" s="967">
        <v>0</v>
      </c>
      <c r="E33" s="967">
        <v>271140.73</v>
      </c>
      <c r="F33" s="1061"/>
      <c r="G33" s="796">
        <f t="shared" si="0"/>
        <v>0</v>
      </c>
      <c r="H33" s="967">
        <v>0</v>
      </c>
      <c r="I33" s="967">
        <v>0</v>
      </c>
      <c r="J33" s="576">
        <f t="shared" si="1"/>
        <v>271140.73</v>
      </c>
      <c r="K33" s="576">
        <f t="shared" si="6"/>
        <v>0</v>
      </c>
      <c r="L33" s="576">
        <f t="shared" si="6"/>
        <v>271140.73</v>
      </c>
    </row>
    <row r="34" spans="1:12" ht="13">
      <c r="A34" s="110">
        <f t="shared" si="4"/>
        <v>24</v>
      </c>
      <c r="B34" s="574" t="s">
        <v>2326</v>
      </c>
      <c r="C34" s="795">
        <f t="shared" si="5"/>
        <v>6340851.3300000001</v>
      </c>
      <c r="D34" s="967">
        <v>4448596.33</v>
      </c>
      <c r="E34" s="967">
        <v>1892255</v>
      </c>
      <c r="F34" s="1061"/>
      <c r="G34" s="796">
        <f t="shared" si="0"/>
        <v>0</v>
      </c>
      <c r="H34" s="967">
        <v>0</v>
      </c>
      <c r="I34" s="967">
        <v>0</v>
      </c>
      <c r="J34" s="576">
        <f t="shared" si="1"/>
        <v>6340851.3300000001</v>
      </c>
      <c r="K34" s="576">
        <f t="shared" si="6"/>
        <v>4448596.33</v>
      </c>
      <c r="L34" s="576">
        <f t="shared" si="6"/>
        <v>1892255</v>
      </c>
    </row>
    <row r="35" spans="1:12" ht="13">
      <c r="A35" s="110">
        <f t="shared" si="4"/>
        <v>25</v>
      </c>
      <c r="B35" s="574" t="s">
        <v>1283</v>
      </c>
      <c r="C35" s="795">
        <f t="shared" si="5"/>
        <v>1222368.99</v>
      </c>
      <c r="D35" s="967">
        <v>0</v>
      </c>
      <c r="E35" s="967">
        <v>1222368.99</v>
      </c>
      <c r="F35" s="1061"/>
      <c r="G35" s="796">
        <f t="shared" si="0"/>
        <v>0</v>
      </c>
      <c r="H35" s="967">
        <v>0</v>
      </c>
      <c r="I35" s="967">
        <v>0</v>
      </c>
      <c r="J35" s="576">
        <f t="shared" si="1"/>
        <v>1222368.99</v>
      </c>
      <c r="K35" s="576">
        <f t="shared" si="6"/>
        <v>0</v>
      </c>
      <c r="L35" s="576">
        <f t="shared" si="6"/>
        <v>1222368.99</v>
      </c>
    </row>
    <row r="36" spans="1:12" ht="13">
      <c r="A36" s="110">
        <f t="shared" si="4"/>
        <v>26</v>
      </c>
      <c r="B36" s="574" t="s">
        <v>2327</v>
      </c>
      <c r="C36" s="795">
        <f t="shared" si="5"/>
        <v>83935138.560000002</v>
      </c>
      <c r="D36" s="967">
        <v>13426629.640000002</v>
      </c>
      <c r="E36" s="967">
        <v>70508508.920000002</v>
      </c>
      <c r="F36" s="1061" t="s">
        <v>556</v>
      </c>
      <c r="G36" s="796">
        <f t="shared" si="0"/>
        <v>21547.599999999999</v>
      </c>
      <c r="H36" s="967">
        <v>-186.15</v>
      </c>
      <c r="I36" s="967">
        <v>21733.75</v>
      </c>
      <c r="J36" s="576">
        <f t="shared" si="1"/>
        <v>83956686.159999996</v>
      </c>
      <c r="K36" s="576">
        <f t="shared" si="6"/>
        <v>13426443.490000002</v>
      </c>
      <c r="L36" s="576">
        <f t="shared" si="6"/>
        <v>70530242.670000002</v>
      </c>
    </row>
    <row r="37" spans="1:12" ht="13">
      <c r="A37" s="110">
        <f t="shared" si="4"/>
        <v>27</v>
      </c>
      <c r="B37" s="574" t="s">
        <v>1284</v>
      </c>
      <c r="C37" s="795">
        <f t="shared" si="5"/>
        <v>310336.59999999998</v>
      </c>
      <c r="D37" s="967">
        <v>0</v>
      </c>
      <c r="E37" s="967">
        <v>310336.59999999998</v>
      </c>
      <c r="F37" s="1061"/>
      <c r="G37" s="796">
        <f t="shared" si="0"/>
        <v>0</v>
      </c>
      <c r="H37" s="967">
        <v>0</v>
      </c>
      <c r="I37" s="967">
        <v>0</v>
      </c>
      <c r="J37" s="576">
        <f t="shared" si="1"/>
        <v>310336.59999999998</v>
      </c>
      <c r="K37" s="576">
        <f t="shared" si="6"/>
        <v>0</v>
      </c>
      <c r="L37" s="576">
        <f t="shared" si="6"/>
        <v>310336.59999999998</v>
      </c>
    </row>
    <row r="38" spans="1:12" ht="13">
      <c r="A38" s="110">
        <f t="shared" si="4"/>
        <v>28</v>
      </c>
      <c r="B38" s="574" t="s">
        <v>2328</v>
      </c>
      <c r="C38" s="795">
        <f t="shared" si="5"/>
        <v>1154121.51</v>
      </c>
      <c r="D38" s="967">
        <v>251949.50000000003</v>
      </c>
      <c r="E38" s="967">
        <v>902172.01</v>
      </c>
      <c r="F38" s="1061"/>
      <c r="G38" s="796">
        <f t="shared" si="0"/>
        <v>0</v>
      </c>
      <c r="H38" s="967">
        <v>0</v>
      </c>
      <c r="I38" s="967">
        <v>0</v>
      </c>
      <c r="J38" s="576">
        <f t="shared" si="1"/>
        <v>1154121.51</v>
      </c>
      <c r="K38" s="576">
        <f t="shared" si="6"/>
        <v>251949.50000000003</v>
      </c>
      <c r="L38" s="576">
        <f t="shared" si="6"/>
        <v>902172.01</v>
      </c>
    </row>
    <row r="39" spans="1:12" ht="13">
      <c r="A39" s="110">
        <f t="shared" si="4"/>
        <v>29</v>
      </c>
      <c r="B39" s="574" t="s">
        <v>1286</v>
      </c>
      <c r="C39" s="795">
        <f t="shared" si="5"/>
        <v>6805.1</v>
      </c>
      <c r="D39" s="967">
        <v>0</v>
      </c>
      <c r="E39" s="967">
        <v>6805.1</v>
      </c>
      <c r="F39" s="1061"/>
      <c r="G39" s="796">
        <f t="shared" si="0"/>
        <v>0</v>
      </c>
      <c r="H39" s="967">
        <v>0</v>
      </c>
      <c r="I39" s="967">
        <v>0</v>
      </c>
      <c r="J39" s="576">
        <f t="shared" si="1"/>
        <v>6805.1</v>
      </c>
      <c r="K39" s="576">
        <f t="shared" si="6"/>
        <v>0</v>
      </c>
      <c r="L39" s="576">
        <f t="shared" si="6"/>
        <v>6805.1</v>
      </c>
    </row>
    <row r="40" spans="1:12" ht="13">
      <c r="A40" s="110">
        <f t="shared" si="4"/>
        <v>30</v>
      </c>
      <c r="B40" s="574" t="s">
        <v>2329</v>
      </c>
      <c r="C40" s="795">
        <f t="shared" si="5"/>
        <v>2238849.4800000004</v>
      </c>
      <c r="D40" s="967">
        <v>1031012.5900000001</v>
      </c>
      <c r="E40" s="967">
        <v>1207836.8900000004</v>
      </c>
      <c r="F40" s="1061"/>
      <c r="G40" s="796">
        <f t="shared" si="0"/>
        <v>0</v>
      </c>
      <c r="H40" s="967">
        <v>0</v>
      </c>
      <c r="I40" s="967">
        <v>0</v>
      </c>
      <c r="J40" s="576">
        <f t="shared" si="1"/>
        <v>2238849.4800000004</v>
      </c>
      <c r="K40" s="576">
        <f t="shared" si="6"/>
        <v>1031012.5900000001</v>
      </c>
      <c r="L40" s="576">
        <f t="shared" si="6"/>
        <v>1207836.8900000004</v>
      </c>
    </row>
    <row r="41" spans="1:12" ht="14">
      <c r="A41" s="110">
        <f t="shared" si="4"/>
        <v>31</v>
      </c>
      <c r="B41" s="518" t="s">
        <v>504</v>
      </c>
      <c r="C41" s="799" t="s">
        <v>76</v>
      </c>
      <c r="D41" s="799" t="s">
        <v>76</v>
      </c>
      <c r="E41" s="799" t="s">
        <v>76</v>
      </c>
      <c r="F41" s="799" t="s">
        <v>76</v>
      </c>
      <c r="G41" s="797">
        <f t="shared" si="0"/>
        <v>0</v>
      </c>
      <c r="H41" s="799" t="s">
        <v>76</v>
      </c>
      <c r="I41" s="799" t="s">
        <v>76</v>
      </c>
      <c r="J41" s="427"/>
      <c r="K41" s="427"/>
      <c r="L41" s="427"/>
    </row>
    <row r="42" spans="1:12" ht="13">
      <c r="A42" s="110">
        <f t="shared" si="4"/>
        <v>32</v>
      </c>
      <c r="B42" s="574" t="s">
        <v>1994</v>
      </c>
      <c r="C42" s="800">
        <v>0</v>
      </c>
      <c r="D42" s="800">
        <v>0</v>
      </c>
      <c r="E42" s="800">
        <v>0</v>
      </c>
      <c r="F42" s="815"/>
      <c r="G42" s="801">
        <f t="shared" si="0"/>
        <v>1030906.0778108682</v>
      </c>
      <c r="H42" s="802">
        <f>+C64*C144</f>
        <v>1030906.0778108682</v>
      </c>
      <c r="I42" s="802">
        <v>0</v>
      </c>
      <c r="J42" s="803">
        <f t="shared" si="1"/>
        <v>1030906.0778108682</v>
      </c>
      <c r="K42" s="803">
        <f>D42+H42</f>
        <v>1030906.0778108682</v>
      </c>
      <c r="L42" s="803">
        <f>E42+I42</f>
        <v>0</v>
      </c>
    </row>
    <row r="43" spans="1:12" ht="13">
      <c r="A43" s="110">
        <f t="shared" si="4"/>
        <v>33</v>
      </c>
      <c r="B43" s="428" t="s">
        <v>1287</v>
      </c>
      <c r="C43" s="795">
        <f>SUM(C11:C42)</f>
        <v>458436960.50000012</v>
      </c>
      <c r="D43" s="804">
        <f>SUM(D11:D42)</f>
        <v>92817022.569999978</v>
      </c>
      <c r="E43" s="804">
        <f>SUM(E11:E42)</f>
        <v>365619937.93000007</v>
      </c>
      <c r="F43" s="805"/>
      <c r="G43" s="805">
        <f t="shared" ref="G43:L43" si="10">SUM(G11:G42)</f>
        <v>-208813715.93218914</v>
      </c>
      <c r="H43" s="806">
        <f t="shared" si="10"/>
        <v>1024868.8678108682</v>
      </c>
      <c r="I43" s="806">
        <f t="shared" si="10"/>
        <v>-209838584.79999998</v>
      </c>
      <c r="J43" s="806">
        <f t="shared" si="10"/>
        <v>249623244.56781083</v>
      </c>
      <c r="K43" s="806">
        <f t="shared" si="10"/>
        <v>93841891.437810853</v>
      </c>
      <c r="L43" s="806">
        <f t="shared" si="10"/>
        <v>155781353.13</v>
      </c>
    </row>
    <row r="44" spans="1:12" ht="13">
      <c r="A44" s="110">
        <f t="shared" si="4"/>
        <v>34</v>
      </c>
      <c r="B44" s="500"/>
      <c r="C44" s="807"/>
      <c r="D44" s="808"/>
      <c r="E44" s="808"/>
      <c r="F44" s="809"/>
      <c r="G44" s="810"/>
      <c r="H44" s="811"/>
      <c r="I44" s="811"/>
      <c r="J44" s="576"/>
      <c r="K44" s="576"/>
      <c r="L44" s="576"/>
    </row>
    <row r="45" spans="1:12" ht="13">
      <c r="A45" s="553"/>
      <c r="B45" s="428"/>
      <c r="C45" s="808"/>
      <c r="D45" s="808"/>
      <c r="E45" s="808"/>
      <c r="F45" s="809"/>
      <c r="G45" s="812"/>
      <c r="H45" s="808"/>
      <c r="I45" s="808"/>
      <c r="J45" s="808"/>
      <c r="K45" s="808"/>
      <c r="L45" s="808"/>
    </row>
    <row r="46" spans="1:12" ht="13">
      <c r="A46" s="553"/>
      <c r="B46" s="417" t="s">
        <v>358</v>
      </c>
      <c r="C46" s="417" t="s">
        <v>342</v>
      </c>
      <c r="D46" s="417" t="s">
        <v>343</v>
      </c>
      <c r="E46" s="417" t="s">
        <v>344</v>
      </c>
      <c r="F46" s="418" t="s">
        <v>345</v>
      </c>
      <c r="G46" s="417" t="s">
        <v>346</v>
      </c>
      <c r="H46" s="417" t="s">
        <v>347</v>
      </c>
      <c r="I46" s="417" t="s">
        <v>534</v>
      </c>
      <c r="J46" s="417" t="s">
        <v>951</v>
      </c>
      <c r="K46" s="417" t="s">
        <v>963</v>
      </c>
      <c r="L46" s="417" t="s">
        <v>966</v>
      </c>
    </row>
    <row r="47" spans="1:12" ht="13">
      <c r="A47" s="553"/>
      <c r="B47" s="428"/>
      <c r="C47" s="1179" t="s">
        <v>1258</v>
      </c>
      <c r="D47" s="415"/>
      <c r="E47" s="415"/>
      <c r="F47" s="788" t="s">
        <v>360</v>
      </c>
      <c r="G47" s="1179" t="s">
        <v>1259</v>
      </c>
      <c r="H47" s="419"/>
      <c r="I47" s="419"/>
      <c r="J47" s="1179" t="s">
        <v>1260</v>
      </c>
      <c r="K47" s="1179" t="s">
        <v>1261</v>
      </c>
      <c r="L47" s="1180" t="s">
        <v>1262</v>
      </c>
    </row>
    <row r="48" spans="1:12" ht="13">
      <c r="A48" s="553"/>
      <c r="C48" s="807"/>
      <c r="D48" s="808"/>
      <c r="E48" s="808"/>
      <c r="F48" s="809"/>
      <c r="G48" s="810"/>
      <c r="H48" s="808"/>
      <c r="I48" s="808"/>
      <c r="J48" s="576"/>
      <c r="K48" s="576"/>
      <c r="L48" s="576"/>
    </row>
    <row r="49" spans="1:12" ht="13">
      <c r="A49" s="553"/>
      <c r="B49" s="1473" t="s">
        <v>1263</v>
      </c>
      <c r="C49" s="1475" t="s">
        <v>1264</v>
      </c>
      <c r="D49" s="1475"/>
      <c r="E49" s="1475"/>
      <c r="F49" s="421"/>
      <c r="G49" s="1476" t="s">
        <v>1265</v>
      </c>
      <c r="H49" s="1476"/>
      <c r="I49" s="1477"/>
      <c r="J49" s="1479" t="s">
        <v>1266</v>
      </c>
      <c r="K49" s="1476"/>
      <c r="L49" s="1477"/>
    </row>
    <row r="50" spans="1:12" ht="13">
      <c r="A50" s="553"/>
      <c r="B50" s="1474"/>
      <c r="C50" s="787" t="s">
        <v>196</v>
      </c>
      <c r="D50" s="787" t="s">
        <v>1267</v>
      </c>
      <c r="E50" s="422" t="s">
        <v>1268</v>
      </c>
      <c r="F50" s="423" t="s">
        <v>1210</v>
      </c>
      <c r="G50" s="422" t="s">
        <v>196</v>
      </c>
      <c r="H50" s="422" t="s">
        <v>1267</v>
      </c>
      <c r="I50" s="422" t="s">
        <v>1268</v>
      </c>
      <c r="J50" s="787" t="s">
        <v>196</v>
      </c>
      <c r="K50" s="422" t="s">
        <v>1267</v>
      </c>
      <c r="L50" s="422" t="s">
        <v>1268</v>
      </c>
    </row>
    <row r="51" spans="1:12" ht="13">
      <c r="A51" s="553"/>
      <c r="B51" s="429" t="s">
        <v>1288</v>
      </c>
      <c r="C51" s="251"/>
      <c r="D51" s="251"/>
      <c r="E51" s="425"/>
      <c r="F51" s="426"/>
      <c r="G51" s="425"/>
      <c r="H51" s="425"/>
      <c r="I51" s="425"/>
      <c r="J51" s="251"/>
      <c r="K51" s="425"/>
      <c r="L51" s="425"/>
    </row>
    <row r="52" spans="1:12" ht="13">
      <c r="A52" s="110">
        <f>A44+1</f>
        <v>35</v>
      </c>
      <c r="B52" s="574" t="s">
        <v>2314</v>
      </c>
      <c r="C52" s="813">
        <f t="shared" ref="C52:C56" si="11">SUM(D52:E52)</f>
        <v>34054378.589999996</v>
      </c>
      <c r="D52" s="967">
        <v>25926356.369999997</v>
      </c>
      <c r="E52" s="967">
        <v>8128022.2200000016</v>
      </c>
      <c r="F52" s="1061"/>
      <c r="G52" s="810">
        <f t="shared" ref="G52:G56" si="12">SUM(H52:I52)</f>
        <v>0</v>
      </c>
      <c r="H52" s="967">
        <v>0</v>
      </c>
      <c r="I52" s="967">
        <v>0</v>
      </c>
      <c r="J52" s="576">
        <f t="shared" ref="J52:J56" si="13">SUM(K52:L52)</f>
        <v>34054378.589999996</v>
      </c>
      <c r="K52" s="576">
        <f t="shared" ref="K52:L57" si="14">D52+H52</f>
        <v>25926356.369999997</v>
      </c>
      <c r="L52" s="576">
        <f t="shared" si="14"/>
        <v>8128022.2200000016</v>
      </c>
    </row>
    <row r="53" spans="1:12" ht="13">
      <c r="A53" s="110">
        <f t="shared" ref="A53:A62" si="15">A52+1</f>
        <v>36</v>
      </c>
      <c r="B53" s="574" t="s">
        <v>1289</v>
      </c>
      <c r="C53" s="813">
        <f t="shared" si="11"/>
        <v>2484194.8299999996</v>
      </c>
      <c r="D53" s="967">
        <v>2220718.5499999998</v>
      </c>
      <c r="E53" s="967">
        <v>263476.27999999991</v>
      </c>
      <c r="F53" s="1061"/>
      <c r="G53" s="810">
        <f t="shared" si="12"/>
        <v>0</v>
      </c>
      <c r="H53" s="967">
        <v>0</v>
      </c>
      <c r="I53" s="967">
        <v>0</v>
      </c>
      <c r="J53" s="576">
        <f t="shared" si="13"/>
        <v>2484194.8299999996</v>
      </c>
      <c r="K53" s="576">
        <f t="shared" si="14"/>
        <v>2220718.5499999998</v>
      </c>
      <c r="L53" s="576">
        <f t="shared" si="14"/>
        <v>263476.27999999991</v>
      </c>
    </row>
    <row r="54" spans="1:12" ht="13">
      <c r="A54" s="110">
        <f t="shared" si="15"/>
        <v>37</v>
      </c>
      <c r="B54" s="574" t="s">
        <v>1290</v>
      </c>
      <c r="C54" s="813">
        <f t="shared" si="11"/>
        <v>71779.349999999991</v>
      </c>
      <c r="D54" s="967">
        <v>14366.999999999998</v>
      </c>
      <c r="E54" s="967">
        <v>57412.35</v>
      </c>
      <c r="F54" s="1061"/>
      <c r="G54" s="810">
        <f t="shared" si="12"/>
        <v>0</v>
      </c>
      <c r="H54" s="967">
        <v>0</v>
      </c>
      <c r="I54" s="967">
        <v>0</v>
      </c>
      <c r="J54" s="576">
        <f t="shared" si="13"/>
        <v>71779.349999999991</v>
      </c>
      <c r="K54" s="576">
        <f t="shared" si="14"/>
        <v>14366.999999999998</v>
      </c>
      <c r="L54" s="576">
        <f t="shared" si="14"/>
        <v>57412.35</v>
      </c>
    </row>
    <row r="55" spans="1:12" ht="13">
      <c r="A55" s="110">
        <f t="shared" si="15"/>
        <v>38</v>
      </c>
      <c r="B55" s="574" t="s">
        <v>2315</v>
      </c>
      <c r="C55" s="813">
        <f t="shared" si="11"/>
        <v>7317361.4299999997</v>
      </c>
      <c r="D55" s="967">
        <v>4047089.31</v>
      </c>
      <c r="E55" s="967">
        <v>3270272.12</v>
      </c>
      <c r="F55" s="1061"/>
      <c r="G55" s="810">
        <f t="shared" si="12"/>
        <v>0</v>
      </c>
      <c r="H55" s="967">
        <v>0</v>
      </c>
      <c r="I55" s="967">
        <v>0</v>
      </c>
      <c r="J55" s="576">
        <f t="shared" si="13"/>
        <v>7317361.4299999997</v>
      </c>
      <c r="K55" s="576">
        <f t="shared" si="14"/>
        <v>4047089.31</v>
      </c>
      <c r="L55" s="576">
        <f t="shared" si="14"/>
        <v>3270272.12</v>
      </c>
    </row>
    <row r="56" spans="1:12" ht="13">
      <c r="A56" s="110">
        <f t="shared" si="15"/>
        <v>39</v>
      </c>
      <c r="B56" s="574" t="s">
        <v>1291</v>
      </c>
      <c r="C56" s="813">
        <f t="shared" si="11"/>
        <v>927148405.26999903</v>
      </c>
      <c r="D56" s="967">
        <v>256662371.03000003</v>
      </c>
      <c r="E56" s="967">
        <v>670486034.23999906</v>
      </c>
      <c r="F56" s="1061" t="s">
        <v>556</v>
      </c>
      <c r="G56" s="884">
        <f t="shared" si="12"/>
        <v>-9199062.0100000016</v>
      </c>
      <c r="H56" s="967">
        <v>-305307.07000000007</v>
      </c>
      <c r="I56" s="967">
        <v>-8893754.9400000013</v>
      </c>
      <c r="J56" s="576">
        <f t="shared" si="13"/>
        <v>917949343.25999904</v>
      </c>
      <c r="K56" s="576">
        <f t="shared" si="14"/>
        <v>256357063.96000004</v>
      </c>
      <c r="L56" s="576">
        <f t="shared" si="14"/>
        <v>661592279.299999</v>
      </c>
    </row>
    <row r="57" spans="1:12" ht="13">
      <c r="A57" s="110">
        <f>A56+1</f>
        <v>40</v>
      </c>
      <c r="B57" s="574" t="s">
        <v>1995</v>
      </c>
      <c r="C57" s="800">
        <v>0</v>
      </c>
      <c r="D57" s="800">
        <v>0</v>
      </c>
      <c r="E57" s="800">
        <v>0</v>
      </c>
      <c r="F57" s="815"/>
      <c r="G57" s="814">
        <f>SUM(H57:I57)</f>
        <v>3208449.9221891318</v>
      </c>
      <c r="H57" s="815">
        <f>+C64*C145</f>
        <v>3208449.9221891318</v>
      </c>
      <c r="I57" s="815">
        <v>0</v>
      </c>
      <c r="J57" s="816">
        <f>SUM(K57:L57)</f>
        <v>3208449.9221891318</v>
      </c>
      <c r="K57" s="816">
        <f t="shared" si="14"/>
        <v>3208449.9221891318</v>
      </c>
      <c r="L57" s="816">
        <f t="shared" si="14"/>
        <v>0</v>
      </c>
    </row>
    <row r="58" spans="1:12" ht="13">
      <c r="A58" s="110">
        <f t="shared" si="15"/>
        <v>41</v>
      </c>
      <c r="B58" s="428" t="s">
        <v>1292</v>
      </c>
      <c r="C58" s="808">
        <f>SUM(C52:C57)</f>
        <v>971076119.46999907</v>
      </c>
      <c r="D58" s="808">
        <f>SUM(D52:D57)</f>
        <v>288870902.26000005</v>
      </c>
      <c r="E58" s="808">
        <f>SUM(E52:E57)</f>
        <v>682205217.20999908</v>
      </c>
      <c r="F58" s="809"/>
      <c r="G58" s="812">
        <f t="shared" ref="G58:L58" si="16">SUM(G52:G57)</f>
        <v>-5990612.0878108703</v>
      </c>
      <c r="H58" s="808">
        <f t="shared" si="16"/>
        <v>2903142.852189132</v>
      </c>
      <c r="I58" s="808">
        <f t="shared" si="16"/>
        <v>-8893754.9400000013</v>
      </c>
      <c r="J58" s="808">
        <f>SUM(J52:J57)</f>
        <v>965085507.3821882</v>
      </c>
      <c r="K58" s="808">
        <f t="shared" si="16"/>
        <v>291774045.11218917</v>
      </c>
      <c r="L58" s="808">
        <f t="shared" si="16"/>
        <v>673311462.26999903</v>
      </c>
    </row>
    <row r="59" spans="1:12" ht="13">
      <c r="A59" s="110">
        <f t="shared" si="15"/>
        <v>42</v>
      </c>
      <c r="B59" s="807"/>
      <c r="C59" s="813"/>
      <c r="D59" s="808"/>
      <c r="E59" s="808"/>
      <c r="F59" s="817"/>
      <c r="G59" s="810"/>
      <c r="H59" s="811"/>
      <c r="I59" s="811"/>
      <c r="J59" s="576"/>
      <c r="K59" s="576"/>
      <c r="L59" s="576"/>
    </row>
    <row r="60" spans="1:12" ht="13">
      <c r="A60" s="110">
        <f t="shared" si="15"/>
        <v>43</v>
      </c>
      <c r="B60" s="428" t="s">
        <v>1293</v>
      </c>
      <c r="C60" s="813">
        <f>+C43+C58</f>
        <v>1429513079.9699993</v>
      </c>
      <c r="D60" s="813">
        <f>D58+D43</f>
        <v>381687924.83000004</v>
      </c>
      <c r="E60" s="813">
        <f>E58+E43</f>
        <v>1047825155.1399992</v>
      </c>
      <c r="F60" s="818"/>
      <c r="G60" s="810">
        <f>+G43+G58</f>
        <v>-214804328.02000001</v>
      </c>
      <c r="H60" s="576">
        <f>H58+H43</f>
        <v>3928011.72</v>
      </c>
      <c r="I60" s="576">
        <f>I58+I43</f>
        <v>-218732339.73999998</v>
      </c>
      <c r="J60" s="576">
        <f>J58+J43</f>
        <v>1214708751.9499991</v>
      </c>
      <c r="K60" s="576">
        <f>K58+K43</f>
        <v>385615936.55000001</v>
      </c>
      <c r="L60" s="576">
        <f>L58+L43</f>
        <v>829092815.39999902</v>
      </c>
    </row>
    <row r="61" spans="1:12" ht="13">
      <c r="A61" s="110">
        <f t="shared" si="15"/>
        <v>44</v>
      </c>
      <c r="B61" s="807"/>
      <c r="C61" s="807"/>
      <c r="D61" s="807"/>
      <c r="E61" s="807"/>
      <c r="F61" s="818"/>
      <c r="G61" s="819"/>
      <c r="H61" s="811"/>
      <c r="I61" s="811"/>
      <c r="J61" s="500"/>
      <c r="K61" s="500"/>
      <c r="L61" s="500"/>
    </row>
    <row r="62" spans="1:12" ht="13">
      <c r="A62" s="110">
        <f t="shared" si="15"/>
        <v>45</v>
      </c>
      <c r="B62" s="574" t="s">
        <v>1294</v>
      </c>
      <c r="C62" s="1060">
        <v>458436959</v>
      </c>
      <c r="D62" s="820" t="s">
        <v>1295</v>
      </c>
      <c r="E62" s="813" t="str">
        <f>"Must equal Line "&amp;A43&amp;", Column 2."</f>
        <v>Must equal Line 33, Column 2.</v>
      </c>
      <c r="F62" s="818"/>
      <c r="G62" s="430"/>
      <c r="H62" s="431"/>
      <c r="I62" s="431"/>
      <c r="J62" s="431"/>
      <c r="K62" s="431"/>
      <c r="L62" s="431"/>
    </row>
    <row r="63" spans="1:12" ht="13">
      <c r="A63" s="110">
        <f>A62+1</f>
        <v>46</v>
      </c>
      <c r="B63" s="574" t="s">
        <v>1296</v>
      </c>
      <c r="C63" s="1060">
        <v>971076120</v>
      </c>
      <c r="D63" s="820" t="s">
        <v>2429</v>
      </c>
      <c r="E63" s="813" t="str">
        <f>"Must equal Line "&amp;A58&amp;", Column 2."</f>
        <v>Must equal Line 41, Column 2.</v>
      </c>
      <c r="F63" s="818"/>
      <c r="G63" s="810"/>
      <c r="H63" s="576"/>
      <c r="I63" s="576"/>
      <c r="J63" s="576"/>
      <c r="K63" s="576"/>
      <c r="L63" s="576"/>
    </row>
    <row r="64" spans="1:12" ht="13">
      <c r="A64" s="110">
        <f>A63+1</f>
        <v>47</v>
      </c>
      <c r="B64" s="574" t="s">
        <v>1996</v>
      </c>
      <c r="C64" s="821">
        <f>'20-AandG'!E63</f>
        <v>4239356</v>
      </c>
      <c r="D64" s="820" t="str">
        <f>"20-AandG, Note 2, "&amp;'20-AandG'!B63&amp;""</f>
        <v>20-AandG, Note 2, f</v>
      </c>
      <c r="E64" s="813"/>
      <c r="F64" s="110"/>
      <c r="G64" s="810"/>
      <c r="H64" s="576"/>
      <c r="I64" s="576"/>
      <c r="J64" s="576"/>
      <c r="K64" s="576"/>
      <c r="L64" s="576"/>
    </row>
    <row r="65" spans="1:12" ht="13">
      <c r="A65" s="432"/>
      <c r="C65" s="433"/>
      <c r="D65" s="813"/>
      <c r="E65" s="813"/>
      <c r="F65" s="818"/>
      <c r="G65" s="810"/>
      <c r="H65" s="576"/>
      <c r="I65" s="576"/>
      <c r="J65" s="576"/>
      <c r="K65" s="576"/>
      <c r="L65" s="576"/>
    </row>
    <row r="66" spans="1:12" ht="13">
      <c r="A66" s="500"/>
      <c r="B66" s="406" t="s">
        <v>1369</v>
      </c>
      <c r="C66" s="807"/>
      <c r="D66" s="807"/>
      <c r="E66" s="807"/>
      <c r="F66" s="818"/>
      <c r="G66" s="819"/>
      <c r="H66" s="500"/>
      <c r="I66" s="500"/>
      <c r="J66" s="500"/>
      <c r="K66" s="500"/>
      <c r="L66" s="500"/>
    </row>
    <row r="67" spans="1:12">
      <c r="A67" s="500"/>
      <c r="C67" s="807"/>
      <c r="D67" s="807"/>
      <c r="E67" s="807"/>
      <c r="F67" s="818"/>
      <c r="G67" s="819"/>
      <c r="H67" s="500"/>
      <c r="I67" s="500"/>
      <c r="J67" s="500"/>
      <c r="K67" s="500"/>
      <c r="L67" s="500"/>
    </row>
    <row r="68" spans="1:12" ht="13">
      <c r="A68" s="500"/>
      <c r="B68" s="84" t="s">
        <v>358</v>
      </c>
      <c r="C68" s="417" t="s">
        <v>342</v>
      </c>
      <c r="D68" s="417" t="s">
        <v>343</v>
      </c>
      <c r="E68" s="417" t="s">
        <v>344</v>
      </c>
      <c r="F68" s="418" t="s">
        <v>345</v>
      </c>
      <c r="G68" s="417" t="s">
        <v>346</v>
      </c>
      <c r="H68" s="417" t="s">
        <v>347</v>
      </c>
      <c r="I68" s="417" t="s">
        <v>534</v>
      </c>
      <c r="J68" s="885" t="s">
        <v>951</v>
      </c>
      <c r="K68" s="352"/>
      <c r="L68" s="84"/>
    </row>
    <row r="69" spans="1:12">
      <c r="A69" s="500"/>
      <c r="C69" s="807" t="s">
        <v>1297</v>
      </c>
      <c r="D69" s="807" t="s">
        <v>1298</v>
      </c>
      <c r="E69" s="807" t="s">
        <v>1299</v>
      </c>
      <c r="F69" s="1181" t="s">
        <v>1171</v>
      </c>
      <c r="G69" s="1180" t="s">
        <v>1259</v>
      </c>
      <c r="H69" s="1182" t="s">
        <v>1656</v>
      </c>
      <c r="I69" s="1182" t="s">
        <v>1657</v>
      </c>
      <c r="J69" s="478"/>
      <c r="K69" s="807"/>
      <c r="L69" s="500"/>
    </row>
    <row r="70" spans="1:12">
      <c r="C70" s="807"/>
      <c r="D70" s="807"/>
      <c r="E70" s="807"/>
      <c r="F70" s="818"/>
      <c r="G70" s="819"/>
      <c r="H70" s="500"/>
      <c r="I70" s="500"/>
      <c r="J70" s="807"/>
      <c r="K70" s="807"/>
      <c r="L70" s="500"/>
    </row>
    <row r="71" spans="1:12" ht="13">
      <c r="A71" s="420"/>
      <c r="B71" s="1478" t="s">
        <v>1263</v>
      </c>
      <c r="C71" s="1479" t="s">
        <v>1266</v>
      </c>
      <c r="D71" s="1476"/>
      <c r="E71" s="1477"/>
      <c r="F71" s="434" t="s">
        <v>1428</v>
      </c>
      <c r="G71" s="1470" t="s">
        <v>1300</v>
      </c>
      <c r="H71" s="1471"/>
      <c r="I71" s="1472"/>
      <c r="J71" s="886" t="s">
        <v>1723</v>
      </c>
      <c r="K71" s="807"/>
    </row>
    <row r="72" spans="1:12" ht="13">
      <c r="B72" s="1478"/>
      <c r="C72" s="787" t="s">
        <v>196</v>
      </c>
      <c r="D72" s="422" t="s">
        <v>1267</v>
      </c>
      <c r="E72" s="422" t="s">
        <v>1268</v>
      </c>
      <c r="F72" s="434" t="s">
        <v>427</v>
      </c>
      <c r="G72" s="787" t="s">
        <v>196</v>
      </c>
      <c r="H72" s="422" t="s">
        <v>1267</v>
      </c>
      <c r="I72" s="422" t="s">
        <v>1268</v>
      </c>
      <c r="J72" s="842" t="s">
        <v>205</v>
      </c>
      <c r="K72" s="807"/>
      <c r="L72" s="500"/>
    </row>
    <row r="73" spans="1:12" ht="13">
      <c r="A73" s="51" t="s">
        <v>329</v>
      </c>
      <c r="B73" s="424" t="s">
        <v>1269</v>
      </c>
      <c r="C73" s="251"/>
      <c r="D73" s="425"/>
      <c r="E73" s="425"/>
      <c r="F73" s="435"/>
      <c r="G73" s="251"/>
      <c r="H73" s="425"/>
      <c r="I73" s="425"/>
      <c r="J73" s="478"/>
      <c r="K73" s="807"/>
      <c r="L73" s="500"/>
    </row>
    <row r="74" spans="1:12" ht="13">
      <c r="A74" s="110">
        <f>A64+1</f>
        <v>48</v>
      </c>
      <c r="B74" s="482" t="s">
        <v>2316</v>
      </c>
      <c r="C74" s="813">
        <f t="shared" ref="C74:C103" si="17">J11</f>
        <v>8092114.7699999996</v>
      </c>
      <c r="D74" s="813">
        <f t="shared" ref="D74:D103" si="18">K11</f>
        <v>3966682.8599999994</v>
      </c>
      <c r="E74" s="813">
        <f t="shared" ref="E74:E103" si="19">L11</f>
        <v>4125431.9100000006</v>
      </c>
      <c r="F74" s="829">
        <f>'27-Allocators'!$D$48</f>
        <v>0.37705899970050916</v>
      </c>
      <c r="G74" s="822">
        <f>SUM(H74:I74)</f>
        <v>3051204.7006379161</v>
      </c>
      <c r="H74" s="822">
        <f>D74*F74</f>
        <v>1495673.4713207546</v>
      </c>
      <c r="I74" s="822">
        <f>E74*F74</f>
        <v>1555531.2293171613</v>
      </c>
      <c r="J74" s="595" t="s">
        <v>2330</v>
      </c>
      <c r="K74" s="807"/>
    </row>
    <row r="75" spans="1:12" ht="13">
      <c r="A75" s="110">
        <f t="shared" ref="A75:A107" si="20">A74+1</f>
        <v>49</v>
      </c>
      <c r="B75" s="482" t="s">
        <v>1270</v>
      </c>
      <c r="C75" s="813">
        <f t="shared" si="17"/>
        <v>218858.51</v>
      </c>
      <c r="D75" s="813">
        <f t="shared" si="18"/>
        <v>0</v>
      </c>
      <c r="E75" s="813">
        <f t="shared" si="19"/>
        <v>218858.51</v>
      </c>
      <c r="F75" s="829">
        <v>1</v>
      </c>
      <c r="G75" s="822">
        <f t="shared" ref="G75:G103" si="21">SUM(H75:I75)</f>
        <v>218858.51</v>
      </c>
      <c r="H75" s="822">
        <f t="shared" ref="H75:H103" si="22">D75*F75</f>
        <v>0</v>
      </c>
      <c r="I75" s="822">
        <f t="shared" ref="I75:I103" si="23">E75*F75</f>
        <v>218858.51</v>
      </c>
      <c r="J75" s="1183" t="s">
        <v>2411</v>
      </c>
      <c r="K75" s="807"/>
    </row>
    <row r="76" spans="1:12" ht="13">
      <c r="A76" s="110">
        <f t="shared" si="20"/>
        <v>50</v>
      </c>
      <c r="B76" s="574" t="s">
        <v>2317</v>
      </c>
      <c r="C76" s="813">
        <f t="shared" si="17"/>
        <v>10979778.239999998</v>
      </c>
      <c r="D76" s="813">
        <f t="shared" si="18"/>
        <v>8989791.4899999984</v>
      </c>
      <c r="E76" s="813">
        <f t="shared" si="19"/>
        <v>1989986.7499999998</v>
      </c>
      <c r="F76" s="829">
        <f>'27-Allocators'!$D$48</f>
        <v>0.37705899970050916</v>
      </c>
      <c r="G76" s="822">
        <f t="shared" si="21"/>
        <v>4140024.2001078161</v>
      </c>
      <c r="H76" s="822">
        <f t="shared" si="22"/>
        <v>3389681.7867355491</v>
      </c>
      <c r="I76" s="822">
        <f t="shared" si="23"/>
        <v>750342.41337226715</v>
      </c>
      <c r="J76" s="595" t="s">
        <v>2330</v>
      </c>
      <c r="K76" s="807"/>
    </row>
    <row r="77" spans="1:12" ht="13">
      <c r="A77" s="110">
        <f t="shared" si="20"/>
        <v>51</v>
      </c>
      <c r="B77" s="574" t="s">
        <v>1271</v>
      </c>
      <c r="C77" s="813">
        <f t="shared" si="17"/>
        <v>0</v>
      </c>
      <c r="D77" s="813">
        <f t="shared" si="18"/>
        <v>0</v>
      </c>
      <c r="E77" s="813">
        <f t="shared" si="19"/>
        <v>0</v>
      </c>
      <c r="F77" s="829">
        <v>0</v>
      </c>
      <c r="G77" s="822">
        <f t="shared" si="21"/>
        <v>0</v>
      </c>
      <c r="H77" s="822">
        <f t="shared" si="22"/>
        <v>0</v>
      </c>
      <c r="I77" s="822">
        <f t="shared" si="23"/>
        <v>0</v>
      </c>
      <c r="J77" s="1183" t="s">
        <v>2412</v>
      </c>
      <c r="K77" s="807"/>
    </row>
    <row r="78" spans="1:12" ht="13">
      <c r="A78" s="110">
        <f t="shared" si="20"/>
        <v>52</v>
      </c>
      <c r="B78" s="574" t="s">
        <v>2318</v>
      </c>
      <c r="C78" s="813">
        <f t="shared" si="17"/>
        <v>4579897.2</v>
      </c>
      <c r="D78" s="813">
        <f t="shared" si="18"/>
        <v>4153652.5500000003</v>
      </c>
      <c r="E78" s="813">
        <f t="shared" si="19"/>
        <v>426244.64999999997</v>
      </c>
      <c r="F78" s="829">
        <v>1</v>
      </c>
      <c r="G78" s="822">
        <f t="shared" si="21"/>
        <v>4579897.2</v>
      </c>
      <c r="H78" s="822">
        <f t="shared" si="22"/>
        <v>4153652.5500000003</v>
      </c>
      <c r="I78" s="822">
        <f t="shared" si="23"/>
        <v>426244.64999999997</v>
      </c>
      <c r="J78" s="1183" t="s">
        <v>2411</v>
      </c>
      <c r="K78" s="807"/>
    </row>
    <row r="79" spans="1:12" ht="13">
      <c r="A79" s="110">
        <f t="shared" si="20"/>
        <v>53</v>
      </c>
      <c r="B79" s="574" t="s">
        <v>2319</v>
      </c>
      <c r="C79" s="813">
        <f t="shared" si="17"/>
        <v>21612432.059999999</v>
      </c>
      <c r="D79" s="813">
        <f t="shared" si="18"/>
        <v>17560848.869999997</v>
      </c>
      <c r="E79" s="813">
        <f t="shared" si="19"/>
        <v>4051583.1900000009</v>
      </c>
      <c r="F79" s="829">
        <f>'27-Allocators'!$D$48</f>
        <v>0.37705899970050916</v>
      </c>
      <c r="G79" s="822">
        <f t="shared" si="21"/>
        <v>8149162.013638814</v>
      </c>
      <c r="H79" s="822">
        <f t="shared" si="22"/>
        <v>6621476.108814016</v>
      </c>
      <c r="I79" s="822">
        <f t="shared" si="23"/>
        <v>1527685.9048247982</v>
      </c>
      <c r="J79" s="595" t="s">
        <v>2330</v>
      </c>
      <c r="K79" s="807"/>
    </row>
    <row r="80" spans="1:12" ht="13">
      <c r="A80" s="110">
        <f t="shared" si="20"/>
        <v>54</v>
      </c>
      <c r="B80" s="574" t="s">
        <v>1272</v>
      </c>
      <c r="C80" s="813">
        <f t="shared" si="17"/>
        <v>0</v>
      </c>
      <c r="D80" s="813">
        <f t="shared" si="18"/>
        <v>0</v>
      </c>
      <c r="E80" s="813">
        <f t="shared" si="19"/>
        <v>0</v>
      </c>
      <c r="F80" s="829">
        <v>0</v>
      </c>
      <c r="G80" s="822">
        <f t="shared" si="21"/>
        <v>0</v>
      </c>
      <c r="H80" s="822">
        <f t="shared" si="22"/>
        <v>0</v>
      </c>
      <c r="I80" s="822">
        <f t="shared" si="23"/>
        <v>0</v>
      </c>
      <c r="J80" s="1183" t="s">
        <v>2412</v>
      </c>
      <c r="K80" s="807"/>
    </row>
    <row r="81" spans="1:11" ht="13">
      <c r="A81" s="110">
        <f t="shared" si="20"/>
        <v>55</v>
      </c>
      <c r="B81" s="574" t="s">
        <v>1273</v>
      </c>
      <c r="C81" s="813">
        <f t="shared" si="17"/>
        <v>869792.65</v>
      </c>
      <c r="D81" s="813">
        <f t="shared" si="18"/>
        <v>0</v>
      </c>
      <c r="E81" s="813">
        <f t="shared" si="19"/>
        <v>869792.65</v>
      </c>
      <c r="F81" s="829">
        <v>1</v>
      </c>
      <c r="G81" s="822">
        <f t="shared" si="21"/>
        <v>869792.65</v>
      </c>
      <c r="H81" s="822">
        <f t="shared" si="22"/>
        <v>0</v>
      </c>
      <c r="I81" s="822">
        <f t="shared" si="23"/>
        <v>869792.65</v>
      </c>
      <c r="J81" s="1183" t="s">
        <v>2411</v>
      </c>
      <c r="K81" s="813"/>
    </row>
    <row r="82" spans="1:11" ht="13">
      <c r="A82" s="110">
        <f t="shared" si="20"/>
        <v>56</v>
      </c>
      <c r="B82" s="574" t="s">
        <v>2320</v>
      </c>
      <c r="C82" s="813">
        <f t="shared" si="17"/>
        <v>38009999.060000002</v>
      </c>
      <c r="D82" s="813">
        <f t="shared" si="18"/>
        <v>13523556.27</v>
      </c>
      <c r="E82" s="813">
        <f t="shared" si="19"/>
        <v>24486442.790000007</v>
      </c>
      <c r="F82" s="829">
        <f>'27-Allocators'!$D$36</f>
        <v>0.46941074828250473</v>
      </c>
      <c r="G82" s="822">
        <f t="shared" si="21"/>
        <v>17842302.100971904</v>
      </c>
      <c r="H82" s="822">
        <f t="shared" si="22"/>
        <v>6348102.6681412579</v>
      </c>
      <c r="I82" s="822">
        <f t="shared" si="23"/>
        <v>11494199.432830647</v>
      </c>
      <c r="J82" s="595" t="s">
        <v>2331</v>
      </c>
      <c r="K82" s="807"/>
    </row>
    <row r="83" spans="1:11" ht="12.75" customHeight="1">
      <c r="A83" s="110">
        <f t="shared" si="20"/>
        <v>57</v>
      </c>
      <c r="B83" s="574" t="s">
        <v>2321</v>
      </c>
      <c r="C83" s="820">
        <f t="shared" si="17"/>
        <v>1975667.03</v>
      </c>
      <c r="D83" s="820">
        <f t="shared" si="18"/>
        <v>1703103.03</v>
      </c>
      <c r="E83" s="820">
        <f t="shared" si="19"/>
        <v>272564</v>
      </c>
      <c r="F83" s="829">
        <f>'27-Allocators'!$D$42</f>
        <v>1.2816716950958474E-2</v>
      </c>
      <c r="G83" s="824">
        <f t="shared" si="21"/>
        <v>25321.565112850782</v>
      </c>
      <c r="H83" s="824">
        <f t="shared" si="22"/>
        <v>21828.189473829738</v>
      </c>
      <c r="I83" s="824">
        <f t="shared" si="23"/>
        <v>3493.3756390210456</v>
      </c>
      <c r="J83" s="595" t="s">
        <v>2332</v>
      </c>
      <c r="K83" s="813"/>
    </row>
    <row r="84" spans="1:11" ht="13">
      <c r="A84" s="110">
        <f t="shared" si="20"/>
        <v>58</v>
      </c>
      <c r="B84" s="574" t="s">
        <v>2322</v>
      </c>
      <c r="C84" s="813">
        <f t="shared" si="17"/>
        <v>0</v>
      </c>
      <c r="D84" s="813">
        <f t="shared" si="18"/>
        <v>0</v>
      </c>
      <c r="E84" s="813">
        <f t="shared" si="19"/>
        <v>0</v>
      </c>
      <c r="F84" s="829">
        <v>1</v>
      </c>
      <c r="G84" s="822">
        <f t="shared" si="21"/>
        <v>0</v>
      </c>
      <c r="H84" s="822">
        <f t="shared" si="22"/>
        <v>0</v>
      </c>
      <c r="I84" s="822">
        <f t="shared" si="23"/>
        <v>0</v>
      </c>
      <c r="J84" s="1183" t="s">
        <v>2411</v>
      </c>
      <c r="K84" s="807"/>
    </row>
    <row r="85" spans="1:11" ht="13">
      <c r="A85" s="110">
        <f t="shared" si="20"/>
        <v>59</v>
      </c>
      <c r="B85" s="574" t="s">
        <v>1275</v>
      </c>
      <c r="C85" s="813">
        <f t="shared" si="17"/>
        <v>0</v>
      </c>
      <c r="D85" s="813">
        <f t="shared" si="18"/>
        <v>0</v>
      </c>
      <c r="E85" s="813">
        <f t="shared" si="19"/>
        <v>0</v>
      </c>
      <c r="F85" s="829">
        <v>0</v>
      </c>
      <c r="G85" s="822">
        <f t="shared" si="21"/>
        <v>0</v>
      </c>
      <c r="H85" s="822">
        <f t="shared" si="22"/>
        <v>0</v>
      </c>
      <c r="I85" s="822">
        <f t="shared" si="23"/>
        <v>0</v>
      </c>
      <c r="J85" s="1183" t="s">
        <v>2412</v>
      </c>
      <c r="K85" s="807"/>
    </row>
    <row r="86" spans="1:11" ht="13">
      <c r="A86" s="110">
        <f t="shared" si="20"/>
        <v>60</v>
      </c>
      <c r="B86" s="574" t="s">
        <v>1276</v>
      </c>
      <c r="C86" s="813">
        <f t="shared" si="17"/>
        <v>287070.25</v>
      </c>
      <c r="D86" s="813">
        <f t="shared" si="18"/>
        <v>0</v>
      </c>
      <c r="E86" s="813">
        <f t="shared" si="19"/>
        <v>287070.25</v>
      </c>
      <c r="F86" s="829">
        <v>0</v>
      </c>
      <c r="G86" s="822">
        <f t="shared" si="21"/>
        <v>0</v>
      </c>
      <c r="H86" s="822">
        <f t="shared" si="22"/>
        <v>0</v>
      </c>
      <c r="I86" s="822">
        <f t="shared" si="23"/>
        <v>0</v>
      </c>
      <c r="J86" s="1183" t="s">
        <v>2412</v>
      </c>
      <c r="K86" s="807"/>
    </row>
    <row r="87" spans="1:11" ht="13">
      <c r="A87" s="110">
        <f t="shared" si="20"/>
        <v>61</v>
      </c>
      <c r="B87" s="574" t="s">
        <v>2323</v>
      </c>
      <c r="C87" s="813">
        <f t="shared" si="17"/>
        <v>41776723.099999994</v>
      </c>
      <c r="D87" s="813">
        <f t="shared" si="18"/>
        <v>21295559.50999999</v>
      </c>
      <c r="E87" s="813">
        <f t="shared" si="19"/>
        <v>20481163.590000004</v>
      </c>
      <c r="F87" s="829">
        <f>'27-Allocators'!$D$48</f>
        <v>0.37705899970050916</v>
      </c>
      <c r="G87" s="822">
        <f t="shared" si="21"/>
        <v>15752289.422851153</v>
      </c>
      <c r="H87" s="822">
        <f t="shared" si="22"/>
        <v>8029682.3669032613</v>
      </c>
      <c r="I87" s="822">
        <f t="shared" si="23"/>
        <v>7722607.0559478905</v>
      </c>
      <c r="J87" s="595" t="s">
        <v>2330</v>
      </c>
      <c r="K87" s="813"/>
    </row>
    <row r="88" spans="1:11" ht="13">
      <c r="A88" s="110">
        <f t="shared" si="20"/>
        <v>62</v>
      </c>
      <c r="B88" s="574" t="s">
        <v>1277</v>
      </c>
      <c r="C88" s="813">
        <f t="shared" si="17"/>
        <v>859813.40000002086</v>
      </c>
      <c r="D88" s="813">
        <f t="shared" si="18"/>
        <v>189541</v>
      </c>
      <c r="E88" s="813">
        <f t="shared" si="19"/>
        <v>670272.40000002086</v>
      </c>
      <c r="F88" s="829">
        <v>0</v>
      </c>
      <c r="G88" s="822">
        <f t="shared" si="21"/>
        <v>0</v>
      </c>
      <c r="H88" s="822">
        <f t="shared" si="22"/>
        <v>0</v>
      </c>
      <c r="I88" s="822">
        <f t="shared" si="23"/>
        <v>0</v>
      </c>
      <c r="J88" s="1183" t="s">
        <v>2412</v>
      </c>
      <c r="K88" s="807"/>
    </row>
    <row r="89" spans="1:11" ht="13">
      <c r="A89" s="110">
        <f t="shared" si="20"/>
        <v>63</v>
      </c>
      <c r="B89" s="574" t="s">
        <v>1278</v>
      </c>
      <c r="C89" s="813">
        <f t="shared" si="17"/>
        <v>722667.31</v>
      </c>
      <c r="D89" s="813">
        <f t="shared" si="18"/>
        <v>0</v>
      </c>
      <c r="E89" s="813">
        <f t="shared" si="19"/>
        <v>722667.31</v>
      </c>
      <c r="F89" s="829">
        <v>1</v>
      </c>
      <c r="G89" s="822">
        <f t="shared" si="21"/>
        <v>722667.31</v>
      </c>
      <c r="H89" s="822">
        <f t="shared" si="22"/>
        <v>0</v>
      </c>
      <c r="I89" s="822">
        <f t="shared" si="23"/>
        <v>722667.31</v>
      </c>
      <c r="J89" s="1183" t="s">
        <v>2411</v>
      </c>
      <c r="K89" s="807"/>
    </row>
    <row r="90" spans="1:11" ht="13">
      <c r="A90" s="110">
        <f t="shared" si="20"/>
        <v>64</v>
      </c>
      <c r="B90" s="574" t="s">
        <v>2311</v>
      </c>
      <c r="C90" s="813">
        <f t="shared" si="17"/>
        <v>16765926.459999997</v>
      </c>
      <c r="D90" s="813">
        <f t="shared" si="18"/>
        <v>37815.19999999999</v>
      </c>
      <c r="E90" s="813">
        <f t="shared" si="19"/>
        <v>16728111.259999998</v>
      </c>
      <c r="F90" s="829">
        <f>'27-Allocators'!$D$36</f>
        <v>0.46941074828250473</v>
      </c>
      <c r="G90" s="822">
        <f t="shared" si="21"/>
        <v>7870106.0852380451</v>
      </c>
      <c r="H90" s="822">
        <f t="shared" si="22"/>
        <v>17750.861328452567</v>
      </c>
      <c r="I90" s="822">
        <f t="shared" si="23"/>
        <v>7852355.2239095923</v>
      </c>
      <c r="J90" s="595" t="s">
        <v>2331</v>
      </c>
      <c r="K90" s="813"/>
    </row>
    <row r="91" spans="1:11" ht="13">
      <c r="A91" s="110">
        <f t="shared" si="20"/>
        <v>65</v>
      </c>
      <c r="B91" s="574" t="s">
        <v>1279</v>
      </c>
      <c r="C91" s="813">
        <f t="shared" si="17"/>
        <v>41012.32</v>
      </c>
      <c r="D91" s="813">
        <f t="shared" si="18"/>
        <v>0</v>
      </c>
      <c r="E91" s="813">
        <f t="shared" si="19"/>
        <v>41012.32</v>
      </c>
      <c r="F91" s="829">
        <v>1</v>
      </c>
      <c r="G91" s="822">
        <f t="shared" si="21"/>
        <v>41012.32</v>
      </c>
      <c r="H91" s="822">
        <f t="shared" si="22"/>
        <v>0</v>
      </c>
      <c r="I91" s="822">
        <f t="shared" si="23"/>
        <v>41012.32</v>
      </c>
      <c r="J91" s="1183" t="s">
        <v>2411</v>
      </c>
      <c r="K91" s="478"/>
    </row>
    <row r="92" spans="1:11" ht="13">
      <c r="A92" s="110">
        <f t="shared" si="20"/>
        <v>66</v>
      </c>
      <c r="B92" s="574" t="s">
        <v>1280</v>
      </c>
      <c r="C92" s="813">
        <f t="shared" si="17"/>
        <v>355202.04000000004</v>
      </c>
      <c r="D92" s="813">
        <f t="shared" si="18"/>
        <v>0</v>
      </c>
      <c r="E92" s="813">
        <f t="shared" si="19"/>
        <v>355202.04000000004</v>
      </c>
      <c r="F92" s="829">
        <v>1</v>
      </c>
      <c r="G92" s="822">
        <f t="shared" ref="G92" si="24">SUM(H92:I92)</f>
        <v>355202.04000000004</v>
      </c>
      <c r="H92" s="822">
        <f t="shared" ref="H92" si="25">D92*F92</f>
        <v>0</v>
      </c>
      <c r="I92" s="822">
        <f t="shared" ref="I92" si="26">E92*F92</f>
        <v>355202.04000000004</v>
      </c>
      <c r="J92" s="1183" t="s">
        <v>2411</v>
      </c>
      <c r="K92" s="478"/>
    </row>
    <row r="93" spans="1:11" ht="13">
      <c r="A93" s="110">
        <f t="shared" si="20"/>
        <v>67</v>
      </c>
      <c r="B93" s="574" t="s">
        <v>2324</v>
      </c>
      <c r="C93" s="813">
        <f t="shared" si="17"/>
        <v>2516505.65</v>
      </c>
      <c r="D93" s="813">
        <f t="shared" si="18"/>
        <v>2220917.7799999998</v>
      </c>
      <c r="E93" s="813">
        <f t="shared" si="19"/>
        <v>295587.87</v>
      </c>
      <c r="F93" s="829">
        <f>'27-Allocators'!$D$48</f>
        <v>0.37705899970050916</v>
      </c>
      <c r="G93" s="822">
        <f t="shared" si="21"/>
        <v>948871.10312967945</v>
      </c>
      <c r="H93" s="822">
        <f t="shared" si="22"/>
        <v>837417.03654387535</v>
      </c>
      <c r="I93" s="822">
        <f t="shared" si="23"/>
        <v>111454.06658580413</v>
      </c>
      <c r="J93" s="595" t="s">
        <v>2330</v>
      </c>
      <c r="K93" s="807"/>
    </row>
    <row r="94" spans="1:11" ht="13">
      <c r="A94" s="110">
        <f t="shared" si="20"/>
        <v>68</v>
      </c>
      <c r="B94" s="574" t="s">
        <v>1281</v>
      </c>
      <c r="C94" s="813">
        <f t="shared" si="17"/>
        <v>181917.18</v>
      </c>
      <c r="D94" s="813">
        <f t="shared" si="18"/>
        <v>0</v>
      </c>
      <c r="E94" s="813">
        <f t="shared" si="19"/>
        <v>181917.18</v>
      </c>
      <c r="F94" s="829">
        <v>1</v>
      </c>
      <c r="G94" s="822">
        <f t="shared" si="21"/>
        <v>181917.18</v>
      </c>
      <c r="H94" s="822">
        <f t="shared" si="22"/>
        <v>0</v>
      </c>
      <c r="I94" s="822">
        <f t="shared" si="23"/>
        <v>181917.18</v>
      </c>
      <c r="J94" s="1183" t="s">
        <v>2411</v>
      </c>
      <c r="K94" s="813"/>
    </row>
    <row r="95" spans="1:11" ht="13">
      <c r="A95" s="110">
        <f t="shared" si="20"/>
        <v>69</v>
      </c>
      <c r="B95" s="574" t="s">
        <v>2325</v>
      </c>
      <c r="C95" s="813">
        <f t="shared" si="17"/>
        <v>3245801.3599999989</v>
      </c>
      <c r="D95" s="813">
        <f t="shared" si="18"/>
        <v>11514.89</v>
      </c>
      <c r="E95" s="813">
        <f t="shared" si="19"/>
        <v>3234286.4699999988</v>
      </c>
      <c r="F95" s="829">
        <f>'27-Allocators'!$D$48</f>
        <v>0.37705899970050916</v>
      </c>
      <c r="G95" s="822">
        <f t="shared" si="21"/>
        <v>1223858.6140281518</v>
      </c>
      <c r="H95" s="822">
        <f t="shared" si="22"/>
        <v>4341.7929050613957</v>
      </c>
      <c r="I95" s="822">
        <f t="shared" si="23"/>
        <v>1219516.8211230903</v>
      </c>
      <c r="J95" s="595" t="s">
        <v>2330</v>
      </c>
      <c r="K95" s="478"/>
    </row>
    <row r="96" spans="1:11" ht="13">
      <c r="A96" s="110">
        <f t="shared" si="20"/>
        <v>70</v>
      </c>
      <c r="B96" s="574" t="s">
        <v>1282</v>
      </c>
      <c r="C96" s="813">
        <f t="shared" si="17"/>
        <v>271140.73</v>
      </c>
      <c r="D96" s="813">
        <f t="shared" si="18"/>
        <v>0</v>
      </c>
      <c r="E96" s="813">
        <f t="shared" si="19"/>
        <v>271140.73</v>
      </c>
      <c r="F96" s="829">
        <v>1</v>
      </c>
      <c r="G96" s="822">
        <f t="shared" si="21"/>
        <v>271140.73</v>
      </c>
      <c r="H96" s="822">
        <f t="shared" si="22"/>
        <v>0</v>
      </c>
      <c r="I96" s="822">
        <f t="shared" si="23"/>
        <v>271140.73</v>
      </c>
      <c r="J96" s="1183" t="s">
        <v>2411</v>
      </c>
      <c r="K96" s="478"/>
    </row>
    <row r="97" spans="1:12" ht="13">
      <c r="A97" s="110">
        <f t="shared" si="20"/>
        <v>71</v>
      </c>
      <c r="B97" s="574" t="s">
        <v>2326</v>
      </c>
      <c r="C97" s="813">
        <f t="shared" si="17"/>
        <v>6340851.3300000001</v>
      </c>
      <c r="D97" s="813">
        <f t="shared" si="18"/>
        <v>4448596.33</v>
      </c>
      <c r="E97" s="813">
        <f t="shared" si="19"/>
        <v>1892255</v>
      </c>
      <c r="F97" s="829">
        <f>'27-Allocators'!$D$48</f>
        <v>0.37705899970050916</v>
      </c>
      <c r="G97" s="822">
        <f t="shared" si="21"/>
        <v>2390875.0597394435</v>
      </c>
      <c r="H97" s="822">
        <f t="shared" si="22"/>
        <v>1677383.2822611562</v>
      </c>
      <c r="I97" s="822">
        <f t="shared" si="23"/>
        <v>713491.777478287</v>
      </c>
      <c r="J97" s="595" t="s">
        <v>2330</v>
      </c>
      <c r="K97" s="478"/>
    </row>
    <row r="98" spans="1:12" ht="13">
      <c r="A98" s="110">
        <f t="shared" si="20"/>
        <v>72</v>
      </c>
      <c r="B98" s="574" t="s">
        <v>1283</v>
      </c>
      <c r="C98" s="813">
        <f t="shared" si="17"/>
        <v>1222368.99</v>
      </c>
      <c r="D98" s="813">
        <f t="shared" si="18"/>
        <v>0</v>
      </c>
      <c r="E98" s="813">
        <f t="shared" si="19"/>
        <v>1222368.99</v>
      </c>
      <c r="F98" s="829">
        <v>1</v>
      </c>
      <c r="G98" s="822">
        <f t="shared" si="21"/>
        <v>1222368.99</v>
      </c>
      <c r="H98" s="822">
        <f t="shared" si="22"/>
        <v>0</v>
      </c>
      <c r="I98" s="822">
        <f t="shared" si="23"/>
        <v>1222368.99</v>
      </c>
      <c r="J98" s="1183" t="s">
        <v>2411</v>
      </c>
      <c r="K98" s="478"/>
    </row>
    <row r="99" spans="1:12" ht="13">
      <c r="A99" s="110">
        <f t="shared" si="20"/>
        <v>73</v>
      </c>
      <c r="B99" s="574" t="s">
        <v>2327</v>
      </c>
      <c r="C99" s="813">
        <f t="shared" si="17"/>
        <v>83956686.159999996</v>
      </c>
      <c r="D99" s="813">
        <f t="shared" si="18"/>
        <v>13426443.490000002</v>
      </c>
      <c r="E99" s="813">
        <f t="shared" si="19"/>
        <v>70530242.670000002</v>
      </c>
      <c r="F99" s="829">
        <f>'27-Allocators'!$D$36</f>
        <v>0.46941074828250473</v>
      </c>
      <c r="G99" s="822">
        <f t="shared" si="21"/>
        <v>39410170.87368501</v>
      </c>
      <c r="H99" s="822">
        <f t="shared" si="22"/>
        <v>6302516.8854136653</v>
      </c>
      <c r="I99" s="822">
        <f t="shared" si="23"/>
        <v>33107653.988271344</v>
      </c>
      <c r="J99" s="595" t="s">
        <v>2331</v>
      </c>
      <c r="K99" s="478"/>
    </row>
    <row r="100" spans="1:12" ht="13">
      <c r="A100" s="110">
        <f t="shared" si="20"/>
        <v>74</v>
      </c>
      <c r="B100" s="574" t="s">
        <v>1284</v>
      </c>
      <c r="C100" s="813">
        <f t="shared" si="17"/>
        <v>310336.59999999998</v>
      </c>
      <c r="D100" s="813">
        <f t="shared" si="18"/>
        <v>0</v>
      </c>
      <c r="E100" s="813">
        <f t="shared" si="19"/>
        <v>310336.59999999998</v>
      </c>
      <c r="F100" s="829">
        <v>1</v>
      </c>
      <c r="G100" s="822">
        <f t="shared" si="21"/>
        <v>310336.59999999998</v>
      </c>
      <c r="H100" s="822">
        <f t="shared" si="22"/>
        <v>0</v>
      </c>
      <c r="I100" s="822">
        <f t="shared" si="23"/>
        <v>310336.59999999998</v>
      </c>
      <c r="J100" s="1183" t="s">
        <v>2411</v>
      </c>
      <c r="K100" s="478"/>
    </row>
    <row r="101" spans="1:12" ht="13">
      <c r="A101" s="110">
        <f t="shared" si="20"/>
        <v>75</v>
      </c>
      <c r="B101" s="574" t="s">
        <v>2328</v>
      </c>
      <c r="C101" s="813">
        <f t="shared" si="17"/>
        <v>1154121.51</v>
      </c>
      <c r="D101" s="813">
        <f t="shared" si="18"/>
        <v>251949.50000000003</v>
      </c>
      <c r="E101" s="813">
        <f t="shared" si="19"/>
        <v>902172.01</v>
      </c>
      <c r="F101" s="829">
        <f>'27-Allocators'!$D$42</f>
        <v>1.2816716950958474E-2</v>
      </c>
      <c r="G101" s="822">
        <f t="shared" si="21"/>
        <v>14792.048720682789</v>
      </c>
      <c r="H101" s="822">
        <f t="shared" si="22"/>
        <v>3229.1654274355124</v>
      </c>
      <c r="I101" s="822">
        <f t="shared" si="23"/>
        <v>11562.883293247278</v>
      </c>
      <c r="J101" s="595" t="s">
        <v>2332</v>
      </c>
      <c r="K101" s="478"/>
    </row>
    <row r="102" spans="1:12" ht="13">
      <c r="A102" s="110">
        <f t="shared" si="20"/>
        <v>76</v>
      </c>
      <c r="B102" s="574" t="s">
        <v>1286</v>
      </c>
      <c r="C102" s="813">
        <f t="shared" si="17"/>
        <v>6805.1</v>
      </c>
      <c r="D102" s="813">
        <f t="shared" si="18"/>
        <v>0</v>
      </c>
      <c r="E102" s="813">
        <f t="shared" si="19"/>
        <v>6805.1</v>
      </c>
      <c r="F102" s="829">
        <v>1</v>
      </c>
      <c r="G102" s="822">
        <f t="shared" si="21"/>
        <v>6805.1</v>
      </c>
      <c r="H102" s="822">
        <f t="shared" si="22"/>
        <v>0</v>
      </c>
      <c r="I102" s="822">
        <f t="shared" si="23"/>
        <v>6805.1</v>
      </c>
      <c r="J102" s="1183" t="s">
        <v>2411</v>
      </c>
      <c r="K102" s="478"/>
    </row>
    <row r="103" spans="1:12" ht="13">
      <c r="A103" s="110">
        <f t="shared" si="20"/>
        <v>77</v>
      </c>
      <c r="B103" s="574" t="s">
        <v>2329</v>
      </c>
      <c r="C103" s="813">
        <f t="shared" si="17"/>
        <v>2238849.4800000004</v>
      </c>
      <c r="D103" s="813">
        <f t="shared" si="18"/>
        <v>1031012.5900000001</v>
      </c>
      <c r="E103" s="813">
        <f t="shared" si="19"/>
        <v>1207836.8900000004</v>
      </c>
      <c r="F103" s="829">
        <f>'27-Allocators'!$D$48</f>
        <v>0.37705899970050916</v>
      </c>
      <c r="G103" s="822">
        <f t="shared" si="21"/>
        <v>844178.34540880518</v>
      </c>
      <c r="H103" s="822">
        <f t="shared" si="22"/>
        <v>388752.57586403121</v>
      </c>
      <c r="I103" s="822">
        <f t="shared" si="23"/>
        <v>455425.76954477403</v>
      </c>
      <c r="J103" s="595" t="s">
        <v>2330</v>
      </c>
      <c r="K103" s="478"/>
    </row>
    <row r="104" spans="1:12" ht="13">
      <c r="A104" s="110">
        <f t="shared" si="20"/>
        <v>78</v>
      </c>
      <c r="B104" s="574" t="s">
        <v>504</v>
      </c>
      <c r="C104" s="1184" t="s">
        <v>76</v>
      </c>
      <c r="D104" s="1184" t="s">
        <v>76</v>
      </c>
      <c r="E104" s="1184" t="s">
        <v>76</v>
      </c>
      <c r="F104" s="1184" t="s">
        <v>76</v>
      </c>
      <c r="G104" s="1184" t="s">
        <v>76</v>
      </c>
      <c r="H104" s="1184" t="s">
        <v>76</v>
      </c>
      <c r="I104" s="1184" t="s">
        <v>76</v>
      </c>
      <c r="J104" s="478"/>
      <c r="K104" s="478"/>
    </row>
    <row r="105" spans="1:12" ht="13">
      <c r="A105" s="110">
        <f t="shared" si="20"/>
        <v>79</v>
      </c>
      <c r="B105" s="574" t="s">
        <v>1997</v>
      </c>
      <c r="C105" s="825">
        <f>J42</f>
        <v>1030906.0778108682</v>
      </c>
      <c r="D105" s="825">
        <f>K42</f>
        <v>1030906.0778108682</v>
      </c>
      <c r="E105" s="825">
        <f>L42</f>
        <v>0</v>
      </c>
      <c r="F105" s="826"/>
      <c r="G105" s="827">
        <f>SUM(H105:I105)</f>
        <v>436433.62251089723</v>
      </c>
      <c r="H105" s="827">
        <f>D105*C149</f>
        <v>436433.62251089723</v>
      </c>
      <c r="I105" s="827">
        <v>0</v>
      </c>
      <c r="J105" s="478"/>
      <c r="K105" s="478"/>
    </row>
    <row r="106" spans="1:12" ht="13">
      <c r="A106" s="110">
        <f t="shared" si="20"/>
        <v>80</v>
      </c>
      <c r="B106" s="428" t="s">
        <v>1301</v>
      </c>
      <c r="C106" s="811">
        <f>SUM(C74:C105)</f>
        <v>249623244.56781083</v>
      </c>
      <c r="D106" s="811">
        <f>SUM(D74:D105)</f>
        <v>93841891.437810853</v>
      </c>
      <c r="E106" s="811">
        <f>SUM(E74:E105)</f>
        <v>155781353.13</v>
      </c>
      <c r="F106" s="828"/>
      <c r="G106" s="811">
        <f>SUM(G74:G105)</f>
        <v>110879588.38578117</v>
      </c>
      <c r="H106" s="811">
        <f>SUM(H74:H105)</f>
        <v>39727922.363643251</v>
      </c>
      <c r="I106" s="811">
        <f>SUM(I74:I105)</f>
        <v>71151666.02213791</v>
      </c>
      <c r="J106" s="478"/>
      <c r="K106" s="789"/>
      <c r="L106" s="478"/>
    </row>
    <row r="107" spans="1:12" ht="13">
      <c r="A107" s="110">
        <f t="shared" si="20"/>
        <v>81</v>
      </c>
      <c r="B107" s="500"/>
      <c r="C107" s="576"/>
      <c r="D107" s="576"/>
      <c r="E107" s="576"/>
      <c r="F107" s="828"/>
      <c r="G107" s="829"/>
      <c r="H107" s="822"/>
      <c r="I107" s="822"/>
      <c r="J107" s="822"/>
      <c r="K107" s="789"/>
    </row>
    <row r="108" spans="1:12" ht="13">
      <c r="A108" s="110"/>
      <c r="B108" s="428"/>
      <c r="C108" s="436"/>
      <c r="D108" s="436"/>
      <c r="E108" s="436"/>
      <c r="F108" s="437"/>
      <c r="G108" s="438"/>
      <c r="H108" s="436"/>
      <c r="I108" s="436"/>
      <c r="J108" s="436"/>
      <c r="K108" s="478"/>
    </row>
    <row r="109" spans="1:12" ht="13">
      <c r="A109" s="110"/>
      <c r="B109" s="84" t="s">
        <v>358</v>
      </c>
      <c r="C109" s="417" t="s">
        <v>342</v>
      </c>
      <c r="D109" s="417" t="s">
        <v>343</v>
      </c>
      <c r="E109" s="417" t="s">
        <v>344</v>
      </c>
      <c r="F109" s="418" t="s">
        <v>345</v>
      </c>
      <c r="G109" s="417" t="s">
        <v>346</v>
      </c>
      <c r="H109" s="417" t="s">
        <v>347</v>
      </c>
      <c r="I109" s="417" t="s">
        <v>534</v>
      </c>
      <c r="J109" s="885" t="s">
        <v>951</v>
      </c>
      <c r="K109" s="478"/>
    </row>
    <row r="110" spans="1:12" ht="13">
      <c r="A110" s="110"/>
      <c r="C110" s="807" t="s">
        <v>1297</v>
      </c>
      <c r="D110" s="807" t="s">
        <v>1298</v>
      </c>
      <c r="E110" s="807" t="s">
        <v>1299</v>
      </c>
      <c r="F110" s="1181" t="s">
        <v>1171</v>
      </c>
      <c r="G110" s="1180" t="s">
        <v>1259</v>
      </c>
      <c r="H110" s="1182" t="s">
        <v>1656</v>
      </c>
      <c r="I110" s="1182" t="s">
        <v>1657</v>
      </c>
      <c r="J110" s="478"/>
      <c r="K110" s="478"/>
    </row>
    <row r="111" spans="1:12" ht="13">
      <c r="A111" s="110"/>
      <c r="C111" s="807"/>
      <c r="D111" s="807"/>
      <c r="E111" s="807"/>
      <c r="F111" s="818"/>
      <c r="G111" s="819"/>
      <c r="H111" s="500"/>
      <c r="I111" s="500"/>
      <c r="J111" s="807"/>
      <c r="K111" s="478"/>
    </row>
    <row r="112" spans="1:12" ht="13">
      <c r="A112" s="110"/>
      <c r="B112" s="1478" t="s">
        <v>1263</v>
      </c>
      <c r="C112" s="1479" t="s">
        <v>1266</v>
      </c>
      <c r="D112" s="1476"/>
      <c r="E112" s="1477"/>
      <c r="F112" s="434" t="s">
        <v>1428</v>
      </c>
      <c r="G112" s="1470" t="s">
        <v>1300</v>
      </c>
      <c r="H112" s="1471"/>
      <c r="I112" s="1472"/>
      <c r="J112" s="886" t="s">
        <v>1723</v>
      </c>
      <c r="K112" s="478"/>
    </row>
    <row r="113" spans="1:11" ht="13">
      <c r="A113" s="110"/>
      <c r="B113" s="1478"/>
      <c r="C113" s="787" t="s">
        <v>196</v>
      </c>
      <c r="D113" s="422" t="s">
        <v>1267</v>
      </c>
      <c r="E113" s="422" t="s">
        <v>1268</v>
      </c>
      <c r="F113" s="434" t="s">
        <v>427</v>
      </c>
      <c r="G113" s="787" t="s">
        <v>196</v>
      </c>
      <c r="H113" s="422" t="s">
        <v>1267</v>
      </c>
      <c r="I113" s="422" t="s">
        <v>1268</v>
      </c>
      <c r="J113" s="842" t="s">
        <v>205</v>
      </c>
      <c r="K113" s="478"/>
    </row>
    <row r="114" spans="1:11" ht="12.75" customHeight="1">
      <c r="A114" s="110"/>
      <c r="B114" s="429" t="s">
        <v>1288</v>
      </c>
      <c r="C114" s="576"/>
      <c r="D114" s="576"/>
      <c r="E114" s="576"/>
      <c r="F114" s="828"/>
      <c r="G114" s="829"/>
      <c r="H114" s="822"/>
      <c r="I114" s="822"/>
      <c r="J114" s="822"/>
      <c r="K114" s="478"/>
    </row>
    <row r="115" spans="1:11" ht="12.75" customHeight="1">
      <c r="A115" s="110">
        <f>A107+1</f>
        <v>82</v>
      </c>
      <c r="B115" s="574" t="s">
        <v>2314</v>
      </c>
      <c r="C115" s="576">
        <f t="shared" ref="C115:E118" si="27">J52</f>
        <v>34054378.589999996</v>
      </c>
      <c r="D115" s="576">
        <f t="shared" si="27"/>
        <v>25926356.369999997</v>
      </c>
      <c r="E115" s="576">
        <f t="shared" si="27"/>
        <v>8128022.2200000016</v>
      </c>
      <c r="F115" s="829">
        <f>'27-Allocators'!$D$54</f>
        <v>0</v>
      </c>
      <c r="G115" s="822">
        <f>SUM(H115:I115)</f>
        <v>0</v>
      </c>
      <c r="H115" s="822">
        <f>D115*F115</f>
        <v>0</v>
      </c>
      <c r="I115" s="822">
        <f>E115*F115</f>
        <v>0</v>
      </c>
      <c r="J115" s="595" t="s">
        <v>2333</v>
      </c>
      <c r="K115" s="478"/>
    </row>
    <row r="116" spans="1:11" ht="12.75" customHeight="1">
      <c r="A116" s="110">
        <f t="shared" ref="A116:A125" si="28">A115+1</f>
        <v>83</v>
      </c>
      <c r="B116" s="574" t="s">
        <v>1289</v>
      </c>
      <c r="C116" s="576">
        <f t="shared" si="27"/>
        <v>2484194.8299999996</v>
      </c>
      <c r="D116" s="576">
        <f t="shared" si="27"/>
        <v>2220718.5499999998</v>
      </c>
      <c r="E116" s="576">
        <f t="shared" si="27"/>
        <v>263476.27999999991</v>
      </c>
      <c r="F116" s="829">
        <f>'27-Allocators'!$D$54</f>
        <v>0</v>
      </c>
      <c r="G116" s="822">
        <f>SUM(H116:I116)</f>
        <v>0</v>
      </c>
      <c r="H116" s="822">
        <f t="shared" ref="H116:H119" si="29">D116*F116</f>
        <v>0</v>
      </c>
      <c r="I116" s="822">
        <f t="shared" ref="I116:I119" si="30">E116*F116</f>
        <v>0</v>
      </c>
      <c r="J116" s="595" t="s">
        <v>2333</v>
      </c>
      <c r="K116" s="478"/>
    </row>
    <row r="117" spans="1:11" ht="12.75" customHeight="1">
      <c r="A117" s="110">
        <f t="shared" si="28"/>
        <v>84</v>
      </c>
      <c r="B117" s="574" t="s">
        <v>1290</v>
      </c>
      <c r="C117" s="576">
        <f t="shared" si="27"/>
        <v>71779.349999999991</v>
      </c>
      <c r="D117" s="576">
        <f t="shared" si="27"/>
        <v>14366.999999999998</v>
      </c>
      <c r="E117" s="576">
        <f t="shared" si="27"/>
        <v>57412.35</v>
      </c>
      <c r="F117" s="829">
        <f>'27-Allocators'!$D$54</f>
        <v>0</v>
      </c>
      <c r="G117" s="822">
        <f t="shared" ref="G117:G119" si="31">SUM(H117:I117)</f>
        <v>0</v>
      </c>
      <c r="H117" s="822">
        <f t="shared" si="29"/>
        <v>0</v>
      </c>
      <c r="I117" s="822">
        <f t="shared" si="30"/>
        <v>0</v>
      </c>
      <c r="J117" s="595" t="s">
        <v>2333</v>
      </c>
      <c r="K117" s="478"/>
    </row>
    <row r="118" spans="1:11" ht="12.75" customHeight="1">
      <c r="A118" s="110">
        <f t="shared" si="28"/>
        <v>85</v>
      </c>
      <c r="B118" s="574" t="s">
        <v>2315</v>
      </c>
      <c r="C118" s="576">
        <f t="shared" si="27"/>
        <v>7317361.4299999997</v>
      </c>
      <c r="D118" s="576">
        <f t="shared" si="27"/>
        <v>4047089.31</v>
      </c>
      <c r="E118" s="576">
        <f t="shared" si="27"/>
        <v>3270272.12</v>
      </c>
      <c r="F118" s="829">
        <f>'27-Allocators'!$D$54</f>
        <v>0</v>
      </c>
      <c r="G118" s="822">
        <f t="shared" si="31"/>
        <v>0</v>
      </c>
      <c r="H118" s="822">
        <f t="shared" si="29"/>
        <v>0</v>
      </c>
      <c r="I118" s="822">
        <f t="shared" si="30"/>
        <v>0</v>
      </c>
      <c r="J118" s="595" t="s">
        <v>2333</v>
      </c>
      <c r="K118" s="478"/>
    </row>
    <row r="119" spans="1:11" ht="12.75" customHeight="1">
      <c r="A119" s="1154">
        <f t="shared" si="28"/>
        <v>86</v>
      </c>
      <c r="B119" s="830" t="s">
        <v>1291</v>
      </c>
      <c r="C119" s="831">
        <f t="shared" ref="C119:E120" si="32">J56</f>
        <v>917949343.25999904</v>
      </c>
      <c r="D119" s="1153">
        <f t="shared" si="32"/>
        <v>256357063.96000004</v>
      </c>
      <c r="E119" s="1153">
        <f t="shared" si="32"/>
        <v>661592279.299999</v>
      </c>
      <c r="F119" s="1155">
        <v>0</v>
      </c>
      <c r="G119" s="822">
        <f t="shared" si="31"/>
        <v>0</v>
      </c>
      <c r="H119" s="822">
        <f t="shared" si="29"/>
        <v>0</v>
      </c>
      <c r="I119" s="822">
        <f t="shared" si="30"/>
        <v>0</v>
      </c>
      <c r="J119" s="1185" t="s">
        <v>2412</v>
      </c>
      <c r="K119" s="478"/>
    </row>
    <row r="120" spans="1:11" ht="12.75" customHeight="1">
      <c r="A120" s="110">
        <f t="shared" si="28"/>
        <v>87</v>
      </c>
      <c r="B120" s="574" t="s">
        <v>1998</v>
      </c>
      <c r="C120" s="816">
        <f t="shared" si="32"/>
        <v>3208449.9221891318</v>
      </c>
      <c r="D120" s="816">
        <f t="shared" si="32"/>
        <v>3208449.9221891318</v>
      </c>
      <c r="E120" s="816">
        <f t="shared" si="32"/>
        <v>0</v>
      </c>
      <c r="F120" s="1156">
        <v>0</v>
      </c>
      <c r="G120" s="827">
        <f>SUM(H120:I120)</f>
        <v>0</v>
      </c>
      <c r="H120" s="827">
        <f>D120*F120</f>
        <v>0</v>
      </c>
      <c r="I120" s="827">
        <f>E120*F120</f>
        <v>0</v>
      </c>
      <c r="J120" s="887" t="s">
        <v>2412</v>
      </c>
      <c r="K120" s="478"/>
    </row>
    <row r="121" spans="1:11" ht="13">
      <c r="A121" s="110">
        <f t="shared" si="28"/>
        <v>88</v>
      </c>
      <c r="B121" s="428" t="s">
        <v>1302</v>
      </c>
      <c r="C121" s="576">
        <f>SUM(C115:C120)</f>
        <v>965085507.3821882</v>
      </c>
      <c r="D121" s="576">
        <f>SUM(D115:D120)</f>
        <v>291774045.11218917</v>
      </c>
      <c r="E121" s="576">
        <f>SUM(E115:E120)</f>
        <v>673311462.26999903</v>
      </c>
      <c r="F121" s="437"/>
      <c r="G121" s="811">
        <f>SUM(G115:G120)</f>
        <v>0</v>
      </c>
      <c r="H121" s="811">
        <f>SUM(H115:H120)</f>
        <v>0</v>
      </c>
      <c r="I121" s="811">
        <f>SUM(I115:I120)</f>
        <v>0</v>
      </c>
      <c r="J121" s="478"/>
      <c r="K121" s="478"/>
    </row>
    <row r="122" spans="1:11" ht="13">
      <c r="A122" s="110">
        <f t="shared" si="28"/>
        <v>89</v>
      </c>
      <c r="B122" s="428"/>
      <c r="C122" s="576"/>
      <c r="D122" s="576"/>
      <c r="E122" s="576"/>
      <c r="F122" s="437"/>
      <c r="G122" s="811"/>
      <c r="H122" s="808"/>
      <c r="I122" s="439"/>
      <c r="J122" s="478"/>
      <c r="K122" s="478"/>
    </row>
    <row r="123" spans="1:11" ht="13">
      <c r="A123" s="110">
        <f t="shared" si="28"/>
        <v>90</v>
      </c>
      <c r="B123" s="807"/>
      <c r="C123" s="813"/>
      <c r="D123" s="813"/>
      <c r="E123" s="813"/>
      <c r="F123" s="828"/>
      <c r="G123" s="822"/>
      <c r="H123" s="822"/>
      <c r="I123" s="822"/>
    </row>
    <row r="124" spans="1:11" ht="13">
      <c r="A124" s="110">
        <f t="shared" si="28"/>
        <v>91</v>
      </c>
      <c r="B124" s="428" t="s">
        <v>1659</v>
      </c>
      <c r="C124" s="813">
        <f>+C106+C121</f>
        <v>1214708751.9499991</v>
      </c>
      <c r="D124" s="813">
        <f>+D106+D121</f>
        <v>385615936.55000001</v>
      </c>
      <c r="E124" s="813">
        <f>+E106+E121</f>
        <v>829092815.39999902</v>
      </c>
      <c r="F124" s="426"/>
      <c r="G124" s="822">
        <f>+G106+G121</f>
        <v>110879588.38578117</v>
      </c>
      <c r="H124" s="813">
        <f>+H106+H121</f>
        <v>39727922.363643251</v>
      </c>
      <c r="I124" s="813">
        <f>+I106+I121</f>
        <v>71151666.02213791</v>
      </c>
    </row>
    <row r="125" spans="1:11" ht="13">
      <c r="A125" s="110">
        <f t="shared" si="28"/>
        <v>92</v>
      </c>
      <c r="B125" s="478" t="str">
        <f>"Line "&amp;A106&amp;" +  Line "&amp;A121&amp;""</f>
        <v>Line 80 +  Line 88</v>
      </c>
    </row>
    <row r="126" spans="1:11">
      <c r="A126" s="478"/>
    </row>
    <row r="127" spans="1:11" ht="13">
      <c r="A127" s="478"/>
      <c r="B127" s="440" t="s">
        <v>230</v>
      </c>
    </row>
    <row r="128" spans="1:11">
      <c r="A128" s="478"/>
      <c r="B128" s="833" t="s">
        <v>1303</v>
      </c>
      <c r="G128" s="834"/>
      <c r="H128" s="835"/>
      <c r="I128" s="835"/>
      <c r="J128" s="478"/>
      <c r="K128" s="478"/>
    </row>
    <row r="129" spans="1:12">
      <c r="A129" s="478"/>
      <c r="B129" s="836" t="s">
        <v>1304</v>
      </c>
      <c r="G129" s="834"/>
      <c r="H129" s="835"/>
      <c r="I129" s="835"/>
      <c r="J129" s="478"/>
      <c r="K129" s="478"/>
    </row>
    <row r="130" spans="1:12">
      <c r="A130" s="478"/>
      <c r="B130" s="837" t="s">
        <v>1305</v>
      </c>
      <c r="G130" s="834"/>
      <c r="H130" s="835"/>
      <c r="I130" s="835"/>
      <c r="J130" s="478"/>
      <c r="K130" s="478"/>
    </row>
    <row r="131" spans="1:12">
      <c r="A131" s="478"/>
      <c r="B131" s="578" t="s">
        <v>1306</v>
      </c>
      <c r="G131" s="834"/>
      <c r="H131" s="835"/>
      <c r="I131" s="835"/>
      <c r="J131" s="478"/>
      <c r="K131" s="478"/>
    </row>
    <row r="132" spans="1:12">
      <c r="A132" s="478"/>
      <c r="B132" s="578" t="s">
        <v>1307</v>
      </c>
      <c r="G132" s="834"/>
      <c r="H132" s="835"/>
      <c r="I132" s="835"/>
      <c r="J132" s="478"/>
      <c r="K132" s="478"/>
    </row>
    <row r="133" spans="1:12">
      <c r="A133" s="478"/>
      <c r="B133" s="578" t="s">
        <v>1308</v>
      </c>
      <c r="G133" s="834"/>
      <c r="H133" s="835"/>
      <c r="I133" s="835"/>
      <c r="J133" s="478"/>
      <c r="K133" s="478"/>
    </row>
    <row r="134" spans="1:12">
      <c r="A134" s="478"/>
      <c r="B134" s="888" t="s">
        <v>2176</v>
      </c>
      <c r="G134" s="834"/>
      <c r="H134" s="835"/>
      <c r="I134" s="835"/>
      <c r="J134" s="478"/>
      <c r="K134" s="478"/>
    </row>
    <row r="135" spans="1:12">
      <c r="A135" s="478"/>
      <c r="B135" s="578" t="s">
        <v>2268</v>
      </c>
      <c r="G135" s="834"/>
      <c r="H135" s="835"/>
      <c r="I135" s="835"/>
      <c r="J135" s="478"/>
      <c r="K135" s="478"/>
    </row>
    <row r="136" spans="1:12">
      <c r="A136" s="478"/>
      <c r="B136" s="578" t="s">
        <v>2269</v>
      </c>
      <c r="G136" s="834"/>
      <c r="H136" s="835"/>
      <c r="I136" s="835"/>
      <c r="J136" s="478"/>
      <c r="K136" s="478"/>
    </row>
    <row r="137" spans="1:12">
      <c r="A137" s="478"/>
      <c r="B137" s="1450"/>
      <c r="C137" s="970"/>
      <c r="D137" s="970"/>
      <c r="E137" s="798"/>
      <c r="F137" s="1451"/>
      <c r="G137" s="1452"/>
      <c r="H137" s="1453"/>
      <c r="I137" s="1453"/>
      <c r="J137" s="798"/>
      <c r="K137" s="478"/>
      <c r="L137" s="478"/>
    </row>
    <row r="138" spans="1:12">
      <c r="A138" s="478"/>
      <c r="B138" s="478" t="s">
        <v>2008</v>
      </c>
      <c r="G138" s="834"/>
      <c r="H138" s="835"/>
      <c r="I138" s="835"/>
      <c r="J138" s="478"/>
      <c r="K138" s="478"/>
    </row>
    <row r="139" spans="1:12">
      <c r="A139" s="478"/>
      <c r="B139" s="478" t="s">
        <v>1999</v>
      </c>
      <c r="G139" s="834"/>
      <c r="H139" s="835"/>
      <c r="I139" s="835"/>
      <c r="J139" s="478"/>
      <c r="K139" s="478"/>
    </row>
    <row r="140" spans="1:12">
      <c r="A140" s="478"/>
      <c r="G140" s="834"/>
      <c r="H140" s="835"/>
      <c r="I140" s="835"/>
      <c r="J140" s="478"/>
      <c r="K140" s="478"/>
    </row>
    <row r="141" spans="1:12">
      <c r="A141" s="478"/>
      <c r="B141" s="889" t="s">
        <v>2000</v>
      </c>
      <c r="C141" s="798">
        <v>47</v>
      </c>
      <c r="G141" s="834"/>
      <c r="H141" s="835"/>
      <c r="I141" s="835"/>
      <c r="J141" s="478"/>
      <c r="K141" s="478"/>
    </row>
    <row r="142" spans="1:12">
      <c r="A142" s="478"/>
      <c r="G142" s="834"/>
      <c r="H142" s="835"/>
      <c r="I142" s="835"/>
      <c r="J142" s="478"/>
      <c r="K142" s="478"/>
    </row>
    <row r="143" spans="1:12" ht="13">
      <c r="A143" s="478"/>
      <c r="B143" s="838"/>
      <c r="C143" s="459" t="s">
        <v>1429</v>
      </c>
      <c r="D143" s="459" t="s">
        <v>154</v>
      </c>
      <c r="G143" s="834"/>
      <c r="H143" s="835"/>
      <c r="I143" s="835"/>
      <c r="J143" s="478"/>
      <c r="K143" s="478"/>
    </row>
    <row r="144" spans="1:12">
      <c r="A144" s="478"/>
      <c r="B144" s="838" t="s">
        <v>2001</v>
      </c>
      <c r="C144" s="839">
        <f>D43/D60</f>
        <v>0.24317516099399725</v>
      </c>
      <c r="D144" s="838" t="str">
        <f>"Line "&amp;A43&amp;", Col 3 / Line "&amp;A60&amp;", Col 3"</f>
        <v>Line 33, Col 3 / Line 43, Col 3</v>
      </c>
      <c r="G144" s="834"/>
      <c r="H144" s="835"/>
      <c r="I144" s="835"/>
      <c r="J144" s="478"/>
      <c r="K144" s="478"/>
    </row>
    <row r="145" spans="1:11">
      <c r="A145" s="478"/>
      <c r="B145" s="838" t="s">
        <v>2002</v>
      </c>
      <c r="C145" s="839">
        <f>D58/D60</f>
        <v>0.75682483900600273</v>
      </c>
      <c r="D145" s="838" t="str">
        <f>"Line "&amp;A58&amp;", Col 3 / Line "&amp;A60&amp;", Col 3"</f>
        <v>Line 41, Col 3 / Line 43, Col 3</v>
      </c>
      <c r="G145" s="834"/>
      <c r="H145" s="835"/>
      <c r="I145" s="835"/>
      <c r="J145" s="478"/>
      <c r="K145" s="478"/>
    </row>
    <row r="146" spans="1:11">
      <c r="A146" s="478"/>
      <c r="G146" s="834"/>
      <c r="H146" s="835"/>
      <c r="I146" s="835"/>
      <c r="J146" s="478"/>
      <c r="K146" s="478"/>
    </row>
    <row r="147" spans="1:11">
      <c r="A147" s="478"/>
      <c r="B147" s="478" t="s">
        <v>2003</v>
      </c>
      <c r="G147" s="834"/>
      <c r="H147" s="835"/>
      <c r="I147" s="835"/>
      <c r="J147" s="478"/>
      <c r="K147" s="478"/>
    </row>
    <row r="148" spans="1:11">
      <c r="A148" s="478"/>
      <c r="B148" s="478" t="s">
        <v>2004</v>
      </c>
      <c r="G148" s="834"/>
      <c r="H148" s="835"/>
      <c r="I148" s="835"/>
      <c r="J148" s="478"/>
      <c r="K148" s="478"/>
    </row>
    <row r="149" spans="1:11">
      <c r="A149" s="478"/>
      <c r="B149" s="478" t="s">
        <v>1722</v>
      </c>
      <c r="C149" s="890">
        <f>(SUM(H74:H103)/SUM(D74:D103))</f>
        <v>0.42334954842604594</v>
      </c>
      <c r="G149" s="834"/>
      <c r="H149" s="835"/>
      <c r="I149" s="835"/>
      <c r="J149" s="478"/>
      <c r="K149" s="478"/>
    </row>
    <row r="150" spans="1:11">
      <c r="A150" s="478"/>
      <c r="B150" s="478" t="s">
        <v>1658</v>
      </c>
      <c r="G150" s="834"/>
      <c r="H150" s="835"/>
      <c r="I150" s="835"/>
      <c r="J150" s="478"/>
      <c r="K150" s="478"/>
    </row>
    <row r="151" spans="1:11">
      <c r="A151" s="478"/>
      <c r="B151" s="478" t="s">
        <v>2413</v>
      </c>
      <c r="G151" s="834"/>
      <c r="H151" s="835"/>
      <c r="I151" s="835"/>
      <c r="J151" s="478"/>
      <c r="K151" s="478"/>
    </row>
    <row r="152" spans="1:11">
      <c r="A152" s="478"/>
      <c r="B152" s="478" t="s">
        <v>1806</v>
      </c>
      <c r="G152" s="834"/>
      <c r="H152" s="835"/>
      <c r="I152" s="835"/>
      <c r="J152" s="478"/>
      <c r="K152" s="478"/>
    </row>
    <row r="153" spans="1:11">
      <c r="A153" s="478"/>
      <c r="B153" s="478"/>
      <c r="G153" s="834"/>
      <c r="H153" s="835"/>
      <c r="I153" s="835"/>
      <c r="J153" s="478"/>
      <c r="K153" s="478"/>
    </row>
    <row r="154" spans="1:11">
      <c r="A154" s="478"/>
    </row>
    <row r="155" spans="1:11">
      <c r="A155" s="478"/>
    </row>
  </sheetData>
  <mergeCells count="14">
    <mergeCell ref="J8:L8"/>
    <mergeCell ref="B49:B50"/>
    <mergeCell ref="C49:E49"/>
    <mergeCell ref="G49:I49"/>
    <mergeCell ref="J49:L49"/>
    <mergeCell ref="G112:I112"/>
    <mergeCell ref="G71:I71"/>
    <mergeCell ref="B8:B9"/>
    <mergeCell ref="C8:E8"/>
    <mergeCell ref="G8:I8"/>
    <mergeCell ref="B71:B72"/>
    <mergeCell ref="C71:E71"/>
    <mergeCell ref="B112:B113"/>
    <mergeCell ref="C112:E112"/>
  </mergeCells>
  <pageMargins left="0.7" right="0.7" top="0.75" bottom="0.75" header="0.3" footer="0.3"/>
  <pageSetup scale="60" orientation="landscape" cellComments="asDisplayed" r:id="rId1"/>
  <headerFooter>
    <oddHeader>&amp;CSchedule 19
Operations and Maintenance
&amp;RTO2021 Draft Annual Update 
Attachment 1</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10"/>
  <sheetViews>
    <sheetView zoomScaleNormal="100" workbookViewId="0"/>
  </sheetViews>
  <sheetFormatPr defaultRowHeight="12.5"/>
  <cols>
    <col min="1" max="1" width="4.54296875" customWidth="1"/>
    <col min="2" max="2" width="2.54296875" customWidth="1"/>
    <col min="3" max="3" width="8.54296875" customWidth="1"/>
    <col min="4" max="4" width="32.54296875" customWidth="1"/>
    <col min="5" max="5" width="14.54296875" customWidth="1"/>
    <col min="6" max="6" width="15.54296875" customWidth="1"/>
    <col min="7" max="8" width="14.54296875" customWidth="1"/>
    <col min="9" max="9" width="20" customWidth="1"/>
    <col min="10" max="10" width="15.54296875" customWidth="1"/>
    <col min="11" max="11" width="11" bestFit="1" customWidth="1"/>
  </cols>
  <sheetData>
    <row r="1" spans="1:24" ht="13">
      <c r="A1" s="1" t="s">
        <v>280</v>
      </c>
      <c r="F1" s="43" t="s">
        <v>17</v>
      </c>
      <c r="G1" s="97"/>
      <c r="H1" s="61"/>
      <c r="I1" s="61"/>
    </row>
    <row r="2" spans="1:24" ht="13">
      <c r="E2" s="84" t="s">
        <v>358</v>
      </c>
      <c r="F2" s="84" t="s">
        <v>342</v>
      </c>
      <c r="G2" s="84" t="s">
        <v>343</v>
      </c>
      <c r="H2" s="84" t="s">
        <v>344</v>
      </c>
      <c r="I2" s="61"/>
    </row>
    <row r="3" spans="1:24">
      <c r="G3" s="61" t="s">
        <v>212</v>
      </c>
    </row>
    <row r="4" spans="1:24" ht="13">
      <c r="E4" s="2" t="s">
        <v>476</v>
      </c>
      <c r="F4" s="26" t="s">
        <v>194</v>
      </c>
      <c r="G4" s="2" t="s">
        <v>1368</v>
      </c>
      <c r="I4" s="2"/>
    </row>
    <row r="5" spans="1:24" ht="13">
      <c r="A5" s="53" t="s">
        <v>319</v>
      </c>
      <c r="B5" s="3"/>
      <c r="C5" s="3" t="s">
        <v>115</v>
      </c>
      <c r="D5" s="3" t="s">
        <v>100</v>
      </c>
      <c r="E5" s="3" t="s">
        <v>175</v>
      </c>
      <c r="F5" s="25" t="s">
        <v>179</v>
      </c>
      <c r="G5" s="3" t="s">
        <v>116</v>
      </c>
      <c r="H5" s="3" t="s">
        <v>264</v>
      </c>
      <c r="I5" s="3" t="s">
        <v>168</v>
      </c>
      <c r="K5" s="3"/>
      <c r="L5" s="3"/>
      <c r="M5" s="3"/>
      <c r="N5" s="3"/>
      <c r="O5" s="3"/>
      <c r="P5" s="3"/>
      <c r="Q5" s="3"/>
      <c r="R5" s="3"/>
      <c r="S5" s="3"/>
      <c r="T5" s="3"/>
      <c r="U5" s="3"/>
      <c r="V5" s="3"/>
      <c r="W5" s="3"/>
      <c r="X5" s="3"/>
    </row>
    <row r="6" spans="1:24" ht="13">
      <c r="A6" s="2">
        <v>1</v>
      </c>
      <c r="C6" s="61">
        <v>920</v>
      </c>
      <c r="D6" t="s">
        <v>102</v>
      </c>
      <c r="E6" s="80">
        <v>413850310</v>
      </c>
      <c r="F6" s="61" t="s">
        <v>117</v>
      </c>
      <c r="G6" s="63">
        <f>D37</f>
        <v>217707286.55525932</v>
      </c>
      <c r="H6" s="7">
        <f t="shared" ref="H6:H19" si="0">E6-G6</f>
        <v>196143023.44474068</v>
      </c>
      <c r="J6" s="467"/>
    </row>
    <row r="7" spans="1:24" ht="13">
      <c r="A7" s="2">
        <f>A6+1</f>
        <v>2</v>
      </c>
      <c r="C7" s="61">
        <v>921</v>
      </c>
      <c r="D7" t="s">
        <v>103</v>
      </c>
      <c r="E7" s="80">
        <v>250234425</v>
      </c>
      <c r="F7" s="61" t="s">
        <v>118</v>
      </c>
      <c r="G7" s="63">
        <f t="shared" ref="G7:G19" si="1">D38</f>
        <v>2351967.084740696</v>
      </c>
      <c r="H7" s="7">
        <f t="shared" si="0"/>
        <v>247882457.9152593</v>
      </c>
      <c r="J7" s="467"/>
    </row>
    <row r="8" spans="1:24" ht="13">
      <c r="A8" s="2">
        <f>A7+1</f>
        <v>3</v>
      </c>
      <c r="C8" s="61">
        <v>922</v>
      </c>
      <c r="D8" t="s">
        <v>104</v>
      </c>
      <c r="E8" s="80">
        <v>-225318190</v>
      </c>
      <c r="F8" s="61" t="s">
        <v>119</v>
      </c>
      <c r="G8" s="63">
        <f t="shared" si="1"/>
        <v>-77722052.712449998</v>
      </c>
      <c r="H8" s="7">
        <f t="shared" si="0"/>
        <v>-147596137.28755</v>
      </c>
      <c r="I8" s="845" t="s">
        <v>1746</v>
      </c>
      <c r="J8" s="467"/>
    </row>
    <row r="9" spans="1:24" ht="13">
      <c r="A9" s="2">
        <f t="shared" ref="A9:A20" si="2">A8+1</f>
        <v>4</v>
      </c>
      <c r="B9" s="2"/>
      <c r="C9" s="61">
        <v>923</v>
      </c>
      <c r="D9" t="s">
        <v>105</v>
      </c>
      <c r="E9" s="80">
        <v>59887693</v>
      </c>
      <c r="F9" s="61" t="s">
        <v>120</v>
      </c>
      <c r="G9" s="63">
        <f t="shared" si="1"/>
        <v>8182300.7945344541</v>
      </c>
      <c r="H9" s="7">
        <f t="shared" si="0"/>
        <v>51705392.205465548</v>
      </c>
      <c r="J9" s="467"/>
    </row>
    <row r="10" spans="1:24" ht="13">
      <c r="A10" s="2">
        <f t="shared" si="2"/>
        <v>5</v>
      </c>
      <c r="B10" s="2"/>
      <c r="C10" s="61">
        <v>924</v>
      </c>
      <c r="D10" t="s">
        <v>106</v>
      </c>
      <c r="E10" s="80">
        <v>15607270</v>
      </c>
      <c r="F10" s="61" t="s">
        <v>121</v>
      </c>
      <c r="G10" s="63">
        <f t="shared" si="1"/>
        <v>0</v>
      </c>
      <c r="H10" s="7">
        <f t="shared" si="0"/>
        <v>15607270</v>
      </c>
      <c r="J10" s="467"/>
    </row>
    <row r="11" spans="1:24" ht="13">
      <c r="A11" s="2">
        <f t="shared" si="2"/>
        <v>6</v>
      </c>
      <c r="B11" s="2"/>
      <c r="C11" s="61">
        <v>925</v>
      </c>
      <c r="D11" t="s">
        <v>107</v>
      </c>
      <c r="E11" s="80">
        <v>902073996</v>
      </c>
      <c r="F11" s="61" t="s">
        <v>122</v>
      </c>
      <c r="G11" s="63">
        <f t="shared" si="1"/>
        <v>168752277.52000001</v>
      </c>
      <c r="H11" s="7">
        <f t="shared" si="0"/>
        <v>733321718.48000002</v>
      </c>
      <c r="J11" s="467"/>
    </row>
    <row r="12" spans="1:24" ht="13">
      <c r="A12" s="2">
        <f t="shared" si="2"/>
        <v>7</v>
      </c>
      <c r="B12" s="2"/>
      <c r="C12" s="61">
        <v>926</v>
      </c>
      <c r="D12" t="s">
        <v>108</v>
      </c>
      <c r="E12" s="80">
        <v>82906034</v>
      </c>
      <c r="F12" s="61" t="s">
        <v>123</v>
      </c>
      <c r="G12" s="63">
        <f t="shared" si="1"/>
        <v>2203319.4670550339</v>
      </c>
      <c r="H12" s="7">
        <f t="shared" si="0"/>
        <v>80702714.532944962</v>
      </c>
      <c r="J12" s="467"/>
    </row>
    <row r="13" spans="1:24" ht="13">
      <c r="A13" s="2">
        <f t="shared" si="2"/>
        <v>8</v>
      </c>
      <c r="B13" s="2"/>
      <c r="C13" s="61">
        <v>927</v>
      </c>
      <c r="D13" t="s">
        <v>109</v>
      </c>
      <c r="E13" s="80">
        <v>104335318</v>
      </c>
      <c r="F13" s="61" t="s">
        <v>124</v>
      </c>
      <c r="G13" s="63">
        <f t="shared" si="1"/>
        <v>104335318</v>
      </c>
      <c r="H13" s="7">
        <f t="shared" si="0"/>
        <v>0</v>
      </c>
      <c r="J13" s="467"/>
    </row>
    <row r="14" spans="1:24" ht="13">
      <c r="A14" s="2">
        <f t="shared" si="2"/>
        <v>9</v>
      </c>
      <c r="B14" s="2"/>
      <c r="C14" s="61">
        <v>928</v>
      </c>
      <c r="D14" s="12" t="s">
        <v>110</v>
      </c>
      <c r="E14" s="80">
        <v>11713250</v>
      </c>
      <c r="F14" s="61" t="s">
        <v>125</v>
      </c>
      <c r="G14" s="63">
        <f t="shared" si="1"/>
        <v>9979027.6099999994</v>
      </c>
      <c r="H14" s="7">
        <f t="shared" si="0"/>
        <v>1734222.3900000006</v>
      </c>
      <c r="J14" s="467"/>
    </row>
    <row r="15" spans="1:24" ht="13">
      <c r="A15" s="2">
        <f t="shared" si="2"/>
        <v>10</v>
      </c>
      <c r="B15" s="2"/>
      <c r="C15" s="61">
        <v>929</v>
      </c>
      <c r="D15" t="s">
        <v>111</v>
      </c>
      <c r="E15" s="80">
        <v>0</v>
      </c>
      <c r="F15" s="61" t="s">
        <v>126</v>
      </c>
      <c r="G15" s="63">
        <f t="shared" si="1"/>
        <v>0</v>
      </c>
      <c r="H15" s="7">
        <f t="shared" si="0"/>
        <v>0</v>
      </c>
      <c r="J15" s="467"/>
    </row>
    <row r="16" spans="1:24" ht="13">
      <c r="A16" s="2">
        <f t="shared" si="2"/>
        <v>11</v>
      </c>
      <c r="B16" s="2"/>
      <c r="C16" s="61">
        <v>930.1</v>
      </c>
      <c r="D16" t="s">
        <v>112</v>
      </c>
      <c r="E16" s="80">
        <v>11245961</v>
      </c>
      <c r="F16" s="61" t="s">
        <v>127</v>
      </c>
      <c r="G16" s="63">
        <f t="shared" si="1"/>
        <v>4498348</v>
      </c>
      <c r="H16" s="7">
        <f t="shared" si="0"/>
        <v>6747613</v>
      </c>
      <c r="J16" s="467"/>
    </row>
    <row r="17" spans="1:11" ht="13">
      <c r="A17" s="2">
        <f t="shared" si="2"/>
        <v>12</v>
      </c>
      <c r="B17" s="2"/>
      <c r="C17" s="61">
        <v>930.2</v>
      </c>
      <c r="D17" t="s">
        <v>88</v>
      </c>
      <c r="E17" s="80">
        <v>14071912</v>
      </c>
      <c r="F17" s="61" t="s">
        <v>128</v>
      </c>
      <c r="G17" s="63">
        <f t="shared" si="1"/>
        <v>5984741</v>
      </c>
      <c r="H17" s="7">
        <f t="shared" si="0"/>
        <v>8087171</v>
      </c>
      <c r="J17" s="467"/>
    </row>
    <row r="18" spans="1:11" ht="13">
      <c r="A18" s="2">
        <f t="shared" si="2"/>
        <v>13</v>
      </c>
      <c r="B18" s="2"/>
      <c r="C18" s="61">
        <v>931</v>
      </c>
      <c r="D18" t="s">
        <v>113</v>
      </c>
      <c r="E18" s="80">
        <v>8581490</v>
      </c>
      <c r="F18" s="61" t="s">
        <v>129</v>
      </c>
      <c r="G18" s="63">
        <f t="shared" si="1"/>
        <v>12016812.699999999</v>
      </c>
      <c r="H18" s="7">
        <f t="shared" si="0"/>
        <v>-3435322.6999999993</v>
      </c>
      <c r="J18" s="467"/>
    </row>
    <row r="19" spans="1:11" ht="13">
      <c r="A19" s="2">
        <f t="shared" si="2"/>
        <v>14</v>
      </c>
      <c r="B19" s="2"/>
      <c r="C19" s="61">
        <v>935</v>
      </c>
      <c r="D19" t="s">
        <v>114</v>
      </c>
      <c r="E19" s="1066">
        <v>26158179</v>
      </c>
      <c r="F19" s="61" t="s">
        <v>130</v>
      </c>
      <c r="G19" s="63">
        <f t="shared" si="1"/>
        <v>811671.73</v>
      </c>
      <c r="H19" s="91">
        <f t="shared" si="0"/>
        <v>25346507.27</v>
      </c>
      <c r="J19" s="467"/>
    </row>
    <row r="20" spans="1:11" ht="13">
      <c r="A20" s="2">
        <f t="shared" si="2"/>
        <v>15</v>
      </c>
      <c r="E20" s="7">
        <f>SUM(E6:E19)</f>
        <v>1675347648</v>
      </c>
      <c r="G20" s="37" t="s">
        <v>131</v>
      </c>
      <c r="H20" s="101">
        <f>SUM(H6:H19)</f>
        <v>1216246630.2508605</v>
      </c>
    </row>
    <row r="22" spans="1:11" ht="13">
      <c r="F22" s="3" t="s">
        <v>175</v>
      </c>
      <c r="G22" s="3" t="s">
        <v>179</v>
      </c>
    </row>
    <row r="23" spans="1:11" ht="13">
      <c r="A23" s="2">
        <f>A20+1</f>
        <v>16</v>
      </c>
      <c r="E23" s="849" t="s">
        <v>1984</v>
      </c>
      <c r="F23" s="63">
        <f>H20</f>
        <v>1216246630.2508605</v>
      </c>
      <c r="G23" s="46" t="str">
        <f>"Line "&amp;A20&amp;""</f>
        <v>Line 15</v>
      </c>
      <c r="H23" s="14"/>
      <c r="I23" s="14"/>
      <c r="J23" s="14"/>
      <c r="K23" s="14"/>
    </row>
    <row r="24" spans="1:11" ht="13">
      <c r="A24" s="2">
        <f t="shared" ref="A24:A30" si="3">A23+1</f>
        <v>17</v>
      </c>
      <c r="E24" s="357" t="s">
        <v>292</v>
      </c>
      <c r="F24" s="111">
        <f>E10</f>
        <v>15607270</v>
      </c>
      <c r="G24" s="46" t="str">
        <f>"Line "&amp;A10&amp;""</f>
        <v>Line 5</v>
      </c>
      <c r="H24" s="14"/>
      <c r="I24" s="14"/>
      <c r="J24" s="14"/>
      <c r="K24" s="14"/>
    </row>
    <row r="25" spans="1:11" ht="13">
      <c r="A25" s="2">
        <f t="shared" si="3"/>
        <v>18</v>
      </c>
      <c r="E25" s="357" t="s">
        <v>1363</v>
      </c>
      <c r="F25" s="63">
        <f>F23-F24</f>
        <v>1200639360.2508605</v>
      </c>
      <c r="G25" s="46" t="str">
        <f>"Line "&amp;A23&amp;" - Line "&amp;A24&amp;""</f>
        <v>Line 16 - Line 17</v>
      </c>
      <c r="H25" s="14"/>
      <c r="I25" s="14"/>
      <c r="J25" s="14"/>
      <c r="K25" s="14"/>
    </row>
    <row r="26" spans="1:11" ht="13">
      <c r="A26" s="2">
        <f t="shared" si="3"/>
        <v>19</v>
      </c>
      <c r="E26" s="79" t="s">
        <v>132</v>
      </c>
      <c r="F26" s="891">
        <f>'27-Allocators'!G15</f>
        <v>6.5680595610890333E-2</v>
      </c>
      <c r="G26" s="46" t="str">
        <f>"27-Allocators, Line "&amp;'27-Allocators'!A15&amp;""</f>
        <v>27-Allocators, Line 9</v>
      </c>
      <c r="H26" s="14"/>
      <c r="I26" s="14"/>
      <c r="J26" s="14"/>
      <c r="K26" s="14"/>
    </row>
    <row r="27" spans="1:11" ht="13">
      <c r="A27" s="2">
        <f t="shared" si="3"/>
        <v>20</v>
      </c>
      <c r="E27" s="357" t="s">
        <v>1364</v>
      </c>
      <c r="F27" s="63">
        <f>F25*F26</f>
        <v>78858708.29515484</v>
      </c>
      <c r="G27" s="46" t="str">
        <f>"Line "&amp;A25&amp;" * Line "&amp;A26&amp;""</f>
        <v>Line 18 * Line 19</v>
      </c>
      <c r="H27" s="14"/>
      <c r="I27" s="14"/>
      <c r="J27" s="14"/>
      <c r="K27" s="14"/>
    </row>
    <row r="28" spans="1:11" ht="13">
      <c r="A28" s="2">
        <f t="shared" si="3"/>
        <v>21</v>
      </c>
      <c r="E28" s="357" t="s">
        <v>94</v>
      </c>
      <c r="F28" s="67">
        <f>'27-Allocators'!G28</f>
        <v>0.18668038449535004</v>
      </c>
      <c r="G28" s="113" t="str">
        <f>"27-Allocators, Line "&amp;'27-Allocators'!A28&amp;""</f>
        <v>27-Allocators, Line 22</v>
      </c>
      <c r="H28" s="14"/>
      <c r="I28" s="14"/>
      <c r="J28" s="14"/>
      <c r="K28" s="14"/>
    </row>
    <row r="29" spans="1:11" ht="13">
      <c r="A29" s="2">
        <f t="shared" si="3"/>
        <v>22</v>
      </c>
      <c r="E29" s="357" t="s">
        <v>293</v>
      </c>
      <c r="F29" s="111">
        <f>H10*F28</f>
        <v>2913571.1645227419</v>
      </c>
      <c r="G29" s="46" t="str">
        <f>"Line "&amp;A10&amp;" Col 4 * Line "&amp;A28&amp;""</f>
        <v>Line 5 Col 4 * Line 21</v>
      </c>
      <c r="H29" s="14"/>
      <c r="I29" s="14"/>
      <c r="J29" s="14"/>
      <c r="K29" s="14"/>
    </row>
    <row r="30" spans="1:11" ht="13">
      <c r="A30" s="2">
        <f t="shared" si="3"/>
        <v>23</v>
      </c>
      <c r="E30" s="357" t="s">
        <v>294</v>
      </c>
      <c r="F30" s="481">
        <f>F27+F29</f>
        <v>81772279.459677577</v>
      </c>
      <c r="G30" s="46" t="str">
        <f>"Line "&amp;A27&amp;" + Line "&amp;A29&amp;""</f>
        <v>Line 20 + Line 22</v>
      </c>
      <c r="H30" s="14"/>
      <c r="I30" s="14"/>
      <c r="J30" s="14"/>
      <c r="K30" s="14"/>
    </row>
    <row r="31" spans="1:11">
      <c r="E31" s="14"/>
      <c r="F31" s="14"/>
      <c r="G31" s="14"/>
      <c r="H31" s="14"/>
      <c r="I31" s="14"/>
      <c r="J31" s="14"/>
      <c r="K31" s="14"/>
    </row>
    <row r="32" spans="1:11" ht="13">
      <c r="B32" s="1" t="s">
        <v>483</v>
      </c>
      <c r="E32" s="352" t="s">
        <v>358</v>
      </c>
      <c r="F32" s="352" t="s">
        <v>342</v>
      </c>
      <c r="G32" s="352" t="s">
        <v>343</v>
      </c>
      <c r="H32" s="352" t="s">
        <v>344</v>
      </c>
      <c r="I32" s="14"/>
      <c r="J32" s="14"/>
      <c r="K32" s="14"/>
    </row>
    <row r="33" spans="1:11" ht="13">
      <c r="B33" s="1"/>
      <c r="C33" s="68" t="s">
        <v>2537</v>
      </c>
      <c r="D33" s="515" t="s">
        <v>2859</v>
      </c>
      <c r="E33" s="110" t="s">
        <v>478</v>
      </c>
      <c r="F33" s="352"/>
      <c r="G33" s="352"/>
      <c r="H33" s="352"/>
      <c r="I33" s="14"/>
      <c r="J33" s="14"/>
      <c r="K33" s="14"/>
    </row>
    <row r="34" spans="1:11" ht="13">
      <c r="C34" s="1268"/>
      <c r="E34" s="110" t="s">
        <v>542</v>
      </c>
      <c r="F34" s="14"/>
      <c r="G34" s="14"/>
      <c r="H34" s="14"/>
      <c r="I34" s="14"/>
      <c r="J34" s="14"/>
      <c r="K34" s="14"/>
    </row>
    <row r="35" spans="1:11" ht="13">
      <c r="D35" s="2" t="s">
        <v>477</v>
      </c>
      <c r="E35" s="110" t="s">
        <v>541</v>
      </c>
      <c r="F35" s="110" t="s">
        <v>479</v>
      </c>
      <c r="G35" s="110"/>
      <c r="H35" s="110"/>
      <c r="I35" s="14"/>
      <c r="J35" s="14"/>
      <c r="K35" s="14"/>
    </row>
    <row r="36" spans="1:11" ht="13">
      <c r="C36" s="3" t="s">
        <v>115</v>
      </c>
      <c r="D36" s="352" t="s">
        <v>1098</v>
      </c>
      <c r="E36" s="123" t="s">
        <v>1265</v>
      </c>
      <c r="F36" s="123" t="s">
        <v>480</v>
      </c>
      <c r="G36" s="123" t="s">
        <v>1985</v>
      </c>
      <c r="H36" s="123" t="s">
        <v>481</v>
      </c>
      <c r="I36" s="123" t="s">
        <v>168</v>
      </c>
      <c r="J36" s="14"/>
      <c r="K36" s="14"/>
    </row>
    <row r="37" spans="1:11" ht="13">
      <c r="A37" s="2">
        <f>A30+1</f>
        <v>24</v>
      </c>
      <c r="C37" s="61">
        <v>920</v>
      </c>
      <c r="D37" s="140">
        <f>SUM(E37:H37)</f>
        <v>217707286.55525932</v>
      </c>
      <c r="E37" s="497">
        <v>74324197.555259317</v>
      </c>
      <c r="F37" s="107"/>
      <c r="G37" s="63">
        <f>G58</f>
        <v>143383089</v>
      </c>
      <c r="H37" s="107"/>
      <c r="I37" s="466" t="s">
        <v>1756</v>
      </c>
      <c r="J37" s="14"/>
    </row>
    <row r="38" spans="1:11" ht="13">
      <c r="A38" s="2">
        <f>A37+1</f>
        <v>25</v>
      </c>
      <c r="C38" s="61">
        <v>921</v>
      </c>
      <c r="D38" s="140">
        <f t="shared" ref="D38:D50" si="4">SUM(E38:H38)</f>
        <v>2351967.084740696</v>
      </c>
      <c r="E38" s="497">
        <v>2351967.084740696</v>
      </c>
      <c r="F38" s="107"/>
      <c r="G38" s="995">
        <v>0</v>
      </c>
      <c r="H38" s="107"/>
      <c r="I38" s="113"/>
      <c r="J38" s="14"/>
    </row>
    <row r="39" spans="1:11" ht="13">
      <c r="A39" s="2">
        <f t="shared" ref="A39:A50" si="5">A38+1</f>
        <v>26</v>
      </c>
      <c r="C39" s="61">
        <v>922</v>
      </c>
      <c r="D39" s="140">
        <f t="shared" si="4"/>
        <v>-77722052.712449998</v>
      </c>
      <c r="E39" s="497">
        <v>-10359095.712450001</v>
      </c>
      <c r="F39" s="497"/>
      <c r="G39" s="497">
        <v>-67362957</v>
      </c>
      <c r="H39" s="107"/>
      <c r="I39" s="113"/>
      <c r="J39" s="14"/>
    </row>
    <row r="40" spans="1:11" ht="13">
      <c r="A40" s="2">
        <f t="shared" si="5"/>
        <v>27</v>
      </c>
      <c r="C40" s="61">
        <v>923</v>
      </c>
      <c r="D40" s="140">
        <f t="shared" si="4"/>
        <v>8182300.7945344541</v>
      </c>
      <c r="E40" s="998">
        <v>8182300.7945344541</v>
      </c>
      <c r="F40" s="107"/>
      <c r="G40" s="995">
        <v>0</v>
      </c>
      <c r="H40" s="107"/>
      <c r="I40" s="113"/>
      <c r="J40" s="123"/>
      <c r="K40" s="3"/>
    </row>
    <row r="41" spans="1:11" ht="13">
      <c r="A41" s="2">
        <f t="shared" si="5"/>
        <v>28</v>
      </c>
      <c r="C41" s="61">
        <v>924</v>
      </c>
      <c r="D41" s="140">
        <f t="shared" si="4"/>
        <v>0</v>
      </c>
      <c r="E41" s="497">
        <v>0</v>
      </c>
      <c r="F41" s="107"/>
      <c r="G41" s="995">
        <v>0</v>
      </c>
      <c r="H41" s="107"/>
      <c r="I41" s="113"/>
      <c r="J41" s="14"/>
      <c r="K41" s="7"/>
    </row>
    <row r="42" spans="1:11" ht="13">
      <c r="A42" s="2">
        <f t="shared" si="5"/>
        <v>29</v>
      </c>
      <c r="C42" s="61">
        <v>925</v>
      </c>
      <c r="D42" s="140">
        <f t="shared" si="4"/>
        <v>168752277.52000001</v>
      </c>
      <c r="E42" s="497">
        <v>168752277.52000001</v>
      </c>
      <c r="F42" s="107"/>
      <c r="G42" s="995">
        <v>0</v>
      </c>
      <c r="H42" s="107"/>
      <c r="I42" s="466" t="s">
        <v>2545</v>
      </c>
      <c r="J42" s="14"/>
      <c r="K42" s="7"/>
    </row>
    <row r="43" spans="1:11" ht="13">
      <c r="A43" s="2">
        <f t="shared" si="5"/>
        <v>30</v>
      </c>
      <c r="C43" s="61">
        <v>926</v>
      </c>
      <c r="D43" s="140">
        <f t="shared" si="4"/>
        <v>2203319.4670550339</v>
      </c>
      <c r="E43" s="497">
        <v>14093319.467055034</v>
      </c>
      <c r="F43" s="107"/>
      <c r="G43" s="995">
        <v>0</v>
      </c>
      <c r="H43" s="63">
        <f>E71</f>
        <v>-11890000</v>
      </c>
      <c r="I43" s="46" t="s">
        <v>281</v>
      </c>
      <c r="J43" s="14"/>
      <c r="K43" s="7"/>
    </row>
    <row r="44" spans="1:11" ht="13">
      <c r="A44" s="2">
        <f t="shared" si="5"/>
        <v>31</v>
      </c>
      <c r="C44" s="61">
        <v>927</v>
      </c>
      <c r="D44" s="140">
        <f t="shared" si="4"/>
        <v>104335318</v>
      </c>
      <c r="E44" s="63">
        <v>0</v>
      </c>
      <c r="F44" s="462">
        <f>E13</f>
        <v>104335318</v>
      </c>
      <c r="G44" s="63">
        <v>0</v>
      </c>
      <c r="H44" s="63">
        <v>0</v>
      </c>
      <c r="I44" s="113" t="s">
        <v>953</v>
      </c>
      <c r="J44" s="14"/>
      <c r="K44" s="7"/>
    </row>
    <row r="45" spans="1:11" ht="13">
      <c r="A45" s="2">
        <f t="shared" si="5"/>
        <v>32</v>
      </c>
      <c r="C45" s="61">
        <v>928</v>
      </c>
      <c r="D45" s="140">
        <f t="shared" si="4"/>
        <v>9979027.6099999994</v>
      </c>
      <c r="E45" s="998">
        <v>9979027.6099999994</v>
      </c>
      <c r="F45" s="995"/>
      <c r="G45" s="995">
        <v>0</v>
      </c>
      <c r="H45" s="995"/>
      <c r="I45" s="113"/>
      <c r="J45" s="14"/>
      <c r="K45" s="7"/>
    </row>
    <row r="46" spans="1:11" ht="13">
      <c r="A46" s="2">
        <f t="shared" si="5"/>
        <v>33</v>
      </c>
      <c r="C46" s="61">
        <v>929</v>
      </c>
      <c r="D46" s="140">
        <f t="shared" si="4"/>
        <v>0</v>
      </c>
      <c r="E46" s="497">
        <v>0</v>
      </c>
      <c r="F46" s="995"/>
      <c r="G46" s="995">
        <v>0</v>
      </c>
      <c r="H46" s="995"/>
      <c r="I46" s="16"/>
      <c r="K46" s="7"/>
    </row>
    <row r="47" spans="1:11" ht="13">
      <c r="A47" s="2">
        <f t="shared" si="5"/>
        <v>34</v>
      </c>
      <c r="C47" s="61">
        <v>930.1</v>
      </c>
      <c r="D47" s="140">
        <f t="shared" si="4"/>
        <v>4498348</v>
      </c>
      <c r="E47" s="497">
        <v>4498348</v>
      </c>
      <c r="F47" s="995"/>
      <c r="G47" s="995">
        <v>0</v>
      </c>
      <c r="H47" s="995"/>
      <c r="I47" s="16"/>
      <c r="K47" s="7"/>
    </row>
    <row r="48" spans="1:11" ht="13">
      <c r="A48" s="2">
        <f t="shared" si="5"/>
        <v>35</v>
      </c>
      <c r="C48" s="61">
        <v>930.2</v>
      </c>
      <c r="D48" s="140">
        <f t="shared" si="4"/>
        <v>5984741</v>
      </c>
      <c r="E48" s="497">
        <v>5984741</v>
      </c>
      <c r="F48" s="995"/>
      <c r="G48" s="995">
        <v>0</v>
      </c>
      <c r="H48" s="995"/>
      <c r="I48" s="16"/>
      <c r="J48" s="474"/>
    </row>
    <row r="49" spans="1:10" ht="13">
      <c r="A49" s="2">
        <f t="shared" si="5"/>
        <v>36</v>
      </c>
      <c r="C49" s="61">
        <v>931</v>
      </c>
      <c r="D49" s="140">
        <f t="shared" si="4"/>
        <v>12016812.699999999</v>
      </c>
      <c r="E49" s="497">
        <v>12016812.699999999</v>
      </c>
      <c r="F49" s="995"/>
      <c r="G49" s="995">
        <v>0</v>
      </c>
      <c r="H49" s="995"/>
      <c r="I49" s="16"/>
      <c r="J49" s="7"/>
    </row>
    <row r="50" spans="1:10" ht="13">
      <c r="A50" s="2">
        <f t="shared" si="5"/>
        <v>37</v>
      </c>
      <c r="C50" s="61">
        <v>935</v>
      </c>
      <c r="D50" s="140">
        <f t="shared" si="4"/>
        <v>811671.73</v>
      </c>
      <c r="E50" s="497">
        <v>811671.73</v>
      </c>
      <c r="F50" s="995"/>
      <c r="G50" s="995">
        <v>0</v>
      </c>
      <c r="H50" s="995"/>
      <c r="I50" s="16"/>
    </row>
    <row r="51" spans="1:10" s="972" customFormat="1" ht="13">
      <c r="A51" s="553"/>
      <c r="C51" s="1434"/>
      <c r="D51" s="140"/>
      <c r="E51" s="481"/>
      <c r="F51" s="63"/>
      <c r="G51" s="63"/>
      <c r="H51" s="63"/>
      <c r="I51" s="16"/>
    </row>
    <row r="52" spans="1:10" ht="13">
      <c r="B52" s="44" t="s">
        <v>1986</v>
      </c>
      <c r="C52" s="14"/>
      <c r="D52" s="14"/>
      <c r="E52" s="14"/>
      <c r="F52" s="14"/>
      <c r="G52" s="14"/>
      <c r="H52" s="14"/>
    </row>
    <row r="53" spans="1:10" ht="13">
      <c r="B53" s="44"/>
      <c r="C53" s="469" t="s">
        <v>1987</v>
      </c>
      <c r="D53" s="14"/>
      <c r="E53" s="14"/>
      <c r="F53" s="14"/>
      <c r="G53" s="110"/>
      <c r="H53" s="110"/>
    </row>
    <row r="54" spans="1:10" ht="13">
      <c r="B54" s="44"/>
      <c r="C54" s="595" t="s">
        <v>2149</v>
      </c>
      <c r="D54" s="579"/>
      <c r="E54" s="579"/>
      <c r="F54" s="14"/>
      <c r="G54" s="110"/>
      <c r="H54" s="110"/>
    </row>
    <row r="55" spans="1:10" ht="13">
      <c r="B55" s="44"/>
      <c r="C55" s="1287" t="s">
        <v>2537</v>
      </c>
      <c r="D55" s="515" t="s">
        <v>2859</v>
      </c>
      <c r="E55" s="14"/>
      <c r="F55" s="14"/>
      <c r="G55" s="123" t="s">
        <v>175</v>
      </c>
      <c r="H55" s="123" t="s">
        <v>179</v>
      </c>
    </row>
    <row r="56" spans="1:10" ht="13">
      <c r="A56" s="2"/>
      <c r="B56" s="553" t="s">
        <v>1669</v>
      </c>
      <c r="C56" s="1264"/>
      <c r="E56" s="14"/>
      <c r="F56" s="849" t="s">
        <v>1988</v>
      </c>
      <c r="G56" s="497">
        <v>148050456</v>
      </c>
      <c r="H56" s="466" t="s">
        <v>33</v>
      </c>
    </row>
    <row r="57" spans="1:10" ht="13">
      <c r="A57" s="2"/>
      <c r="B57" s="553" t="s">
        <v>1670</v>
      </c>
      <c r="C57" s="12"/>
      <c r="E57" s="14"/>
      <c r="F57" s="849" t="s">
        <v>1989</v>
      </c>
      <c r="G57" s="102">
        <f>E61</f>
        <v>4667367</v>
      </c>
      <c r="H57" s="471" t="str">
        <f>"Note 2, "&amp;B61&amp;""</f>
        <v>Note 2, d</v>
      </c>
    </row>
    <row r="58" spans="1:10" ht="13">
      <c r="A58" s="2"/>
      <c r="B58" s="553" t="s">
        <v>1671</v>
      </c>
      <c r="F58" s="465" t="s">
        <v>1675</v>
      </c>
      <c r="G58" s="7">
        <f>G56-G57</f>
        <v>143383089</v>
      </c>
    </row>
    <row r="59" spans="1:10" ht="13">
      <c r="A59" s="2"/>
      <c r="C59" s="595" t="s">
        <v>2148</v>
      </c>
      <c r="D59" s="579"/>
      <c r="E59" s="579"/>
      <c r="G59" s="7"/>
    </row>
    <row r="60" spans="1:10" ht="13">
      <c r="A60" s="2"/>
      <c r="D60" s="51" t="s">
        <v>1365</v>
      </c>
      <c r="E60" s="3" t="s">
        <v>175</v>
      </c>
      <c r="F60" s="62" t="s">
        <v>179</v>
      </c>
      <c r="G60" s="7"/>
    </row>
    <row r="61" spans="1:10" ht="13">
      <c r="A61" s="2"/>
      <c r="B61" s="553" t="s">
        <v>1672</v>
      </c>
      <c r="D61" t="s">
        <v>1366</v>
      </c>
      <c r="E61" s="971">
        <v>4667367</v>
      </c>
      <c r="F61" s="466" t="s">
        <v>1983</v>
      </c>
      <c r="G61" s="63"/>
      <c r="I61" s="14"/>
    </row>
    <row r="62" spans="1:10" ht="13">
      <c r="A62" s="2"/>
      <c r="B62" s="110" t="s">
        <v>1673</v>
      </c>
      <c r="C62" s="14"/>
      <c r="D62" s="469" t="s">
        <v>356</v>
      </c>
      <c r="E62" s="971">
        <v>2525320</v>
      </c>
      <c r="F62" s="466" t="s">
        <v>1983</v>
      </c>
      <c r="G62" s="63"/>
      <c r="I62" s="583"/>
    </row>
    <row r="63" spans="1:10" ht="13">
      <c r="A63" s="2"/>
      <c r="B63" s="110" t="s">
        <v>1674</v>
      </c>
      <c r="C63" s="14"/>
      <c r="D63" s="469" t="s">
        <v>1367</v>
      </c>
      <c r="E63" s="1414">
        <v>4239356</v>
      </c>
      <c r="F63" s="466" t="s">
        <v>1983</v>
      </c>
      <c r="G63" s="63"/>
      <c r="I63" s="63"/>
    </row>
    <row r="64" spans="1:10" ht="13">
      <c r="A64" s="2"/>
      <c r="B64" s="110" t="s">
        <v>1676</v>
      </c>
      <c r="C64" s="14"/>
      <c r="D64" s="357" t="s">
        <v>4</v>
      </c>
      <c r="E64" s="7">
        <f>SUM(E61:E63)</f>
        <v>11432043</v>
      </c>
      <c r="F64" s="46" t="str">
        <f>"Sum of "&amp;B61&amp;" to "&amp;B63&amp;""</f>
        <v>Sum of d to f</v>
      </c>
      <c r="G64" s="63"/>
      <c r="I64" s="14"/>
    </row>
    <row r="65" spans="1:10">
      <c r="F65" s="14"/>
      <c r="G65" s="14"/>
    </row>
    <row r="66" spans="1:10" ht="13">
      <c r="B66" s="1002" t="s">
        <v>485</v>
      </c>
      <c r="C66" s="60"/>
      <c r="D66" s="60"/>
      <c r="E66" s="60"/>
      <c r="F66" s="520"/>
      <c r="G66" s="520"/>
    </row>
    <row r="67" spans="1:10" ht="13">
      <c r="B67" s="60"/>
      <c r="C67" s="60"/>
      <c r="D67" s="60"/>
      <c r="E67" s="62" t="s">
        <v>175</v>
      </c>
      <c r="F67" s="999" t="s">
        <v>236</v>
      </c>
      <c r="G67" s="520"/>
    </row>
    <row r="68" spans="1:10" ht="13">
      <c r="A68" s="2"/>
      <c r="B68" s="190" t="s">
        <v>1669</v>
      </c>
      <c r="C68" s="60"/>
      <c r="D68" s="1005" t="s">
        <v>1954</v>
      </c>
      <c r="E68" s="1013">
        <v>6329000</v>
      </c>
      <c r="F68" s="5" t="s">
        <v>487</v>
      </c>
      <c r="G68" s="520"/>
    </row>
    <row r="69" spans="1:10" s="972" customFormat="1" ht="13">
      <c r="A69" s="553"/>
      <c r="B69" s="190" t="s">
        <v>1670</v>
      </c>
      <c r="C69" s="60"/>
      <c r="D69" s="1005" t="s">
        <v>2406</v>
      </c>
      <c r="E69" s="1107">
        <v>18219000</v>
      </c>
      <c r="F69" s="1003" t="s">
        <v>2407</v>
      </c>
      <c r="G69" s="520"/>
    </row>
    <row r="70" spans="1:10" ht="13">
      <c r="A70" s="2"/>
      <c r="B70" s="190" t="s">
        <v>1671</v>
      </c>
      <c r="C70" s="60"/>
      <c r="D70" s="1005" t="s">
        <v>482</v>
      </c>
      <c r="E70" s="1001">
        <v>6329000</v>
      </c>
      <c r="F70" s="874" t="s">
        <v>33</v>
      </c>
      <c r="G70" s="520"/>
    </row>
    <row r="71" spans="1:10" ht="13">
      <c r="A71" s="2"/>
      <c r="B71" s="190" t="s">
        <v>1672</v>
      </c>
      <c r="C71" s="60"/>
      <c r="D71" s="1000" t="s">
        <v>484</v>
      </c>
      <c r="E71" s="1432">
        <f>E70-E69</f>
        <v>-11890000</v>
      </c>
      <c r="F71" s="5" t="str">
        <f>""&amp;B70&amp;" - "&amp;B69&amp;""</f>
        <v>c - b</v>
      </c>
      <c r="G71" s="60"/>
    </row>
    <row r="72" spans="1:10" ht="13">
      <c r="A72" s="461"/>
      <c r="B72" s="1" t="s">
        <v>1440</v>
      </c>
      <c r="D72" s="94"/>
      <c r="E72" s="141"/>
      <c r="F72" s="13"/>
    </row>
    <row r="73" spans="1:10" ht="13">
      <c r="A73" s="461"/>
      <c r="B73" s="1"/>
      <c r="C73" t="str">
        <f>"Amount in Line "&amp;A44&amp;", column 2 equals amount in Line "&amp;A13&amp;", column 1 because all Franchise Requirements Expenses are excluded"</f>
        <v>Amount in Line 31, column 2 equals amount in Line 8, column 1 because all Franchise Requirements Expenses are excluded</v>
      </c>
      <c r="D73" s="94"/>
      <c r="E73" s="141"/>
      <c r="F73" s="13"/>
    </row>
    <row r="74" spans="1:10" ht="13">
      <c r="A74" s="461"/>
      <c r="B74" s="1"/>
      <c r="C74" s="12" t="s">
        <v>1441</v>
      </c>
      <c r="D74" s="94"/>
      <c r="E74" s="141"/>
      <c r="F74" s="13"/>
    </row>
    <row r="76" spans="1:10" ht="13">
      <c r="B76" s="1" t="s">
        <v>377</v>
      </c>
    </row>
    <row r="77" spans="1:10">
      <c r="C77" s="15" t="str">
        <f>"1) Enter amounts of A&amp;G expenses from FERC Form 1 in Lines "&amp;A6&amp;" to "&amp;A19&amp;"."</f>
        <v>1) Enter amounts of A&amp;G expenses from FERC Form 1 in Lines 1 to 14.</v>
      </c>
      <c r="D77" s="14"/>
      <c r="E77" s="14"/>
      <c r="F77" s="14"/>
      <c r="G77" s="14"/>
      <c r="H77" s="14"/>
      <c r="I77" s="14"/>
      <c r="J77" s="14"/>
    </row>
    <row r="78" spans="1:10">
      <c r="C78" s="469" t="s">
        <v>1990</v>
      </c>
      <c r="D78" s="14"/>
      <c r="E78" s="14"/>
      <c r="F78" s="14"/>
      <c r="G78" s="14" t="str">
        <f>"Column 3, Line "&amp;A37&amp;""</f>
        <v>Column 3, Line 24</v>
      </c>
      <c r="H78" s="14"/>
      <c r="I78" s="14"/>
      <c r="J78" s="14"/>
    </row>
    <row r="79" spans="1:10">
      <c r="C79" s="466" t="str">
        <f>"is calculated in Note 2.  The PBOPs exclusion in Column 4, Line "&amp;A43&amp;" is calculated in Note 3."</f>
        <v>is calculated in Note 2.  The PBOPs exclusion in Column 4, Line 30 is calculated in Note 3.</v>
      </c>
      <c r="D79" s="14"/>
      <c r="E79" s="14"/>
      <c r="F79" s="14"/>
      <c r="G79" s="15"/>
      <c r="H79" s="14"/>
      <c r="I79" s="14"/>
      <c r="J79" s="14"/>
    </row>
    <row r="80" spans="1:10">
      <c r="C80" s="466" t="s">
        <v>1660</v>
      </c>
      <c r="D80" s="14"/>
      <c r="E80" s="14"/>
      <c r="F80" s="14"/>
      <c r="G80" s="14"/>
      <c r="H80" s="14"/>
      <c r="I80" s="14"/>
      <c r="J80" s="14"/>
    </row>
    <row r="81" spans="3:10">
      <c r="C81" s="466" t="s">
        <v>1744</v>
      </c>
      <c r="D81" s="357"/>
      <c r="E81" s="462"/>
      <c r="F81" s="46"/>
      <c r="G81" s="14"/>
      <c r="H81" s="14"/>
      <c r="I81" s="14"/>
      <c r="J81" s="14"/>
    </row>
    <row r="82" spans="3:10">
      <c r="C82" s="466" t="s">
        <v>1740</v>
      </c>
      <c r="D82" s="357"/>
      <c r="E82" s="462"/>
      <c r="F82" s="46"/>
      <c r="G82" s="14"/>
      <c r="H82" s="14"/>
      <c r="I82" s="14"/>
      <c r="J82" s="14"/>
    </row>
    <row r="83" spans="3:10">
      <c r="C83" s="466" t="s">
        <v>1741</v>
      </c>
      <c r="D83" s="14"/>
      <c r="E83" s="14"/>
      <c r="F83" s="14"/>
      <c r="G83" s="14"/>
      <c r="H83" s="14"/>
      <c r="I83" s="14"/>
      <c r="J83" s="14"/>
    </row>
    <row r="84" spans="3:10">
      <c r="C84" s="46" t="s">
        <v>486</v>
      </c>
      <c r="D84" s="14"/>
      <c r="E84" s="14"/>
      <c r="F84" s="14"/>
      <c r="G84" s="14"/>
      <c r="H84" s="14"/>
      <c r="I84" s="14"/>
      <c r="J84" s="14"/>
    </row>
    <row r="85" spans="3:10">
      <c r="C85" s="466" t="s">
        <v>1742</v>
      </c>
      <c r="D85" s="14"/>
      <c r="E85" s="14"/>
      <c r="F85" s="14"/>
      <c r="G85" s="14"/>
      <c r="H85" s="14"/>
      <c r="I85" s="14"/>
      <c r="J85" s="14"/>
    </row>
    <row r="86" spans="3:10">
      <c r="C86" s="466" t="s">
        <v>1449</v>
      </c>
      <c r="D86" s="14"/>
      <c r="E86" s="14"/>
      <c r="F86" s="14"/>
      <c r="G86" s="14"/>
      <c r="H86" s="14"/>
      <c r="I86" s="14"/>
      <c r="J86" s="14"/>
    </row>
    <row r="87" spans="3:10">
      <c r="C87" s="466" t="s">
        <v>1743</v>
      </c>
      <c r="D87" s="14"/>
      <c r="E87" s="14"/>
      <c r="F87" s="14"/>
      <c r="G87" s="14"/>
      <c r="H87" s="14"/>
      <c r="I87" s="14"/>
      <c r="J87" s="14"/>
    </row>
    <row r="88" spans="3:10">
      <c r="C88" s="466" t="s">
        <v>1764</v>
      </c>
      <c r="D88" s="469"/>
      <c r="E88" s="892"/>
      <c r="F88" s="892"/>
      <c r="G88" s="892"/>
      <c r="H88" s="14"/>
      <c r="I88" s="14"/>
      <c r="J88" s="14"/>
    </row>
    <row r="89" spans="3:10">
      <c r="C89" s="852" t="s">
        <v>1762</v>
      </c>
      <c r="D89" s="469"/>
      <c r="E89" s="892"/>
      <c r="F89" s="892"/>
      <c r="G89" s="892"/>
      <c r="H89" s="14"/>
      <c r="I89" s="14"/>
      <c r="J89" s="14"/>
    </row>
    <row r="90" spans="3:10">
      <c r="C90" s="852" t="s">
        <v>1763</v>
      </c>
      <c r="D90" s="469"/>
      <c r="E90" s="892"/>
      <c r="F90" s="892"/>
      <c r="G90" s="892"/>
      <c r="H90" s="14"/>
      <c r="I90" s="14"/>
      <c r="J90" s="14"/>
    </row>
    <row r="91" spans="3:10">
      <c r="C91" s="852" t="s">
        <v>1765</v>
      </c>
      <c r="D91" s="469"/>
      <c r="E91" s="892"/>
      <c r="F91" s="892"/>
      <c r="G91" s="892"/>
      <c r="H91" s="14"/>
      <c r="I91" s="14"/>
      <c r="J91" s="14"/>
    </row>
    <row r="92" spans="3:10">
      <c r="C92" s="466" t="s">
        <v>1841</v>
      </c>
      <c r="D92" s="469"/>
      <c r="E92" s="892"/>
      <c r="F92" s="892"/>
      <c r="G92" s="892"/>
      <c r="H92" s="14"/>
      <c r="I92" s="14"/>
      <c r="J92" s="14"/>
    </row>
    <row r="93" spans="3:10">
      <c r="C93" s="852" t="s">
        <v>1839</v>
      </c>
      <c r="D93" s="469"/>
      <c r="E93" s="892"/>
      <c r="F93" s="892"/>
      <c r="G93" s="892"/>
      <c r="H93" s="14"/>
      <c r="I93" s="14"/>
      <c r="J93" s="14"/>
    </row>
    <row r="94" spans="3:10">
      <c r="C94" s="852" t="s">
        <v>1840</v>
      </c>
      <c r="D94" s="469"/>
      <c r="E94" s="892"/>
      <c r="F94" s="892"/>
      <c r="G94" s="892"/>
      <c r="H94" s="14"/>
      <c r="I94" s="14"/>
      <c r="J94" s="14"/>
    </row>
    <row r="95" spans="3:10">
      <c r="C95" s="852" t="s">
        <v>2343</v>
      </c>
      <c r="D95" s="469"/>
      <c r="E95" s="892"/>
      <c r="F95" s="892"/>
      <c r="G95" s="892"/>
      <c r="H95" s="14"/>
      <c r="I95" s="14"/>
      <c r="J95" s="14"/>
    </row>
    <row r="96" spans="3:10">
      <c r="C96" s="852" t="s">
        <v>1842</v>
      </c>
      <c r="D96" s="469"/>
      <c r="E96" s="892"/>
      <c r="F96" s="892"/>
      <c r="G96" s="892"/>
      <c r="H96" s="14"/>
      <c r="I96" s="14"/>
      <c r="J96" s="14"/>
    </row>
    <row r="97" spans="3:10" ht="13">
      <c r="C97" s="893" t="s">
        <v>1991</v>
      </c>
      <c r="D97" s="579"/>
      <c r="E97" s="579"/>
      <c r="F97" s="579"/>
      <c r="G97" s="579"/>
      <c r="H97" s="579"/>
      <c r="I97" s="579"/>
      <c r="J97" s="579"/>
    </row>
    <row r="98" spans="3:10">
      <c r="C98" s="469" t="s">
        <v>1992</v>
      </c>
      <c r="D98" s="14"/>
      <c r="E98" s="14"/>
      <c r="F98" s="14"/>
      <c r="G98" s="14"/>
      <c r="H98" s="14"/>
      <c r="I98" s="14"/>
      <c r="J98" s="14"/>
    </row>
    <row r="99" spans="3:10">
      <c r="C99" s="893" t="s">
        <v>1993</v>
      </c>
      <c r="D99" s="595"/>
      <c r="E99" s="595"/>
      <c r="F99" s="595"/>
      <c r="G99" s="595"/>
      <c r="H99" s="595"/>
      <c r="I99" s="595"/>
      <c r="J99" s="14"/>
    </row>
    <row r="100" spans="3:10">
      <c r="C100" s="15" t="str">
        <f>"4) Determine the PBOPs exclusion.  The authorized amount of PBOPs expense (line "&amp;B68&amp;") may only be revised"</f>
        <v>4) Determine the PBOPs exclusion.  The authorized amount of PBOPs expense (line a) may only be revised</v>
      </c>
      <c r="D100" s="14"/>
      <c r="E100" s="14"/>
      <c r="F100" s="14"/>
      <c r="G100" s="14"/>
      <c r="H100" s="14"/>
      <c r="I100" s="14"/>
      <c r="J100" s="14"/>
    </row>
    <row r="101" spans="3:10">
      <c r="C101" s="15" t="s">
        <v>1097</v>
      </c>
      <c r="D101" s="14"/>
      <c r="E101" s="14"/>
      <c r="F101" s="14"/>
      <c r="G101" s="14"/>
      <c r="H101" s="14"/>
      <c r="I101" s="14"/>
      <c r="J101" s="14"/>
    </row>
    <row r="102" spans="3:10">
      <c r="C102" s="469" t="s">
        <v>2408</v>
      </c>
      <c r="D102" s="14"/>
      <c r="E102" s="14"/>
      <c r="F102" s="14"/>
      <c r="G102" s="14"/>
      <c r="H102" s="14"/>
      <c r="I102" s="14"/>
      <c r="J102" s="14"/>
    </row>
    <row r="103" spans="3:10">
      <c r="C103" s="469" t="s">
        <v>2409</v>
      </c>
      <c r="D103" s="14"/>
      <c r="E103" s="14"/>
      <c r="F103" s="14"/>
      <c r="G103" s="14"/>
      <c r="H103" s="14"/>
      <c r="I103" s="1004" t="s">
        <v>2860</v>
      </c>
      <c r="J103" s="1004"/>
    </row>
    <row r="104" spans="3:10">
      <c r="C104" s="469" t="s">
        <v>1807</v>
      </c>
      <c r="D104" s="14"/>
      <c r="E104" s="14"/>
      <c r="F104" s="14"/>
      <c r="G104" s="14"/>
      <c r="H104" s="14"/>
      <c r="I104" s="14"/>
    </row>
    <row r="105" spans="3:10">
      <c r="C105" s="14" t="s">
        <v>2543</v>
      </c>
      <c r="D105" s="14"/>
      <c r="E105" s="14"/>
      <c r="F105" s="14"/>
      <c r="G105" s="14"/>
      <c r="H105" s="14"/>
      <c r="I105" s="14"/>
      <c r="J105" s="14"/>
    </row>
    <row r="106" spans="3:10">
      <c r="C106" s="14" t="s">
        <v>2544</v>
      </c>
      <c r="D106" s="14"/>
      <c r="E106" s="14"/>
      <c r="F106" s="14"/>
      <c r="G106" s="14"/>
      <c r="H106" s="14"/>
      <c r="I106" s="14"/>
      <c r="J106" s="14"/>
    </row>
    <row r="107" spans="3:10">
      <c r="C107" s="14" t="s">
        <v>2547</v>
      </c>
      <c r="D107" s="14"/>
      <c r="E107" s="14"/>
      <c r="F107" s="14"/>
      <c r="G107" s="14"/>
      <c r="H107" s="14"/>
      <c r="I107" s="14"/>
      <c r="J107" s="14"/>
    </row>
    <row r="108" spans="3:10">
      <c r="C108" s="14" t="s">
        <v>2548</v>
      </c>
      <c r="D108" s="14"/>
      <c r="E108" s="14"/>
      <c r="F108" s="14"/>
      <c r="G108" s="14"/>
      <c r="H108" s="14"/>
      <c r="I108" s="14"/>
      <c r="J108" s="14"/>
    </row>
    <row r="109" spans="3:10">
      <c r="C109" s="14" t="s">
        <v>2549</v>
      </c>
      <c r="D109" s="14"/>
      <c r="E109" s="14"/>
      <c r="F109" s="14"/>
      <c r="G109" s="14"/>
      <c r="H109" s="14"/>
      <c r="I109" s="14"/>
      <c r="J109" s="14"/>
    </row>
    <row r="110" spans="3:10">
      <c r="C110" s="1275"/>
    </row>
  </sheetData>
  <phoneticPr fontId="23" type="noConversion"/>
  <pageMargins left="0.75" right="0.75" top="1" bottom="1" header="0.5" footer="0.5"/>
  <pageSetup scale="68" orientation="landscape" cellComments="asDisplayed" r:id="rId1"/>
  <headerFooter alignWithMargins="0">
    <oddHeader>&amp;CSchedule 20
Administrative and General Expenses
&amp;RTO2021 Draft Annual Update 
Attachment 1</oddHeader>
    <oddFooter>&amp;R&amp;A</oddFooter>
  </headerFooter>
  <rowBreaks count="2" manualBreakCount="2">
    <brk id="51" max="9" man="1"/>
    <brk id="7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262"/>
  <sheetViews>
    <sheetView zoomScale="80" zoomScaleNormal="80" zoomScalePageLayoutView="70" workbookViewId="0">
      <selection activeCell="A3" sqref="A3"/>
    </sheetView>
  </sheetViews>
  <sheetFormatPr defaultRowHeight="12.5"/>
  <cols>
    <col min="1" max="1" width="6.453125" style="221" customWidth="1"/>
    <col min="2" max="2" width="8.54296875" style="41" customWidth="1"/>
    <col min="3" max="3" width="9.54296875" style="221" customWidth="1"/>
    <col min="4" max="4" width="51.54296875" style="41" customWidth="1"/>
    <col min="5" max="6" width="16.453125" style="351" customWidth="1"/>
    <col min="7" max="7" width="18.453125" style="351" bestFit="1" customWidth="1"/>
    <col min="8" max="8" width="15.54296875" style="219" bestFit="1" customWidth="1"/>
    <col min="9" max="9" width="16.54296875" style="219" bestFit="1" customWidth="1"/>
    <col min="10" max="10" width="15.54296875" style="351" customWidth="1"/>
    <col min="11" max="11" width="6.54296875" style="309" customWidth="1"/>
    <col min="12" max="12" width="16.453125" style="296" customWidth="1"/>
    <col min="13" max="13" width="17.453125" style="211" bestFit="1" customWidth="1"/>
    <col min="14" max="14" width="18.453125" style="351" bestFit="1" customWidth="1"/>
    <col min="15" max="15" width="8.54296875" style="211" customWidth="1"/>
  </cols>
  <sheetData>
    <row r="1" spans="1:15" ht="13">
      <c r="A1" s="330"/>
      <c r="B1" s="191" t="s">
        <v>551</v>
      </c>
      <c r="C1" s="192" t="s">
        <v>552</v>
      </c>
      <c r="D1" s="191" t="s">
        <v>553</v>
      </c>
      <c r="E1" s="192" t="s">
        <v>554</v>
      </c>
      <c r="F1" s="191" t="s">
        <v>555</v>
      </c>
      <c r="G1" s="192" t="s">
        <v>556</v>
      </c>
      <c r="H1" s="191" t="s">
        <v>557</v>
      </c>
      <c r="I1" s="192" t="s">
        <v>558</v>
      </c>
      <c r="J1" s="191" t="s">
        <v>559</v>
      </c>
      <c r="K1" s="192" t="s">
        <v>560</v>
      </c>
      <c r="L1" s="191" t="s">
        <v>561</v>
      </c>
      <c r="M1" s="192" t="s">
        <v>562</v>
      </c>
      <c r="N1" s="191" t="s">
        <v>563</v>
      </c>
      <c r="O1" s="192" t="s">
        <v>564</v>
      </c>
    </row>
    <row r="2" spans="1:15">
      <c r="A2" s="327"/>
      <c r="B2" s="328"/>
      <c r="C2" s="328"/>
      <c r="D2" s="328"/>
      <c r="E2" s="329"/>
      <c r="F2" s="329"/>
      <c r="G2" s="1483" t="s">
        <v>565</v>
      </c>
      <c r="H2" s="1484"/>
      <c r="I2" s="1485"/>
      <c r="J2" s="1483" t="s">
        <v>566</v>
      </c>
      <c r="K2" s="1484"/>
      <c r="L2" s="1484"/>
      <c r="M2" s="1485"/>
      <c r="N2" s="312" t="s">
        <v>567</v>
      </c>
      <c r="O2" s="327"/>
    </row>
    <row r="3" spans="1:15" ht="26.25" customHeight="1">
      <c r="A3" s="193" t="s">
        <v>329</v>
      </c>
      <c r="B3" s="194" t="s">
        <v>568</v>
      </c>
      <c r="C3" s="195" t="s">
        <v>569</v>
      </c>
      <c r="D3" s="194" t="s">
        <v>570</v>
      </c>
      <c r="E3" s="287" t="s">
        <v>571</v>
      </c>
      <c r="F3" s="288" t="s">
        <v>572</v>
      </c>
      <c r="G3" s="288" t="s">
        <v>196</v>
      </c>
      <c r="H3" s="196" t="s">
        <v>427</v>
      </c>
      <c r="I3" s="196" t="s">
        <v>573</v>
      </c>
      <c r="J3" s="287" t="s">
        <v>196</v>
      </c>
      <c r="K3" s="308" t="s">
        <v>574</v>
      </c>
      <c r="L3" s="290" t="s">
        <v>575</v>
      </c>
      <c r="M3" s="197" t="s">
        <v>296</v>
      </c>
      <c r="N3" s="287" t="s">
        <v>196</v>
      </c>
      <c r="O3" s="197" t="s">
        <v>168</v>
      </c>
    </row>
    <row r="4" spans="1:15">
      <c r="A4" s="198" t="s">
        <v>576</v>
      </c>
      <c r="B4" s="199">
        <v>450</v>
      </c>
      <c r="C4" s="199" t="s">
        <v>577</v>
      </c>
      <c r="D4" s="200" t="s">
        <v>1192</v>
      </c>
      <c r="E4" s="992">
        <v>5566386.1600000001</v>
      </c>
      <c r="F4" s="1052" t="s">
        <v>565</v>
      </c>
      <c r="G4" s="294">
        <f>IF(F4=$G$2,E4,0)</f>
        <v>5566386.1600000001</v>
      </c>
      <c r="H4" s="201">
        <v>0</v>
      </c>
      <c r="I4" s="202">
        <f>G4-H4</f>
        <v>5566386.1600000001</v>
      </c>
      <c r="J4" s="294">
        <f>IF(F4=$J$2,E4,0)</f>
        <v>0</v>
      </c>
      <c r="K4" s="289"/>
      <c r="L4" s="298"/>
      <c r="M4" s="202">
        <f>J4-L4</f>
        <v>0</v>
      </c>
      <c r="N4" s="294">
        <f>IF(F4=$N$2,E4,0)</f>
        <v>0</v>
      </c>
      <c r="O4" s="201">
        <v>1</v>
      </c>
    </row>
    <row r="5" spans="1:15">
      <c r="A5" s="203" t="s">
        <v>578</v>
      </c>
      <c r="B5" s="199">
        <v>450</v>
      </c>
      <c r="C5" s="204" t="s">
        <v>579</v>
      </c>
      <c r="D5" s="200" t="s">
        <v>580</v>
      </c>
      <c r="E5" s="992">
        <v>10435355.42</v>
      </c>
      <c r="F5" s="1052" t="s">
        <v>565</v>
      </c>
      <c r="G5" s="294">
        <f>IF(F5=$G$2,E5,0)</f>
        <v>10435355.42</v>
      </c>
      <c r="H5" s="201">
        <v>0</v>
      </c>
      <c r="I5" s="202">
        <f>G5-H5</f>
        <v>10435355.42</v>
      </c>
      <c r="J5" s="294">
        <f>IF(F5=$J$2,E5,0)</f>
        <v>0</v>
      </c>
      <c r="K5" s="289"/>
      <c r="L5" s="298"/>
      <c r="M5" s="202">
        <f>J5-L5</f>
        <v>0</v>
      </c>
      <c r="N5" s="294">
        <f>IF(F5=$N$2,E5,0)</f>
        <v>0</v>
      </c>
      <c r="O5" s="201">
        <v>1</v>
      </c>
    </row>
    <row r="6" spans="1:15">
      <c r="A6" s="326"/>
      <c r="B6" s="323"/>
      <c r="C6" s="322"/>
      <c r="D6" s="324"/>
      <c r="E6" s="303"/>
      <c r="F6" s="303"/>
      <c r="G6" s="298"/>
      <c r="H6" s="299"/>
      <c r="I6" s="300"/>
      <c r="J6" s="298"/>
      <c r="K6" s="302"/>
      <c r="L6" s="298"/>
      <c r="M6" s="300"/>
      <c r="N6" s="298"/>
      <c r="O6" s="299"/>
    </row>
    <row r="7" spans="1:15">
      <c r="A7" s="326"/>
      <c r="B7" s="323"/>
      <c r="C7" s="322"/>
      <c r="D7" s="324"/>
      <c r="E7" s="303"/>
      <c r="F7" s="303"/>
      <c r="G7" s="298"/>
      <c r="H7" s="299"/>
      <c r="I7" s="300"/>
      <c r="J7" s="298"/>
      <c r="K7" s="302"/>
      <c r="L7" s="298"/>
      <c r="M7" s="300"/>
      <c r="N7" s="298"/>
      <c r="O7" s="299"/>
    </row>
    <row r="8" spans="1:15" ht="13">
      <c r="A8" s="203">
        <v>2</v>
      </c>
      <c r="B8" s="1494" t="s">
        <v>582</v>
      </c>
      <c r="C8" s="1492"/>
      <c r="D8" s="1493"/>
      <c r="E8" s="306">
        <f>SUM(E4:E7)</f>
        <v>16001741.58</v>
      </c>
      <c r="F8" s="315"/>
      <c r="G8" s="306">
        <f>SUM(G4:G7)</f>
        <v>16001741.58</v>
      </c>
      <c r="H8" s="192">
        <f>SUM(H4:H7)</f>
        <v>0</v>
      </c>
      <c r="I8" s="306">
        <f>SUM(I4:I7)</f>
        <v>16001741.58</v>
      </c>
      <c r="J8" s="306">
        <f>SUM(J4:J7)</f>
        <v>0</v>
      </c>
      <c r="K8" s="315"/>
      <c r="L8" s="306">
        <f>SUM(L4:L7)</f>
        <v>0</v>
      </c>
      <c r="M8" s="306">
        <f>SUM(M4:M7)</f>
        <v>0</v>
      </c>
      <c r="N8" s="306">
        <f>SUM(N4:N7)</f>
        <v>0</v>
      </c>
      <c r="O8" s="201"/>
    </row>
    <row r="9" spans="1:15" ht="12.75" customHeight="1">
      <c r="A9" s="203">
        <v>3</v>
      </c>
      <c r="B9" s="1486" t="s">
        <v>1224</v>
      </c>
      <c r="C9" s="1487"/>
      <c r="D9" s="1488"/>
      <c r="E9" s="1094">
        <v>16001742</v>
      </c>
      <c r="F9" s="305"/>
      <c r="G9" s="293"/>
      <c r="H9" s="305"/>
      <c r="I9" s="305"/>
      <c r="J9" s="293"/>
      <c r="K9" s="305"/>
      <c r="L9" s="293"/>
      <c r="M9" s="293"/>
      <c r="N9" s="293"/>
      <c r="O9" s="190"/>
    </row>
    <row r="10" spans="1:15" ht="13">
      <c r="A10" s="206"/>
      <c r="B10" s="207"/>
      <c r="C10" s="208"/>
      <c r="D10" s="209"/>
      <c r="E10" s="293"/>
      <c r="F10" s="293"/>
      <c r="G10" s="293"/>
      <c r="H10" s="305"/>
      <c r="I10" s="305"/>
      <c r="J10" s="293"/>
      <c r="K10" s="305"/>
      <c r="L10" s="293"/>
      <c r="M10" s="293"/>
      <c r="N10" s="293"/>
      <c r="O10" s="190"/>
    </row>
    <row r="11" spans="1:15">
      <c r="A11" s="203" t="s">
        <v>583</v>
      </c>
      <c r="B11" s="199">
        <v>451</v>
      </c>
      <c r="C11" s="204" t="s">
        <v>584</v>
      </c>
      <c r="D11" s="200" t="s">
        <v>585</v>
      </c>
      <c r="E11" s="992">
        <v>104223.67999999999</v>
      </c>
      <c r="F11" s="1052" t="s">
        <v>565</v>
      </c>
      <c r="G11" s="1418">
        <f t="shared" ref="G11:G20" si="0">IF(F11=$G$2,E11,0)</f>
        <v>104223.67999999999</v>
      </c>
      <c r="H11" s="1419">
        <v>0</v>
      </c>
      <c r="I11" s="1419">
        <f>G11-H11</f>
        <v>104223.67999999999</v>
      </c>
      <c r="J11" s="1418">
        <f t="shared" ref="J11:J20" si="1">IF(F11=$J$2,E11,0)</f>
        <v>0</v>
      </c>
      <c r="K11" s="1418"/>
      <c r="L11" s="1420"/>
      <c r="M11" s="1419">
        <f t="shared" ref="M11:M17" si="2">J11-L11</f>
        <v>0</v>
      </c>
      <c r="N11" s="1418">
        <f t="shared" ref="N11:N18" si="3">IF(F11=$N$2,E11,0)</f>
        <v>0</v>
      </c>
      <c r="O11" s="1419">
        <v>1</v>
      </c>
    </row>
    <row r="12" spans="1:15">
      <c r="A12" s="203" t="s">
        <v>586</v>
      </c>
      <c r="B12" s="199">
        <v>451</v>
      </c>
      <c r="C12" s="204" t="s">
        <v>587</v>
      </c>
      <c r="D12" s="896" t="s">
        <v>588</v>
      </c>
      <c r="E12" s="992">
        <v>117079.97</v>
      </c>
      <c r="F12" s="1052" t="s">
        <v>565</v>
      </c>
      <c r="G12" s="1418">
        <f>IF(F12=$G$2,E12,0)</f>
        <v>117079.97</v>
      </c>
      <c r="H12" s="1419">
        <v>0</v>
      </c>
      <c r="I12" s="1419">
        <f t="shared" ref="I12:I20" si="4">G12-H12</f>
        <v>117079.97</v>
      </c>
      <c r="J12" s="1418">
        <f t="shared" si="1"/>
        <v>0</v>
      </c>
      <c r="K12" s="1418"/>
      <c r="L12" s="1420"/>
      <c r="M12" s="1419">
        <f t="shared" si="2"/>
        <v>0</v>
      </c>
      <c r="N12" s="1418">
        <f t="shared" si="3"/>
        <v>0</v>
      </c>
      <c r="O12" s="1419">
        <v>1</v>
      </c>
    </row>
    <row r="13" spans="1:15">
      <c r="A13" s="203" t="s">
        <v>589</v>
      </c>
      <c r="B13" s="199">
        <v>451</v>
      </c>
      <c r="C13" s="204" t="s">
        <v>590</v>
      </c>
      <c r="D13" s="200" t="s">
        <v>591</v>
      </c>
      <c r="E13" s="992"/>
      <c r="F13" s="1052" t="s">
        <v>565</v>
      </c>
      <c r="G13" s="1418">
        <f t="shared" si="0"/>
        <v>0</v>
      </c>
      <c r="H13" s="1419">
        <v>0</v>
      </c>
      <c r="I13" s="1419">
        <f t="shared" si="4"/>
        <v>0</v>
      </c>
      <c r="J13" s="1418">
        <f t="shared" si="1"/>
        <v>0</v>
      </c>
      <c r="K13" s="1418"/>
      <c r="L13" s="1420"/>
      <c r="M13" s="1419">
        <f t="shared" si="2"/>
        <v>0</v>
      </c>
      <c r="N13" s="1418">
        <f t="shared" si="3"/>
        <v>0</v>
      </c>
      <c r="O13" s="1419">
        <v>1</v>
      </c>
    </row>
    <row r="14" spans="1:15">
      <c r="A14" s="203" t="s">
        <v>592</v>
      </c>
      <c r="B14" s="199">
        <v>451</v>
      </c>
      <c r="C14" s="204" t="s">
        <v>593</v>
      </c>
      <c r="D14" s="200" t="s">
        <v>594</v>
      </c>
      <c r="E14" s="992">
        <v>1559689.07</v>
      </c>
      <c r="F14" s="1052" t="s">
        <v>565</v>
      </c>
      <c r="G14" s="1418">
        <f t="shared" si="0"/>
        <v>1559689.07</v>
      </c>
      <c r="H14" s="1419">
        <v>0</v>
      </c>
      <c r="I14" s="1419">
        <f t="shared" si="4"/>
        <v>1559689.07</v>
      </c>
      <c r="J14" s="1418">
        <f t="shared" si="1"/>
        <v>0</v>
      </c>
      <c r="K14" s="1418"/>
      <c r="L14" s="1420"/>
      <c r="M14" s="1419">
        <f t="shared" si="2"/>
        <v>0</v>
      </c>
      <c r="N14" s="1418">
        <f t="shared" si="3"/>
        <v>0</v>
      </c>
      <c r="O14" s="1419">
        <v>1</v>
      </c>
    </row>
    <row r="15" spans="1:15">
      <c r="A15" s="203" t="s">
        <v>595</v>
      </c>
      <c r="B15" s="199">
        <v>451</v>
      </c>
      <c r="C15" s="204" t="s">
        <v>596</v>
      </c>
      <c r="D15" s="200" t="s">
        <v>597</v>
      </c>
      <c r="E15" s="992">
        <v>5732.8</v>
      </c>
      <c r="F15" s="1052" t="s">
        <v>565</v>
      </c>
      <c r="G15" s="1418">
        <f t="shared" si="0"/>
        <v>5732.8</v>
      </c>
      <c r="H15" s="1419">
        <v>0</v>
      </c>
      <c r="I15" s="1419">
        <f t="shared" si="4"/>
        <v>5732.8</v>
      </c>
      <c r="J15" s="1418">
        <f t="shared" si="1"/>
        <v>0</v>
      </c>
      <c r="K15" s="1418"/>
      <c r="L15" s="1420"/>
      <c r="M15" s="1419">
        <f t="shared" si="2"/>
        <v>0</v>
      </c>
      <c r="N15" s="1418">
        <f t="shared" si="3"/>
        <v>0</v>
      </c>
      <c r="O15" s="1419">
        <v>1</v>
      </c>
    </row>
    <row r="16" spans="1:15">
      <c r="A16" s="203" t="s">
        <v>598</v>
      </c>
      <c r="B16" s="199">
        <v>451</v>
      </c>
      <c r="C16" s="204" t="s">
        <v>599</v>
      </c>
      <c r="D16" s="200" t="s">
        <v>600</v>
      </c>
      <c r="E16" s="1416">
        <v>-140.24</v>
      </c>
      <c r="F16" s="1052" t="s">
        <v>565</v>
      </c>
      <c r="G16" s="1418">
        <f t="shared" si="0"/>
        <v>-140.24</v>
      </c>
      <c r="H16" s="1419">
        <v>0</v>
      </c>
      <c r="I16" s="1419">
        <f t="shared" si="4"/>
        <v>-140.24</v>
      </c>
      <c r="J16" s="1418">
        <f t="shared" si="1"/>
        <v>0</v>
      </c>
      <c r="K16" s="1418"/>
      <c r="L16" s="1420"/>
      <c r="M16" s="1419">
        <f t="shared" si="2"/>
        <v>0</v>
      </c>
      <c r="N16" s="1418">
        <f t="shared" si="3"/>
        <v>0</v>
      </c>
      <c r="O16" s="1419">
        <v>1</v>
      </c>
    </row>
    <row r="17" spans="1:15">
      <c r="A17" s="203" t="s">
        <v>601</v>
      </c>
      <c r="B17" s="199">
        <v>451</v>
      </c>
      <c r="C17" s="204" t="s">
        <v>602</v>
      </c>
      <c r="D17" s="200" t="s">
        <v>603</v>
      </c>
      <c r="E17" s="992">
        <v>25</v>
      </c>
      <c r="F17" s="1052" t="s">
        <v>565</v>
      </c>
      <c r="G17" s="1418">
        <f t="shared" si="0"/>
        <v>25</v>
      </c>
      <c r="H17" s="1419">
        <v>0</v>
      </c>
      <c r="I17" s="1419">
        <f t="shared" si="4"/>
        <v>25</v>
      </c>
      <c r="J17" s="1418">
        <f t="shared" si="1"/>
        <v>0</v>
      </c>
      <c r="K17" s="1418"/>
      <c r="L17" s="1420"/>
      <c r="M17" s="1419">
        <f t="shared" si="2"/>
        <v>0</v>
      </c>
      <c r="N17" s="1418">
        <f t="shared" si="3"/>
        <v>0</v>
      </c>
      <c r="O17" s="1419">
        <v>1</v>
      </c>
    </row>
    <row r="18" spans="1:15">
      <c r="A18" s="203" t="s">
        <v>604</v>
      </c>
      <c r="B18" s="199">
        <v>451</v>
      </c>
      <c r="C18" s="204" t="s">
        <v>605</v>
      </c>
      <c r="D18" s="200" t="s">
        <v>606</v>
      </c>
      <c r="E18" s="1416">
        <v>-117.18</v>
      </c>
      <c r="F18" s="1052" t="s">
        <v>566</v>
      </c>
      <c r="G18" s="1418">
        <f t="shared" si="0"/>
        <v>0</v>
      </c>
      <c r="H18" s="1419">
        <v>0</v>
      </c>
      <c r="I18" s="1419">
        <f t="shared" si="4"/>
        <v>0</v>
      </c>
      <c r="J18" s="1418">
        <f>IF(F18=$J$2,E18,0)</f>
        <v>-117.18</v>
      </c>
      <c r="K18" s="1421" t="s">
        <v>607</v>
      </c>
      <c r="L18" s="1420">
        <v>0</v>
      </c>
      <c r="M18" s="1419">
        <f t="shared" ref="M18:M26" si="5">J18-L18</f>
        <v>-117.18</v>
      </c>
      <c r="N18" s="1418">
        <f t="shared" si="3"/>
        <v>0</v>
      </c>
      <c r="O18" s="1419">
        <v>2</v>
      </c>
    </row>
    <row r="19" spans="1:15">
      <c r="A19" s="203" t="s">
        <v>608</v>
      </c>
      <c r="B19" s="199">
        <v>451</v>
      </c>
      <c r="C19" s="204" t="s">
        <v>609</v>
      </c>
      <c r="D19" s="200" t="s">
        <v>610</v>
      </c>
      <c r="E19" s="992">
        <v>499047.69</v>
      </c>
      <c r="F19" s="1052" t="s">
        <v>567</v>
      </c>
      <c r="G19" s="1418">
        <f>IF(F19=$G$2,E19,0)</f>
        <v>0</v>
      </c>
      <c r="H19" s="1419">
        <v>0</v>
      </c>
      <c r="I19" s="1419">
        <f t="shared" si="4"/>
        <v>0</v>
      </c>
      <c r="J19" s="1418">
        <f>IF(F19=$J$2,E19,0)</f>
        <v>0</v>
      </c>
      <c r="K19" s="1418"/>
      <c r="L19" s="1420"/>
      <c r="M19" s="1419">
        <f t="shared" si="5"/>
        <v>0</v>
      </c>
      <c r="N19" s="1418">
        <f t="shared" ref="N19:N27" si="6">IF(F19=$N$2,E19,0)</f>
        <v>499047.69</v>
      </c>
      <c r="O19" s="1419">
        <v>6</v>
      </c>
    </row>
    <row r="20" spans="1:15">
      <c r="A20" s="198" t="s">
        <v>2042</v>
      </c>
      <c r="B20" s="199">
        <v>451</v>
      </c>
      <c r="C20" s="199">
        <v>4182120</v>
      </c>
      <c r="D20" s="216" t="s">
        <v>2043</v>
      </c>
      <c r="E20" s="992"/>
      <c r="F20" s="298" t="s">
        <v>565</v>
      </c>
      <c r="G20" s="1418">
        <f t="shared" si="0"/>
        <v>0</v>
      </c>
      <c r="H20" s="1419">
        <v>0</v>
      </c>
      <c r="I20" s="1419">
        <f t="shared" si="4"/>
        <v>0</v>
      </c>
      <c r="J20" s="1418">
        <f t="shared" si="1"/>
        <v>0</v>
      </c>
      <c r="K20" s="1418"/>
      <c r="L20" s="1420"/>
      <c r="M20" s="1419">
        <f t="shared" si="5"/>
        <v>0</v>
      </c>
      <c r="N20" s="1418">
        <f t="shared" si="6"/>
        <v>0</v>
      </c>
      <c r="O20" s="1419">
        <v>1</v>
      </c>
    </row>
    <row r="21" spans="1:15">
      <c r="A21" s="198" t="s">
        <v>2044</v>
      </c>
      <c r="B21" s="199">
        <v>451</v>
      </c>
      <c r="C21" s="199">
        <v>4192152</v>
      </c>
      <c r="D21" s="216" t="s">
        <v>2045</v>
      </c>
      <c r="E21" s="992">
        <v>1750</v>
      </c>
      <c r="F21" s="1052" t="s">
        <v>567</v>
      </c>
      <c r="G21" s="1418">
        <f t="shared" ref="G21:G26" si="7">IF(F21=$G$2,E21,0)</f>
        <v>0</v>
      </c>
      <c r="H21" s="1419">
        <v>0</v>
      </c>
      <c r="I21" s="1419">
        <f t="shared" ref="I21:I27" si="8">G21-H21</f>
        <v>0</v>
      </c>
      <c r="J21" s="1418">
        <f t="shared" ref="J21:J27" si="9">IF(F21=$J$2,E21,0)</f>
        <v>0</v>
      </c>
      <c r="K21" s="1418"/>
      <c r="L21" s="1420"/>
      <c r="M21" s="1419">
        <f t="shared" si="5"/>
        <v>0</v>
      </c>
      <c r="N21" s="1418">
        <f t="shared" si="6"/>
        <v>1750</v>
      </c>
      <c r="O21" s="1419">
        <v>1</v>
      </c>
    </row>
    <row r="22" spans="1:15">
      <c r="A22" s="198" t="s">
        <v>2046</v>
      </c>
      <c r="B22" s="199">
        <v>451</v>
      </c>
      <c r="C22" s="199">
        <v>4192155</v>
      </c>
      <c r="D22" s="216" t="s">
        <v>2047</v>
      </c>
      <c r="E22" s="992">
        <v>31720</v>
      </c>
      <c r="F22" s="1052" t="s">
        <v>567</v>
      </c>
      <c r="G22" s="1418">
        <f t="shared" si="7"/>
        <v>0</v>
      </c>
      <c r="H22" s="1419">
        <v>0</v>
      </c>
      <c r="I22" s="1419">
        <f t="shared" si="8"/>
        <v>0</v>
      </c>
      <c r="J22" s="1418">
        <f t="shared" si="9"/>
        <v>0</v>
      </c>
      <c r="K22" s="1418"/>
      <c r="L22" s="1420"/>
      <c r="M22" s="1419">
        <f t="shared" si="5"/>
        <v>0</v>
      </c>
      <c r="N22" s="1418">
        <f t="shared" si="6"/>
        <v>31720</v>
      </c>
      <c r="O22" s="1419">
        <v>1</v>
      </c>
    </row>
    <row r="23" spans="1:15">
      <c r="A23" s="198" t="s">
        <v>2048</v>
      </c>
      <c r="B23" s="199">
        <v>451</v>
      </c>
      <c r="C23" s="199">
        <v>4192158</v>
      </c>
      <c r="D23" s="216" t="s">
        <v>2049</v>
      </c>
      <c r="E23" s="992">
        <v>47475</v>
      </c>
      <c r="F23" s="1052" t="s">
        <v>567</v>
      </c>
      <c r="G23" s="1418">
        <f t="shared" si="7"/>
        <v>0</v>
      </c>
      <c r="H23" s="1419">
        <v>0</v>
      </c>
      <c r="I23" s="1419">
        <f t="shared" si="8"/>
        <v>0</v>
      </c>
      <c r="J23" s="1418">
        <f t="shared" si="9"/>
        <v>0</v>
      </c>
      <c r="K23" s="1418"/>
      <c r="L23" s="1420"/>
      <c r="M23" s="1419">
        <f t="shared" si="5"/>
        <v>0</v>
      </c>
      <c r="N23" s="1418">
        <f t="shared" si="6"/>
        <v>47475</v>
      </c>
      <c r="O23" s="1419">
        <v>1</v>
      </c>
    </row>
    <row r="24" spans="1:15">
      <c r="A24" s="198" t="s">
        <v>2050</v>
      </c>
      <c r="B24" s="199">
        <v>451</v>
      </c>
      <c r="C24" s="199">
        <v>4192160</v>
      </c>
      <c r="D24" s="216" t="s">
        <v>2051</v>
      </c>
      <c r="E24" s="992">
        <v>187720</v>
      </c>
      <c r="F24" s="1052" t="s">
        <v>567</v>
      </c>
      <c r="G24" s="1418">
        <f t="shared" si="7"/>
        <v>0</v>
      </c>
      <c r="H24" s="1419">
        <v>0</v>
      </c>
      <c r="I24" s="1419">
        <f t="shared" si="8"/>
        <v>0</v>
      </c>
      <c r="J24" s="1418">
        <f t="shared" si="9"/>
        <v>0</v>
      </c>
      <c r="K24" s="1418"/>
      <c r="L24" s="1420"/>
      <c r="M24" s="1419">
        <f t="shared" si="5"/>
        <v>0</v>
      </c>
      <c r="N24" s="1418">
        <f t="shared" si="6"/>
        <v>187720</v>
      </c>
      <c r="O24" s="1419">
        <v>1</v>
      </c>
    </row>
    <row r="25" spans="1:15" s="972" customFormat="1">
      <c r="A25" s="198" t="s">
        <v>2168</v>
      </c>
      <c r="B25" s="199">
        <v>451</v>
      </c>
      <c r="C25" s="199">
        <v>4192135</v>
      </c>
      <c r="D25" s="1294" t="s">
        <v>2169</v>
      </c>
      <c r="E25" s="992">
        <v>5612155.6399999997</v>
      </c>
      <c r="F25" s="1052" t="s">
        <v>565</v>
      </c>
      <c r="G25" s="1418">
        <f t="shared" si="7"/>
        <v>5612155.6399999997</v>
      </c>
      <c r="H25" s="1419">
        <v>0</v>
      </c>
      <c r="I25" s="1419">
        <f t="shared" si="8"/>
        <v>5612155.6399999997</v>
      </c>
      <c r="J25" s="1418">
        <f t="shared" si="9"/>
        <v>0</v>
      </c>
      <c r="K25" s="1418"/>
      <c r="L25" s="1420"/>
      <c r="M25" s="1419">
        <f t="shared" si="5"/>
        <v>0</v>
      </c>
      <c r="N25" s="1418">
        <f t="shared" si="6"/>
        <v>0</v>
      </c>
      <c r="O25" s="1419">
        <v>1</v>
      </c>
    </row>
    <row r="26" spans="1:15" s="972" customFormat="1">
      <c r="A26" s="198" t="s">
        <v>2170</v>
      </c>
      <c r="B26" s="199">
        <v>451</v>
      </c>
      <c r="C26" s="199">
        <v>4192145</v>
      </c>
      <c r="D26" s="990" t="s">
        <v>2171</v>
      </c>
      <c r="E26" s="992">
        <v>2115441</v>
      </c>
      <c r="F26" s="1052" t="s">
        <v>565</v>
      </c>
      <c r="G26" s="1418">
        <f t="shared" si="7"/>
        <v>2115441</v>
      </c>
      <c r="H26" s="1419">
        <v>0</v>
      </c>
      <c r="I26" s="1419">
        <f t="shared" si="8"/>
        <v>2115441</v>
      </c>
      <c r="J26" s="1418">
        <f t="shared" si="9"/>
        <v>0</v>
      </c>
      <c r="K26" s="1418"/>
      <c r="L26" s="1420"/>
      <c r="M26" s="1419">
        <f t="shared" si="5"/>
        <v>0</v>
      </c>
      <c r="N26" s="1418">
        <f t="shared" si="6"/>
        <v>0</v>
      </c>
      <c r="O26" s="1419">
        <v>1</v>
      </c>
    </row>
    <row r="27" spans="1:15" s="972" customFormat="1">
      <c r="A27" s="198" t="s">
        <v>2172</v>
      </c>
      <c r="B27" s="199">
        <v>451</v>
      </c>
      <c r="C27" s="199">
        <v>4192150</v>
      </c>
      <c r="D27" s="990" t="s">
        <v>2173</v>
      </c>
      <c r="E27" s="992">
        <v>24083</v>
      </c>
      <c r="F27" s="1052" t="s">
        <v>565</v>
      </c>
      <c r="G27" s="1418">
        <f>IF(F27=$G$2,E27,0)</f>
        <v>24083</v>
      </c>
      <c r="H27" s="1419">
        <v>0</v>
      </c>
      <c r="I27" s="1419">
        <f t="shared" si="8"/>
        <v>24083</v>
      </c>
      <c r="J27" s="1418">
        <f t="shared" si="9"/>
        <v>0</v>
      </c>
      <c r="K27" s="1418"/>
      <c r="L27" s="1420"/>
      <c r="M27" s="1419">
        <f>J27-L27</f>
        <v>0</v>
      </c>
      <c r="N27" s="1418">
        <f t="shared" si="6"/>
        <v>0</v>
      </c>
      <c r="O27" s="1419">
        <v>1</v>
      </c>
    </row>
    <row r="28" spans="1:15" s="14" customFormat="1">
      <c r="A28" s="897" t="s">
        <v>2837</v>
      </c>
      <c r="B28" s="199">
        <v>451</v>
      </c>
      <c r="C28" s="199" t="s">
        <v>2840</v>
      </c>
      <c r="D28" s="1294" t="s">
        <v>2480</v>
      </c>
      <c r="E28" s="298">
        <v>3922175</v>
      </c>
      <c r="F28" s="1052" t="s">
        <v>565</v>
      </c>
      <c r="G28" s="1418">
        <f t="shared" ref="G28:G29" si="10">IF(F28=$G$2,E28,0)</f>
        <v>3922175</v>
      </c>
      <c r="H28" s="1419">
        <v>0</v>
      </c>
      <c r="I28" s="1419">
        <f t="shared" ref="I28:I29" si="11">G28-H28</f>
        <v>3922175</v>
      </c>
      <c r="J28" s="1418">
        <f t="shared" ref="J28:J29" si="12">IF(F28=$J$2,E28,0)</f>
        <v>0</v>
      </c>
      <c r="K28" s="1418"/>
      <c r="L28" s="1422"/>
      <c r="M28" s="1419">
        <f t="shared" ref="M28:M29" si="13">J28-L28</f>
        <v>0</v>
      </c>
      <c r="N28" s="1418">
        <f t="shared" ref="N28:N29" si="14">IF(F28=$N$2,E28,0)</f>
        <v>0</v>
      </c>
      <c r="O28" s="1419">
        <v>1</v>
      </c>
    </row>
    <row r="29" spans="1:15" s="14" customFormat="1">
      <c r="A29" s="897" t="s">
        <v>2838</v>
      </c>
      <c r="B29" s="199">
        <v>451</v>
      </c>
      <c r="C29" s="199" t="s">
        <v>2842</v>
      </c>
      <c r="D29" s="1294" t="s">
        <v>2844</v>
      </c>
      <c r="E29" s="1417">
        <v>-864960</v>
      </c>
      <c r="F29" s="1052" t="s">
        <v>565</v>
      </c>
      <c r="G29" s="1418">
        <f t="shared" si="10"/>
        <v>-864960</v>
      </c>
      <c r="H29" s="1419">
        <v>0</v>
      </c>
      <c r="I29" s="1419">
        <f t="shared" si="11"/>
        <v>-864960</v>
      </c>
      <c r="J29" s="1418">
        <f t="shared" si="12"/>
        <v>0</v>
      </c>
      <c r="K29" s="1418"/>
      <c r="L29" s="1422"/>
      <c r="M29" s="1419">
        <f t="shared" si="13"/>
        <v>0</v>
      </c>
      <c r="N29" s="1418">
        <f t="shared" si="14"/>
        <v>0</v>
      </c>
      <c r="O29" s="1419">
        <v>1</v>
      </c>
    </row>
    <row r="30" spans="1:15" s="467" customFormat="1">
      <c r="A30" s="1095" t="s">
        <v>2839</v>
      </c>
      <c r="B30" s="1444">
        <v>451</v>
      </c>
      <c r="C30" s="1444" t="s">
        <v>2841</v>
      </c>
      <c r="D30" s="1445" t="s">
        <v>2843</v>
      </c>
      <c r="E30" s="1052">
        <v>800</v>
      </c>
      <c r="F30" s="1052" t="s">
        <v>565</v>
      </c>
      <c r="G30" s="1426">
        <f t="shared" ref="G30" si="15">IF(F30=$G$2,E30,0)</f>
        <v>800</v>
      </c>
      <c r="H30" s="1420">
        <v>0</v>
      </c>
      <c r="I30" s="1420">
        <f t="shared" ref="I30" si="16">G30-H30</f>
        <v>800</v>
      </c>
      <c r="J30" s="1426">
        <f t="shared" ref="J30" si="17">IF(F30=$J$2,E30,0)</f>
        <v>0</v>
      </c>
      <c r="K30" s="1426"/>
      <c r="L30" s="1420"/>
      <c r="M30" s="1420">
        <f t="shared" ref="M30" si="18">J30-L30</f>
        <v>0</v>
      </c>
      <c r="N30" s="1426">
        <f t="shared" ref="N30" si="19">IF(F30=$N$2,E30,0)</f>
        <v>0</v>
      </c>
      <c r="O30" s="1420">
        <v>1</v>
      </c>
    </row>
    <row r="31" spans="1:15">
      <c r="A31" s="326"/>
      <c r="B31" s="323"/>
      <c r="C31" s="322"/>
      <c r="D31" s="710"/>
      <c r="E31" s="298"/>
      <c r="F31" s="298"/>
      <c r="G31" s="1417"/>
      <c r="H31" s="1422"/>
      <c r="I31" s="1422"/>
      <c r="J31" s="1417"/>
      <c r="K31" s="1417"/>
      <c r="L31" s="1422"/>
      <c r="M31" s="1422"/>
      <c r="N31" s="1417"/>
      <c r="O31" s="1422"/>
    </row>
    <row r="32" spans="1:15" ht="13">
      <c r="A32" s="203">
        <v>5</v>
      </c>
      <c r="B32" s="1494" t="s">
        <v>611</v>
      </c>
      <c r="C32" s="1492"/>
      <c r="D32" s="1493"/>
      <c r="E32" s="306">
        <f>SUM(E11:E31)</f>
        <v>13363900.43</v>
      </c>
      <c r="F32" s="315"/>
      <c r="G32" s="1423">
        <f>SUM(G11:G31)</f>
        <v>12596304.92</v>
      </c>
      <c r="H32" s="1424">
        <f>SUM(H11:H31)</f>
        <v>0</v>
      </c>
      <c r="I32" s="1423">
        <f>SUM(I11:I31)</f>
        <v>12596304.92</v>
      </c>
      <c r="J32" s="1423">
        <f>SUM(J11:J31)</f>
        <v>-117.18</v>
      </c>
      <c r="K32" s="1425"/>
      <c r="L32" s="1423">
        <f>SUM(L11:L31)</f>
        <v>0</v>
      </c>
      <c r="M32" s="1423">
        <f>SUM(M11:M31)</f>
        <v>-117.18</v>
      </c>
      <c r="N32" s="1423">
        <f>SUM(N11:N31)</f>
        <v>767712.69</v>
      </c>
      <c r="O32" s="1419"/>
    </row>
    <row r="33" spans="1:15" ht="25.5" customHeight="1">
      <c r="A33" s="203">
        <v>6</v>
      </c>
      <c r="B33" s="1486" t="s">
        <v>1225</v>
      </c>
      <c r="C33" s="1487"/>
      <c r="D33" s="1488"/>
      <c r="E33" s="1094">
        <v>13363900</v>
      </c>
      <c r="F33" s="305"/>
      <c r="G33" s="293"/>
      <c r="H33" s="210"/>
      <c r="I33" s="210"/>
      <c r="J33" s="293"/>
      <c r="K33" s="305"/>
      <c r="L33" s="293"/>
      <c r="M33" s="293"/>
      <c r="N33" s="305"/>
    </row>
    <row r="34" spans="1:15" ht="13">
      <c r="A34" s="212"/>
      <c r="B34" s="207"/>
      <c r="C34" s="208"/>
      <c r="D34" s="209"/>
      <c r="E34" s="293"/>
      <c r="F34" s="293"/>
      <c r="G34" s="293"/>
      <c r="H34" s="210"/>
      <c r="I34" s="210"/>
      <c r="J34" s="293"/>
      <c r="K34" s="305"/>
      <c r="L34" s="293"/>
      <c r="M34" s="293"/>
      <c r="N34" s="293"/>
    </row>
    <row r="35" spans="1:15">
      <c r="A35" s="326"/>
      <c r="B35" s="323"/>
      <c r="C35" s="322"/>
      <c r="D35" s="324"/>
      <c r="E35" s="298"/>
      <c r="F35" s="298"/>
      <c r="G35" s="302"/>
      <c r="H35" s="299"/>
      <c r="I35" s="300"/>
      <c r="J35" s="298"/>
      <c r="K35" s="298"/>
      <c r="L35" s="300"/>
      <c r="M35" s="300"/>
      <c r="N35" s="298"/>
      <c r="O35" s="299"/>
    </row>
    <row r="36" spans="1:15">
      <c r="A36" s="326"/>
      <c r="B36" s="323"/>
      <c r="C36" s="322"/>
      <c r="D36" s="324"/>
      <c r="E36" s="298"/>
      <c r="F36" s="298"/>
      <c r="G36" s="302"/>
      <c r="H36" s="299"/>
      <c r="I36" s="300"/>
      <c r="J36" s="298"/>
      <c r="K36" s="298"/>
      <c r="L36" s="300"/>
      <c r="M36" s="300"/>
      <c r="N36" s="298"/>
      <c r="O36" s="299"/>
    </row>
    <row r="37" spans="1:15" ht="13">
      <c r="A37" s="203">
        <v>8</v>
      </c>
      <c r="B37" s="1494" t="s">
        <v>612</v>
      </c>
      <c r="C37" s="1492"/>
      <c r="D37" s="1493"/>
      <c r="E37" s="306">
        <f>SUM(E35:E36)</f>
        <v>0</v>
      </c>
      <c r="F37" s="315"/>
      <c r="G37" s="306">
        <f>SUM(G35:G36)</f>
        <v>0</v>
      </c>
      <c r="H37" s="192">
        <f>SUM(H35:H36)</f>
        <v>0</v>
      </c>
      <c r="I37" s="306">
        <f>SUM(I35:I36)</f>
        <v>0</v>
      </c>
      <c r="J37" s="306">
        <f>SUM(J35:J36)</f>
        <v>0</v>
      </c>
      <c r="K37" s="315"/>
      <c r="L37" s="306">
        <f>SUM(L35:L36)</f>
        <v>0</v>
      </c>
      <c r="M37" s="306">
        <f>SUM(M35:M36)</f>
        <v>0</v>
      </c>
      <c r="N37" s="306">
        <f>SUM(N35:N36)</f>
        <v>0</v>
      </c>
      <c r="O37" s="192"/>
    </row>
    <row r="38" spans="1:15" ht="25.5" customHeight="1">
      <c r="A38" s="203">
        <v>9</v>
      </c>
      <c r="B38" s="1489" t="s">
        <v>1226</v>
      </c>
      <c r="C38" s="1490"/>
      <c r="D38" s="1490"/>
      <c r="E38" s="318">
        <v>0</v>
      </c>
      <c r="F38" s="305"/>
      <c r="G38" s="293"/>
      <c r="H38" s="210"/>
      <c r="I38" s="214"/>
      <c r="J38" s="293"/>
      <c r="K38" s="305"/>
      <c r="L38" s="293"/>
      <c r="M38" s="293"/>
      <c r="N38" s="293"/>
      <c r="O38" s="190"/>
    </row>
    <row r="39" spans="1:15" ht="13">
      <c r="A39" s="206"/>
      <c r="B39" s="207"/>
      <c r="C39" s="208"/>
      <c r="D39" s="209"/>
      <c r="E39" s="293"/>
      <c r="F39" s="293"/>
      <c r="G39" s="293"/>
      <c r="H39" s="210"/>
      <c r="I39" s="214"/>
      <c r="J39" s="293"/>
      <c r="K39" s="305"/>
      <c r="L39" s="293"/>
      <c r="M39" s="293"/>
      <c r="N39" s="293"/>
      <c r="O39" s="190"/>
    </row>
    <row r="40" spans="1:15">
      <c r="A40" s="203" t="s">
        <v>613</v>
      </c>
      <c r="B40" s="199">
        <v>454</v>
      </c>
      <c r="C40" s="200" t="s">
        <v>617</v>
      </c>
      <c r="D40" s="200" t="s">
        <v>618</v>
      </c>
      <c r="E40" s="992">
        <v>651462.25</v>
      </c>
      <c r="F40" s="1052" t="s">
        <v>565</v>
      </c>
      <c r="G40" s="294">
        <f>IF(F40=$G$2,E40,0)</f>
        <v>651462.25</v>
      </c>
      <c r="H40" s="202">
        <v>0</v>
      </c>
      <c r="I40" s="202">
        <f>G40-H40</f>
        <v>651462.25</v>
      </c>
      <c r="J40" s="294">
        <f>IF(F40=$J$2,E40,0)</f>
        <v>0</v>
      </c>
      <c r="K40" s="294"/>
      <c r="L40" s="711"/>
      <c r="M40" s="202">
        <f>J40-L40</f>
        <v>0</v>
      </c>
      <c r="N40" s="294">
        <f>IF(F40=$N$2,E40,0)</f>
        <v>0</v>
      </c>
      <c r="O40" s="201">
        <v>4</v>
      </c>
    </row>
    <row r="41" spans="1:15">
      <c r="A41" s="203" t="s">
        <v>614</v>
      </c>
      <c r="B41" s="199">
        <v>454</v>
      </c>
      <c r="C41" s="204" t="s">
        <v>620</v>
      </c>
      <c r="D41" s="200" t="s">
        <v>621</v>
      </c>
      <c r="E41" s="992">
        <v>5202845.7699999996</v>
      </c>
      <c r="F41" s="1052" t="s">
        <v>565</v>
      </c>
      <c r="G41" s="294">
        <f>IF(F41=$G$2,E41,0)</f>
        <v>5202845.7699999996</v>
      </c>
      <c r="H41" s="202">
        <v>0</v>
      </c>
      <c r="I41" s="202">
        <f>G41-H41</f>
        <v>5202845.7699999996</v>
      </c>
      <c r="J41" s="294">
        <f t="shared" ref="J41:J52" si="20">IF(F41=$J$2,E41,0)</f>
        <v>0</v>
      </c>
      <c r="K41" s="294"/>
      <c r="L41" s="711"/>
      <c r="M41" s="202">
        <f t="shared" ref="M41:M43" si="21">J41-L41</f>
        <v>0</v>
      </c>
      <c r="N41" s="294">
        <f>IF(F41=$N$2,E41,0)</f>
        <v>0</v>
      </c>
      <c r="O41" s="201">
        <v>4</v>
      </c>
    </row>
    <row r="42" spans="1:15">
      <c r="A42" s="203" t="s">
        <v>615</v>
      </c>
      <c r="B42" s="199">
        <v>454</v>
      </c>
      <c r="C42" s="204" t="s">
        <v>623</v>
      </c>
      <c r="D42" s="200" t="s">
        <v>624</v>
      </c>
      <c r="E42" s="992">
        <v>536412.22</v>
      </c>
      <c r="F42" s="1052" t="s">
        <v>565</v>
      </c>
      <c r="G42" s="294">
        <f>IF(F42=$G$2,E42,0)</f>
        <v>536412.22</v>
      </c>
      <c r="H42" s="202">
        <v>0</v>
      </c>
      <c r="I42" s="202">
        <f>G42-H42</f>
        <v>536412.22</v>
      </c>
      <c r="J42" s="294">
        <f t="shared" si="20"/>
        <v>0</v>
      </c>
      <c r="K42" s="294"/>
      <c r="L42" s="711"/>
      <c r="M42" s="202">
        <f t="shared" si="21"/>
        <v>0</v>
      </c>
      <c r="N42" s="294">
        <f>IF(F42=$N$2,E42,0)</f>
        <v>0</v>
      </c>
      <c r="O42" s="201">
        <v>4</v>
      </c>
    </row>
    <row r="43" spans="1:15">
      <c r="A43" s="1111" t="s">
        <v>616</v>
      </c>
      <c r="B43" s="199">
        <v>454</v>
      </c>
      <c r="C43" s="215">
        <v>4184120</v>
      </c>
      <c r="D43" s="200" t="s">
        <v>1370</v>
      </c>
      <c r="E43" s="992">
        <v>1154500</v>
      </c>
      <c r="F43" s="1052" t="s">
        <v>565</v>
      </c>
      <c r="G43" s="294">
        <f>IF(F43=$G$2,E43,0)</f>
        <v>1154500</v>
      </c>
      <c r="H43" s="202">
        <v>0</v>
      </c>
      <c r="I43" s="202">
        <f>G43-H43</f>
        <v>1154500</v>
      </c>
      <c r="J43" s="294">
        <f t="shared" si="20"/>
        <v>0</v>
      </c>
      <c r="K43" s="294"/>
      <c r="L43" s="711"/>
      <c r="M43" s="202">
        <f t="shared" si="21"/>
        <v>0</v>
      </c>
      <c r="N43" s="294">
        <f>IF(F43=$N$2,E43,0)</f>
        <v>0</v>
      </c>
      <c r="O43" s="201">
        <v>4</v>
      </c>
    </row>
    <row r="44" spans="1:15">
      <c r="A44" s="1110" t="s">
        <v>619</v>
      </c>
      <c r="B44" s="199">
        <v>454</v>
      </c>
      <c r="C44" s="204" t="s">
        <v>628</v>
      </c>
      <c r="D44" s="200" t="s">
        <v>629</v>
      </c>
      <c r="E44" s="992">
        <v>264873.84999999998</v>
      </c>
      <c r="F44" s="1052" t="s">
        <v>566</v>
      </c>
      <c r="G44" s="294">
        <f t="shared" ref="G44:G50" si="22">IF(F44=$G$2,E44,0)</f>
        <v>0</v>
      </c>
      <c r="H44" s="202">
        <v>0</v>
      </c>
      <c r="I44" s="202">
        <f>G44-H44</f>
        <v>0</v>
      </c>
      <c r="J44" s="294">
        <f t="shared" si="20"/>
        <v>264873.84999999998</v>
      </c>
      <c r="K44" s="331" t="s">
        <v>607</v>
      </c>
      <c r="L44" s="993">
        <v>51713</v>
      </c>
      <c r="M44" s="202">
        <f>J44-L44</f>
        <v>213160.84999999998</v>
      </c>
      <c r="N44" s="294">
        <f>IF(F44=$N$2,E44,0)</f>
        <v>0</v>
      </c>
      <c r="O44" s="201">
        <v>2</v>
      </c>
    </row>
    <row r="45" spans="1:15">
      <c r="A45" s="203" t="s">
        <v>622</v>
      </c>
      <c r="B45" s="199">
        <v>454</v>
      </c>
      <c r="C45" s="204" t="s">
        <v>631</v>
      </c>
      <c r="D45" s="200" t="s">
        <v>632</v>
      </c>
      <c r="E45" s="992">
        <v>35349</v>
      </c>
      <c r="F45" s="1052" t="s">
        <v>566</v>
      </c>
      <c r="G45" s="294">
        <f t="shared" si="22"/>
        <v>0</v>
      </c>
      <c r="H45" s="202">
        <v>0</v>
      </c>
      <c r="I45" s="202">
        <f t="shared" ref="I45:I47" si="23">G45-H45</f>
        <v>0</v>
      </c>
      <c r="J45" s="294">
        <f t="shared" si="20"/>
        <v>35349</v>
      </c>
      <c r="K45" s="331" t="s">
        <v>607</v>
      </c>
      <c r="L45" s="993">
        <v>1626</v>
      </c>
      <c r="M45" s="202">
        <f>J45-L45</f>
        <v>33723</v>
      </c>
      <c r="N45" s="294">
        <f t="shared" ref="N45:N50" si="24">IF(F45=$N$2,E45,0)</f>
        <v>0</v>
      </c>
      <c r="O45" s="201">
        <v>2</v>
      </c>
    </row>
    <row r="46" spans="1:15">
      <c r="A46" s="203" t="s">
        <v>625</v>
      </c>
      <c r="B46" s="199">
        <v>454</v>
      </c>
      <c r="C46" s="204" t="s">
        <v>634</v>
      </c>
      <c r="D46" s="200" t="s">
        <v>635</v>
      </c>
      <c r="E46" s="992"/>
      <c r="F46" s="1052" t="s">
        <v>566</v>
      </c>
      <c r="G46" s="294">
        <f t="shared" si="22"/>
        <v>0</v>
      </c>
      <c r="H46" s="202">
        <v>0</v>
      </c>
      <c r="I46" s="202">
        <f t="shared" si="23"/>
        <v>0</v>
      </c>
      <c r="J46" s="294">
        <f t="shared" si="20"/>
        <v>0</v>
      </c>
      <c r="K46" s="331" t="s">
        <v>607</v>
      </c>
      <c r="L46" s="993"/>
      <c r="M46" s="202">
        <f>J46-L46</f>
        <v>0</v>
      </c>
      <c r="N46" s="294">
        <f t="shared" si="24"/>
        <v>0</v>
      </c>
      <c r="O46" s="201">
        <v>2</v>
      </c>
    </row>
    <row r="47" spans="1:15">
      <c r="A47" s="203" t="s">
        <v>626</v>
      </c>
      <c r="B47" s="199">
        <v>454</v>
      </c>
      <c r="C47" s="215" t="s">
        <v>637</v>
      </c>
      <c r="D47" s="200" t="s">
        <v>638</v>
      </c>
      <c r="E47" s="992">
        <v>22204.57</v>
      </c>
      <c r="F47" s="1052" t="s">
        <v>566</v>
      </c>
      <c r="G47" s="294">
        <f t="shared" si="22"/>
        <v>0</v>
      </c>
      <c r="H47" s="202">
        <v>0</v>
      </c>
      <c r="I47" s="202">
        <f t="shared" si="23"/>
        <v>0</v>
      </c>
      <c r="J47" s="294">
        <f t="shared" si="20"/>
        <v>22204.57</v>
      </c>
      <c r="K47" s="331" t="s">
        <v>607</v>
      </c>
      <c r="L47" s="1293">
        <v>6751.2629146950003</v>
      </c>
      <c r="M47" s="202">
        <f t="shared" ref="M47:M65" si="25">J47-L47</f>
        <v>15453.307085304999</v>
      </c>
      <c r="N47" s="294">
        <f t="shared" si="24"/>
        <v>0</v>
      </c>
      <c r="O47" s="201">
        <v>2</v>
      </c>
    </row>
    <row r="48" spans="1:15">
      <c r="A48" s="203" t="s">
        <v>627</v>
      </c>
      <c r="B48" s="199">
        <v>454</v>
      </c>
      <c r="C48" s="200" t="s">
        <v>640</v>
      </c>
      <c r="D48" s="200" t="s">
        <v>1222</v>
      </c>
      <c r="E48" s="1416">
        <v>-117245.05</v>
      </c>
      <c r="F48" s="1052" t="s">
        <v>565</v>
      </c>
      <c r="G48" s="294">
        <f>IF(F48=$G$2,E48,0)</f>
        <v>-117245.05</v>
      </c>
      <c r="H48" s="202">
        <v>0</v>
      </c>
      <c r="I48" s="202">
        <f>G48-H48</f>
        <v>-117245.05</v>
      </c>
      <c r="J48" s="294">
        <f>IF(F48=$J$2,E48,0)</f>
        <v>0</v>
      </c>
      <c r="K48" s="294"/>
      <c r="L48" s="711"/>
      <c r="M48" s="202">
        <f t="shared" si="25"/>
        <v>0</v>
      </c>
      <c r="N48" s="294">
        <f t="shared" si="24"/>
        <v>0</v>
      </c>
      <c r="O48" s="201">
        <v>4</v>
      </c>
    </row>
    <row r="49" spans="1:15">
      <c r="A49" s="203" t="s">
        <v>630</v>
      </c>
      <c r="B49" s="199">
        <v>454</v>
      </c>
      <c r="C49" s="204" t="s">
        <v>642</v>
      </c>
      <c r="D49" s="200" t="s">
        <v>643</v>
      </c>
      <c r="E49" s="992">
        <v>50625.71</v>
      </c>
      <c r="F49" s="1052" t="s">
        <v>567</v>
      </c>
      <c r="G49" s="294">
        <f>I49+H49</f>
        <v>3083.1057390000001</v>
      </c>
      <c r="H49" s="202">
        <f>E49*$D$254</f>
        <v>3083.1057390000001</v>
      </c>
      <c r="I49" s="202">
        <v>0</v>
      </c>
      <c r="J49" s="294">
        <f t="shared" si="20"/>
        <v>0</v>
      </c>
      <c r="K49" s="294"/>
      <c r="L49" s="711"/>
      <c r="M49" s="202">
        <f>J49-L49</f>
        <v>0</v>
      </c>
      <c r="N49" s="294">
        <f>IF(F49=$N$2,E49-H49,0)</f>
        <v>47542.604261</v>
      </c>
      <c r="O49" s="201" t="s">
        <v>644</v>
      </c>
    </row>
    <row r="50" spans="1:15">
      <c r="A50" s="203" t="s">
        <v>633</v>
      </c>
      <c r="B50" s="199">
        <v>454</v>
      </c>
      <c r="C50" s="204" t="s">
        <v>646</v>
      </c>
      <c r="D50" s="200" t="s">
        <v>647</v>
      </c>
      <c r="E50" s="992"/>
      <c r="F50" s="298" t="s">
        <v>565</v>
      </c>
      <c r="G50" s="294">
        <f t="shared" si="22"/>
        <v>0</v>
      </c>
      <c r="H50" s="202">
        <f>E50*$D$254</f>
        <v>0</v>
      </c>
      <c r="I50" s="202">
        <f>G50-H50</f>
        <v>0</v>
      </c>
      <c r="J50" s="294">
        <f t="shared" si="20"/>
        <v>0</v>
      </c>
      <c r="K50" s="294"/>
      <c r="L50" s="711"/>
      <c r="M50" s="202">
        <f t="shared" si="25"/>
        <v>0</v>
      </c>
      <c r="N50" s="294">
        <f t="shared" si="24"/>
        <v>0</v>
      </c>
      <c r="O50" s="201">
        <v>7</v>
      </c>
    </row>
    <row r="51" spans="1:15">
      <c r="A51" s="203" t="s">
        <v>636</v>
      </c>
      <c r="B51" s="199">
        <v>454</v>
      </c>
      <c r="C51" s="200" t="s">
        <v>649</v>
      </c>
      <c r="D51" s="200" t="s">
        <v>650</v>
      </c>
      <c r="E51" s="992">
        <v>1307368.8700000001</v>
      </c>
      <c r="F51" s="1052" t="s">
        <v>567</v>
      </c>
      <c r="G51" s="294">
        <f>I51+H51</f>
        <v>79618.764183000007</v>
      </c>
      <c r="H51" s="202">
        <f>E51*$D$254</f>
        <v>79618.764183000007</v>
      </c>
      <c r="I51" s="202">
        <v>0</v>
      </c>
      <c r="J51" s="294">
        <f>IF(F51=$J$2,E51,0)</f>
        <v>0</v>
      </c>
      <c r="K51" s="294"/>
      <c r="L51" s="711"/>
      <c r="M51" s="202">
        <f>J51-L51</f>
        <v>0</v>
      </c>
      <c r="N51" s="294">
        <f>IF(F51=$N$2,E51-H51,0)</f>
        <v>1227750.1058170001</v>
      </c>
      <c r="O51" s="201" t="s">
        <v>644</v>
      </c>
    </row>
    <row r="52" spans="1:15">
      <c r="A52" s="203" t="s">
        <v>639</v>
      </c>
      <c r="B52" s="199">
        <v>454</v>
      </c>
      <c r="C52" s="204" t="s">
        <v>652</v>
      </c>
      <c r="D52" s="200" t="s">
        <v>653</v>
      </c>
      <c r="E52" s="992"/>
      <c r="F52" s="298" t="s">
        <v>565</v>
      </c>
      <c r="G52" s="294">
        <f>I52+H52</f>
        <v>0</v>
      </c>
      <c r="H52" s="202">
        <f>E52*$D$248</f>
        <v>0</v>
      </c>
      <c r="I52" s="202">
        <v>0</v>
      </c>
      <c r="J52" s="294">
        <f t="shared" si="20"/>
        <v>0</v>
      </c>
      <c r="K52" s="294"/>
      <c r="L52" s="711"/>
      <c r="M52" s="202">
        <f t="shared" si="25"/>
        <v>0</v>
      </c>
      <c r="N52" s="294">
        <f t="shared" ref="N52:N63" si="26">IF(F52=$N$2,E52,0)</f>
        <v>0</v>
      </c>
      <c r="O52" s="201">
        <v>7</v>
      </c>
    </row>
    <row r="53" spans="1:15">
      <c r="A53" s="203" t="s">
        <v>641</v>
      </c>
      <c r="B53" s="199">
        <v>454</v>
      </c>
      <c r="C53" s="204" t="s">
        <v>655</v>
      </c>
      <c r="D53" s="200" t="s">
        <v>656</v>
      </c>
      <c r="E53" s="992"/>
      <c r="F53" s="298" t="s">
        <v>565</v>
      </c>
      <c r="G53" s="294">
        <f t="shared" ref="G53:G63" si="27">IF(F53=$G$2,E53,0)</f>
        <v>0</v>
      </c>
      <c r="H53" s="202">
        <v>0</v>
      </c>
      <c r="I53" s="202">
        <f t="shared" ref="I53:I58" si="28">G53-H53</f>
        <v>0</v>
      </c>
      <c r="J53" s="294">
        <f t="shared" ref="J53:J64" si="29">IF(F53=$J$2,E53,0)</f>
        <v>0</v>
      </c>
      <c r="K53" s="294"/>
      <c r="L53" s="711"/>
      <c r="M53" s="202">
        <f t="shared" si="25"/>
        <v>0</v>
      </c>
      <c r="N53" s="294">
        <f t="shared" si="26"/>
        <v>0</v>
      </c>
      <c r="O53" s="201">
        <v>1</v>
      </c>
    </row>
    <row r="54" spans="1:15">
      <c r="A54" s="203" t="s">
        <v>645</v>
      </c>
      <c r="B54" s="199">
        <v>454</v>
      </c>
      <c r="C54" s="204" t="s">
        <v>658</v>
      </c>
      <c r="D54" s="200" t="s">
        <v>659</v>
      </c>
      <c r="E54" s="992">
        <v>8381391.7400000002</v>
      </c>
      <c r="F54" s="1052" t="s">
        <v>565</v>
      </c>
      <c r="G54" s="294">
        <f t="shared" si="27"/>
        <v>8381391.7400000002</v>
      </c>
      <c r="H54" s="202">
        <v>0</v>
      </c>
      <c r="I54" s="202">
        <f>G54-H54</f>
        <v>8381391.7400000002</v>
      </c>
      <c r="J54" s="294">
        <f t="shared" si="29"/>
        <v>0</v>
      </c>
      <c r="K54" s="294"/>
      <c r="L54" s="711"/>
      <c r="M54" s="202">
        <f t="shared" si="25"/>
        <v>0</v>
      </c>
      <c r="N54" s="294">
        <f t="shared" si="26"/>
        <v>0</v>
      </c>
      <c r="O54" s="201">
        <v>4</v>
      </c>
    </row>
    <row r="55" spans="1:15">
      <c r="A55" s="203" t="s">
        <v>648</v>
      </c>
      <c r="B55" s="199">
        <v>454</v>
      </c>
      <c r="C55" s="204" t="s">
        <v>661</v>
      </c>
      <c r="D55" s="200" t="s">
        <v>662</v>
      </c>
      <c r="E55" s="992">
        <v>621993.69999999995</v>
      </c>
      <c r="F55" s="1052" t="s">
        <v>565</v>
      </c>
      <c r="G55" s="294">
        <f t="shared" si="27"/>
        <v>621993.69999999995</v>
      </c>
      <c r="H55" s="202">
        <v>0</v>
      </c>
      <c r="I55" s="202">
        <f>G55-H55</f>
        <v>621993.69999999995</v>
      </c>
      <c r="J55" s="294">
        <f t="shared" si="29"/>
        <v>0</v>
      </c>
      <c r="K55" s="294"/>
      <c r="L55" s="711"/>
      <c r="M55" s="202">
        <f t="shared" si="25"/>
        <v>0</v>
      </c>
      <c r="N55" s="294">
        <f t="shared" si="26"/>
        <v>0</v>
      </c>
      <c r="O55" s="201">
        <v>4</v>
      </c>
    </row>
    <row r="56" spans="1:15">
      <c r="A56" s="203" t="s">
        <v>651</v>
      </c>
      <c r="B56" s="199">
        <v>454</v>
      </c>
      <c r="C56" s="204" t="s">
        <v>664</v>
      </c>
      <c r="D56" s="200" t="s">
        <v>665</v>
      </c>
      <c r="E56" s="992">
        <v>21507259.829999998</v>
      </c>
      <c r="F56" s="1052" t="s">
        <v>565</v>
      </c>
      <c r="G56" s="294">
        <f t="shared" si="27"/>
        <v>21507259.829999998</v>
      </c>
      <c r="H56" s="202">
        <v>0</v>
      </c>
      <c r="I56" s="202">
        <f>G56-H56</f>
        <v>21507259.829999998</v>
      </c>
      <c r="J56" s="294">
        <f t="shared" si="29"/>
        <v>0</v>
      </c>
      <c r="K56" s="294"/>
      <c r="L56" s="711"/>
      <c r="M56" s="202">
        <f t="shared" si="25"/>
        <v>0</v>
      </c>
      <c r="N56" s="294">
        <f t="shared" si="26"/>
        <v>0</v>
      </c>
      <c r="O56" s="201">
        <v>4</v>
      </c>
    </row>
    <row r="57" spans="1:15">
      <c r="A57" s="203" t="s">
        <v>654</v>
      </c>
      <c r="B57" s="199">
        <v>454</v>
      </c>
      <c r="C57" s="204" t="s">
        <v>667</v>
      </c>
      <c r="D57" s="200" t="s">
        <v>668</v>
      </c>
      <c r="E57" s="992">
        <v>16286838.720000001</v>
      </c>
      <c r="F57" s="1052" t="s">
        <v>565</v>
      </c>
      <c r="G57" s="294">
        <f t="shared" si="27"/>
        <v>16286838.720000001</v>
      </c>
      <c r="H57" s="1420">
        <v>3028729.4224399999</v>
      </c>
      <c r="I57" s="202">
        <f>G57-H57</f>
        <v>13258109.297560001</v>
      </c>
      <c r="J57" s="294">
        <f t="shared" si="29"/>
        <v>0</v>
      </c>
      <c r="K57" s="294"/>
      <c r="L57" s="711"/>
      <c r="M57" s="202">
        <f t="shared" si="25"/>
        <v>0</v>
      </c>
      <c r="N57" s="294">
        <f t="shared" si="26"/>
        <v>0</v>
      </c>
      <c r="O57" s="201">
        <v>8</v>
      </c>
    </row>
    <row r="58" spans="1:15">
      <c r="A58" s="203" t="s">
        <v>657</v>
      </c>
      <c r="B58" s="199">
        <v>454</v>
      </c>
      <c r="C58" s="200" t="s">
        <v>670</v>
      </c>
      <c r="D58" s="200" t="s">
        <v>671</v>
      </c>
      <c r="E58" s="992">
        <v>22043788.66</v>
      </c>
      <c r="F58" s="1052" t="s">
        <v>566</v>
      </c>
      <c r="G58" s="294">
        <f t="shared" si="27"/>
        <v>0</v>
      </c>
      <c r="H58" s="202">
        <v>0</v>
      </c>
      <c r="I58" s="202">
        <f t="shared" si="28"/>
        <v>0</v>
      </c>
      <c r="J58" s="294">
        <f t="shared" si="29"/>
        <v>22043788.66</v>
      </c>
      <c r="K58" s="331" t="s">
        <v>607</v>
      </c>
      <c r="L58" s="993">
        <v>4433366</v>
      </c>
      <c r="M58" s="202">
        <f t="shared" ref="M58:M63" si="30">J58-L58</f>
        <v>17610422.66</v>
      </c>
      <c r="N58" s="294">
        <f t="shared" si="26"/>
        <v>0</v>
      </c>
      <c r="O58" s="201">
        <v>2</v>
      </c>
    </row>
    <row r="59" spans="1:15">
      <c r="A59" s="203" t="s">
        <v>660</v>
      </c>
      <c r="B59" s="199">
        <v>454</v>
      </c>
      <c r="C59" s="204" t="s">
        <v>672</v>
      </c>
      <c r="D59" s="200" t="s">
        <v>673</v>
      </c>
      <c r="E59" s="992"/>
      <c r="F59" s="298" t="s">
        <v>565</v>
      </c>
      <c r="G59" s="294">
        <f t="shared" si="27"/>
        <v>0</v>
      </c>
      <c r="H59" s="202">
        <v>0</v>
      </c>
      <c r="I59" s="202">
        <f>G59-H59</f>
        <v>0</v>
      </c>
      <c r="J59" s="294">
        <f t="shared" si="29"/>
        <v>0</v>
      </c>
      <c r="K59" s="294"/>
      <c r="L59" s="711"/>
      <c r="M59" s="202">
        <f t="shared" si="30"/>
        <v>0</v>
      </c>
      <c r="N59" s="294">
        <f t="shared" si="26"/>
        <v>0</v>
      </c>
      <c r="O59" s="201">
        <v>4</v>
      </c>
    </row>
    <row r="60" spans="1:15">
      <c r="A60" s="203" t="s">
        <v>663</v>
      </c>
      <c r="B60" s="199">
        <v>454</v>
      </c>
      <c r="C60" s="198" t="s">
        <v>1373</v>
      </c>
      <c r="D60" s="200" t="s">
        <v>1372</v>
      </c>
      <c r="E60" s="992">
        <v>-6619</v>
      </c>
      <c r="F60" s="298" t="s">
        <v>565</v>
      </c>
      <c r="G60" s="294">
        <f t="shared" si="27"/>
        <v>-6619</v>
      </c>
      <c r="H60" s="202">
        <v>0</v>
      </c>
      <c r="I60" s="202">
        <f>G60-H60</f>
        <v>-6619</v>
      </c>
      <c r="J60" s="294">
        <f t="shared" si="29"/>
        <v>0</v>
      </c>
      <c r="K60" s="294"/>
      <c r="L60" s="711"/>
      <c r="M60" s="202">
        <f t="shared" si="30"/>
        <v>0</v>
      </c>
      <c r="N60" s="294">
        <f t="shared" si="26"/>
        <v>0</v>
      </c>
      <c r="O60" s="201">
        <v>1</v>
      </c>
    </row>
    <row r="61" spans="1:15">
      <c r="A61" s="203" t="s">
        <v>666</v>
      </c>
      <c r="B61" s="199">
        <v>454</v>
      </c>
      <c r="C61" s="199">
        <v>4206515</v>
      </c>
      <c r="D61" s="216" t="s">
        <v>2053</v>
      </c>
      <c r="E61" s="992">
        <v>1536588.43</v>
      </c>
      <c r="F61" s="1052" t="s">
        <v>566</v>
      </c>
      <c r="G61" s="294">
        <f t="shared" si="27"/>
        <v>0</v>
      </c>
      <c r="H61" s="202">
        <v>0</v>
      </c>
      <c r="I61" s="894">
        <f>G61-H61</f>
        <v>0</v>
      </c>
      <c r="J61" s="895">
        <f t="shared" si="29"/>
        <v>1536588.43</v>
      </c>
      <c r="K61" s="895" t="s">
        <v>607</v>
      </c>
      <c r="L61" s="711">
        <v>937111</v>
      </c>
      <c r="M61" s="202">
        <f t="shared" si="30"/>
        <v>599477.42999999993</v>
      </c>
      <c r="N61" s="294">
        <f t="shared" si="26"/>
        <v>0</v>
      </c>
      <c r="O61" s="201">
        <v>2</v>
      </c>
    </row>
    <row r="62" spans="1:15">
      <c r="A62" s="203" t="s">
        <v>669</v>
      </c>
      <c r="B62" s="199">
        <v>454</v>
      </c>
      <c r="C62" s="199">
        <v>4184122</v>
      </c>
      <c r="D62" s="216" t="s">
        <v>2055</v>
      </c>
      <c r="E62" s="992"/>
      <c r="F62" s="298" t="s">
        <v>565</v>
      </c>
      <c r="G62" s="294">
        <f t="shared" si="27"/>
        <v>0</v>
      </c>
      <c r="H62" s="202">
        <v>0</v>
      </c>
      <c r="I62" s="894">
        <f>G62-H62</f>
        <v>0</v>
      </c>
      <c r="J62" s="895">
        <f t="shared" si="29"/>
        <v>0</v>
      </c>
      <c r="K62" s="294"/>
      <c r="L62" s="300"/>
      <c r="M62" s="202">
        <f t="shared" si="30"/>
        <v>0</v>
      </c>
      <c r="N62" s="294">
        <f t="shared" si="26"/>
        <v>0</v>
      </c>
      <c r="O62" s="201">
        <v>4</v>
      </c>
    </row>
    <row r="63" spans="1:15">
      <c r="A63" s="198" t="s">
        <v>2052</v>
      </c>
      <c r="B63" s="199">
        <v>454</v>
      </c>
      <c r="C63" s="199">
        <v>4184124</v>
      </c>
      <c r="D63" s="216" t="s">
        <v>2057</v>
      </c>
      <c r="E63" s="992">
        <v>39200</v>
      </c>
      <c r="F63" s="1052" t="s">
        <v>565</v>
      </c>
      <c r="G63" s="294">
        <f t="shared" si="27"/>
        <v>39200</v>
      </c>
      <c r="H63" s="202">
        <v>0</v>
      </c>
      <c r="I63" s="894">
        <f>G63-H63</f>
        <v>39200</v>
      </c>
      <c r="J63" s="895">
        <f t="shared" si="29"/>
        <v>0</v>
      </c>
      <c r="K63" s="294"/>
      <c r="L63" s="300"/>
      <c r="M63" s="202">
        <f t="shared" si="30"/>
        <v>0</v>
      </c>
      <c r="N63" s="294">
        <f t="shared" si="26"/>
        <v>0</v>
      </c>
      <c r="O63" s="201">
        <v>4</v>
      </c>
    </row>
    <row r="64" spans="1:15">
      <c r="A64" s="897" t="s">
        <v>2054</v>
      </c>
      <c r="B64" s="1143">
        <v>454</v>
      </c>
      <c r="C64" s="1143">
        <v>4184821</v>
      </c>
      <c r="D64" s="1142" t="s">
        <v>2381</v>
      </c>
      <c r="E64" s="992">
        <v>87321.600000000006</v>
      </c>
      <c r="F64" s="992" t="s">
        <v>567</v>
      </c>
      <c r="G64" s="294">
        <f>I64+H64</f>
        <v>5317.8854400000009</v>
      </c>
      <c r="H64" s="202">
        <f>E64*$D$254</f>
        <v>5317.8854400000009</v>
      </c>
      <c r="I64" s="202">
        <v>0</v>
      </c>
      <c r="J64" s="294">
        <f t="shared" si="29"/>
        <v>0</v>
      </c>
      <c r="K64" s="294"/>
      <c r="L64" s="300"/>
      <c r="M64" s="202">
        <f t="shared" si="25"/>
        <v>0</v>
      </c>
      <c r="N64" s="294">
        <f>IF(F64=$N$2,E64-H64,0)</f>
        <v>82003.714560000008</v>
      </c>
      <c r="O64" s="546" t="s">
        <v>644</v>
      </c>
    </row>
    <row r="65" spans="1:15" s="972" customFormat="1">
      <c r="A65" s="897" t="s">
        <v>2056</v>
      </c>
      <c r="B65" s="1143">
        <v>454</v>
      </c>
      <c r="C65" s="1143">
        <v>4184811</v>
      </c>
      <c r="D65" s="1142" t="s">
        <v>2382</v>
      </c>
      <c r="E65" s="992">
        <v>756328.49</v>
      </c>
      <c r="F65" s="992" t="s">
        <v>567</v>
      </c>
      <c r="G65" s="294">
        <f>I65+H65</f>
        <v>46060.405040999998</v>
      </c>
      <c r="H65" s="202">
        <f>E65*$D$254</f>
        <v>46060.405040999998</v>
      </c>
      <c r="I65" s="202">
        <v>0</v>
      </c>
      <c r="J65" s="895">
        <f t="shared" ref="J65" si="31">IF(F65=$J$2,E65,0)</f>
        <v>0</v>
      </c>
      <c r="K65" s="294"/>
      <c r="L65" s="300"/>
      <c r="M65" s="202">
        <f t="shared" si="25"/>
        <v>0</v>
      </c>
      <c r="N65" s="294">
        <f t="shared" ref="N65" si="32">IF(F65=$N$2,E65-H65,0)</f>
        <v>710268.084959</v>
      </c>
      <c r="O65" s="546" t="s">
        <v>644</v>
      </c>
    </row>
    <row r="66" spans="1:15" s="972" customFormat="1">
      <c r="A66" s="897" t="s">
        <v>2481</v>
      </c>
      <c r="B66" s="1143">
        <v>454</v>
      </c>
      <c r="C66" s="1143">
        <v>4184515</v>
      </c>
      <c r="D66" s="1142" t="s">
        <v>2480</v>
      </c>
      <c r="E66" s="992"/>
      <c r="F66" s="992" t="s">
        <v>567</v>
      </c>
      <c r="G66" s="294">
        <f>IF(F66=$G$2,E66,0)</f>
        <v>0</v>
      </c>
      <c r="H66" s="202">
        <v>0</v>
      </c>
      <c r="I66" s="202">
        <f>G66-H66</f>
        <v>0</v>
      </c>
      <c r="J66" s="895">
        <f>IF(F66=$J$2,E66,0)</f>
        <v>0</v>
      </c>
      <c r="K66" s="294"/>
      <c r="L66" s="300"/>
      <c r="M66" s="202">
        <f>J66-L66</f>
        <v>0</v>
      </c>
      <c r="N66" s="294">
        <f>IF(F66=$N$2,E66-H66,0)</f>
        <v>0</v>
      </c>
      <c r="O66" s="546">
        <v>6</v>
      </c>
    </row>
    <row r="67" spans="1:15" s="972" customFormat="1">
      <c r="A67" s="897" t="s">
        <v>2771</v>
      </c>
      <c r="B67" s="1143">
        <v>454</v>
      </c>
      <c r="C67" s="1376">
        <v>4184126</v>
      </c>
      <c r="D67" s="1377" t="s">
        <v>2773</v>
      </c>
      <c r="E67" s="992">
        <v>1508000</v>
      </c>
      <c r="F67" s="1380" t="s">
        <v>565</v>
      </c>
      <c r="G67" s="294">
        <f>IF(F67=$G$2,E67,0)</f>
        <v>1508000</v>
      </c>
      <c r="H67" s="202">
        <v>0</v>
      </c>
      <c r="I67" s="202">
        <f>G67-H67</f>
        <v>1508000</v>
      </c>
      <c r="J67" s="895">
        <f>IF(F67=$J$2,E67,0)</f>
        <v>0</v>
      </c>
      <c r="K67" s="294"/>
      <c r="L67" s="300"/>
      <c r="M67" s="202">
        <f t="shared" ref="M67:M68" si="33">J67-L67</f>
        <v>0</v>
      </c>
      <c r="N67" s="294">
        <f t="shared" ref="N67:N68" si="34">IF(F67=$N$2,E67-H67,0)</f>
        <v>0</v>
      </c>
      <c r="O67" s="546">
        <v>4</v>
      </c>
    </row>
    <row r="68" spans="1:15" s="972" customFormat="1">
      <c r="A68" s="897" t="s">
        <v>2772</v>
      </c>
      <c r="B68" s="1143">
        <v>454</v>
      </c>
      <c r="C68" s="1378">
        <v>4184526</v>
      </c>
      <c r="D68" s="1377" t="s">
        <v>2774</v>
      </c>
      <c r="E68" s="992"/>
      <c r="F68" s="992" t="s">
        <v>566</v>
      </c>
      <c r="G68" s="294">
        <f>IF(F68=$G$2,E68,0)</f>
        <v>0</v>
      </c>
      <c r="H68" s="202">
        <v>0</v>
      </c>
      <c r="I68" s="202">
        <f>G68-H68</f>
        <v>0</v>
      </c>
      <c r="J68" s="895">
        <f>IF(F68=$J$2,E68,0)</f>
        <v>0</v>
      </c>
      <c r="K68" s="294"/>
      <c r="L68" s="300"/>
      <c r="M68" s="202">
        <f t="shared" si="33"/>
        <v>0</v>
      </c>
      <c r="N68" s="294">
        <f t="shared" si="34"/>
        <v>0</v>
      </c>
      <c r="O68" s="546">
        <v>2</v>
      </c>
    </row>
    <row r="69" spans="1:15" s="972" customFormat="1">
      <c r="A69" s="326"/>
      <c r="B69" s="323"/>
      <c r="C69" s="322"/>
      <c r="D69" s="710"/>
      <c r="E69" s="298"/>
      <c r="F69" s="298"/>
      <c r="G69" s="302"/>
      <c r="H69" s="300"/>
      <c r="I69" s="300"/>
      <c r="J69" s="298"/>
      <c r="K69" s="298"/>
      <c r="L69" s="300"/>
      <c r="M69" s="300"/>
      <c r="N69" s="298"/>
      <c r="O69" s="299"/>
    </row>
    <row r="70" spans="1:15" ht="13">
      <c r="A70" s="203">
        <v>11</v>
      </c>
      <c r="B70" s="1494" t="s">
        <v>674</v>
      </c>
      <c r="C70" s="1492"/>
      <c r="D70" s="1493"/>
      <c r="E70" s="306">
        <f>SUM(E40:E69)</f>
        <v>81870489.359999985</v>
      </c>
      <c r="F70" s="315"/>
      <c r="G70" s="306">
        <f>SUM(G40:G69)</f>
        <v>55900120.340402998</v>
      </c>
      <c r="H70" s="306">
        <f>SUM(H40:H69)</f>
        <v>3162809.5828429996</v>
      </c>
      <c r="I70" s="306">
        <f>SUM(I40:I69)</f>
        <v>52737310.757559992</v>
      </c>
      <c r="J70" s="306">
        <f>SUM(J40:J69)</f>
        <v>23902804.510000002</v>
      </c>
      <c r="K70" s="315"/>
      <c r="L70" s="306">
        <f>SUM(L40:L69)</f>
        <v>5430567.2629146948</v>
      </c>
      <c r="M70" s="306">
        <f>SUM(M40:M69)</f>
        <v>18472237.247085303</v>
      </c>
      <c r="N70" s="306">
        <f>SUM(N40:N69)</f>
        <v>2067564.5095970002</v>
      </c>
      <c r="O70" s="192"/>
    </row>
    <row r="71" spans="1:15" ht="24.75" customHeight="1">
      <c r="A71" s="203">
        <v>12</v>
      </c>
      <c r="B71" s="1486" t="s">
        <v>1227</v>
      </c>
      <c r="C71" s="1487"/>
      <c r="D71" s="1488"/>
      <c r="E71" s="1094">
        <v>81870488</v>
      </c>
      <c r="F71" s="305"/>
      <c r="G71" s="321"/>
      <c r="H71" s="305"/>
      <c r="I71" s="305"/>
      <c r="J71" s="293"/>
      <c r="K71" s="305"/>
      <c r="L71" s="293"/>
      <c r="M71" s="293"/>
      <c r="N71" s="293"/>
      <c r="O71" s="190"/>
    </row>
    <row r="72" spans="1:15" ht="13">
      <c r="A72" s="206"/>
      <c r="B72" s="207"/>
      <c r="C72" s="208"/>
      <c r="D72" s="209"/>
      <c r="E72" s="293"/>
      <c r="F72" s="293"/>
      <c r="G72" s="293"/>
      <c r="H72" s="305"/>
      <c r="I72" s="305"/>
      <c r="J72" s="293"/>
      <c r="K72" s="305"/>
      <c r="L72" s="293"/>
      <c r="M72" s="293"/>
      <c r="N72" s="293"/>
      <c r="O72" s="190"/>
    </row>
    <row r="73" spans="1:15">
      <c r="A73" s="203" t="s">
        <v>675</v>
      </c>
      <c r="B73" s="199">
        <v>456</v>
      </c>
      <c r="C73" s="204" t="s">
        <v>679</v>
      </c>
      <c r="D73" s="200" t="s">
        <v>680</v>
      </c>
      <c r="E73" s="1416"/>
      <c r="F73" s="1417" t="s">
        <v>565</v>
      </c>
      <c r="G73" s="1418">
        <f t="shared" ref="G73:G81" si="35">IF(F73=$G$2,E73,0)</f>
        <v>0</v>
      </c>
      <c r="H73" s="1419">
        <v>0</v>
      </c>
      <c r="I73" s="1419">
        <f t="shared" ref="I73:I81" si="36">G73-H73</f>
        <v>0</v>
      </c>
      <c r="J73" s="1418">
        <f t="shared" ref="J73:J88" si="37">IF(F73=$J$2,E73,0)</f>
        <v>0</v>
      </c>
      <c r="K73" s="1418"/>
      <c r="L73" s="1420"/>
      <c r="M73" s="1419">
        <f t="shared" ref="M73:M88" si="38">J73-L73</f>
        <v>0</v>
      </c>
      <c r="N73" s="1418">
        <f t="shared" ref="N73:N81" si="39">IF(F73=$N$2,E73,0)</f>
        <v>0</v>
      </c>
      <c r="O73" s="1419">
        <v>1</v>
      </c>
    </row>
    <row r="74" spans="1:15">
      <c r="A74" s="203" t="s">
        <v>676</v>
      </c>
      <c r="B74" s="199">
        <v>456</v>
      </c>
      <c r="C74" s="204" t="s">
        <v>681</v>
      </c>
      <c r="D74" s="200" t="s">
        <v>682</v>
      </c>
      <c r="E74" s="1416">
        <v>14465.2</v>
      </c>
      <c r="F74" s="1426" t="s">
        <v>565</v>
      </c>
      <c r="G74" s="1418">
        <f t="shared" si="35"/>
        <v>14465.2</v>
      </c>
      <c r="H74" s="1419">
        <v>0</v>
      </c>
      <c r="I74" s="1419">
        <f t="shared" si="36"/>
        <v>14465.2</v>
      </c>
      <c r="J74" s="1418">
        <f t="shared" si="37"/>
        <v>0</v>
      </c>
      <c r="K74" s="1418"/>
      <c r="L74" s="1420"/>
      <c r="M74" s="1419">
        <f t="shared" si="38"/>
        <v>0</v>
      </c>
      <c r="N74" s="1418">
        <f t="shared" si="39"/>
        <v>0</v>
      </c>
      <c r="O74" s="1419">
        <v>4</v>
      </c>
    </row>
    <row r="75" spans="1:15">
      <c r="A75" s="203" t="s">
        <v>677</v>
      </c>
      <c r="B75" s="199">
        <v>456</v>
      </c>
      <c r="C75" s="204" t="s">
        <v>683</v>
      </c>
      <c r="D75" s="200" t="s">
        <v>684</v>
      </c>
      <c r="E75" s="1416">
        <v>814281.12</v>
      </c>
      <c r="F75" s="1426" t="s">
        <v>565</v>
      </c>
      <c r="G75" s="1418">
        <f t="shared" si="35"/>
        <v>814281.12</v>
      </c>
      <c r="H75" s="1419">
        <v>0</v>
      </c>
      <c r="I75" s="1419">
        <f t="shared" si="36"/>
        <v>814281.12</v>
      </c>
      <c r="J75" s="1418">
        <f t="shared" si="37"/>
        <v>0</v>
      </c>
      <c r="K75" s="1418"/>
      <c r="L75" s="1420"/>
      <c r="M75" s="1419">
        <f t="shared" si="38"/>
        <v>0</v>
      </c>
      <c r="N75" s="1418">
        <f t="shared" si="39"/>
        <v>0</v>
      </c>
      <c r="O75" s="1419">
        <v>4</v>
      </c>
    </row>
    <row r="76" spans="1:15">
      <c r="A76" s="203" t="s">
        <v>678</v>
      </c>
      <c r="B76" s="199">
        <v>456</v>
      </c>
      <c r="C76" s="204" t="s">
        <v>686</v>
      </c>
      <c r="D76" s="200" t="s">
        <v>687</v>
      </c>
      <c r="E76" s="1416"/>
      <c r="F76" s="1417" t="s">
        <v>565</v>
      </c>
      <c r="G76" s="1418">
        <f t="shared" si="35"/>
        <v>0</v>
      </c>
      <c r="H76" s="1419">
        <v>0</v>
      </c>
      <c r="I76" s="1419">
        <f t="shared" si="36"/>
        <v>0</v>
      </c>
      <c r="J76" s="1418">
        <f t="shared" si="37"/>
        <v>0</v>
      </c>
      <c r="K76" s="1418"/>
      <c r="L76" s="1420"/>
      <c r="M76" s="1419">
        <f t="shared" si="38"/>
        <v>0</v>
      </c>
      <c r="N76" s="1418">
        <f t="shared" si="39"/>
        <v>0</v>
      </c>
      <c r="O76" s="1419">
        <v>3</v>
      </c>
    </row>
    <row r="77" spans="1:15">
      <c r="A77" s="198" t="s">
        <v>685</v>
      </c>
      <c r="B77" s="199">
        <v>456</v>
      </c>
      <c r="C77" s="200" t="s">
        <v>689</v>
      </c>
      <c r="D77" s="200" t="s">
        <v>690</v>
      </c>
      <c r="E77" s="1416">
        <v>160</v>
      </c>
      <c r="F77" s="1426" t="s">
        <v>565</v>
      </c>
      <c r="G77" s="1418">
        <f t="shared" si="35"/>
        <v>160</v>
      </c>
      <c r="H77" s="1419">
        <v>0</v>
      </c>
      <c r="I77" s="1419">
        <f t="shared" si="36"/>
        <v>160</v>
      </c>
      <c r="J77" s="1418">
        <f t="shared" si="37"/>
        <v>0</v>
      </c>
      <c r="K77" s="1418"/>
      <c r="L77" s="1420"/>
      <c r="M77" s="1419">
        <f t="shared" si="38"/>
        <v>0</v>
      </c>
      <c r="N77" s="1418">
        <f t="shared" si="39"/>
        <v>0</v>
      </c>
      <c r="O77" s="1419">
        <v>1</v>
      </c>
    </row>
    <row r="78" spans="1:15">
      <c r="A78" s="198" t="s">
        <v>688</v>
      </c>
      <c r="B78" s="199">
        <v>456</v>
      </c>
      <c r="C78" s="200" t="s">
        <v>692</v>
      </c>
      <c r="D78" s="200" t="s">
        <v>693</v>
      </c>
      <c r="E78" s="1416">
        <v>1405881.29</v>
      </c>
      <c r="F78" s="1426" t="s">
        <v>565</v>
      </c>
      <c r="G78" s="1418">
        <f t="shared" si="35"/>
        <v>1405881.29</v>
      </c>
      <c r="H78" s="1419">
        <v>0</v>
      </c>
      <c r="I78" s="1419">
        <f t="shared" si="36"/>
        <v>1405881.29</v>
      </c>
      <c r="J78" s="1418">
        <f t="shared" si="37"/>
        <v>0</v>
      </c>
      <c r="K78" s="1418"/>
      <c r="L78" s="1420"/>
      <c r="M78" s="1419">
        <f t="shared" si="38"/>
        <v>0</v>
      </c>
      <c r="N78" s="1418">
        <f t="shared" si="39"/>
        <v>0</v>
      </c>
      <c r="O78" s="1419">
        <v>1</v>
      </c>
    </row>
    <row r="79" spans="1:15">
      <c r="A79" s="198" t="s">
        <v>691</v>
      </c>
      <c r="B79" s="199">
        <v>456</v>
      </c>
      <c r="C79" s="200" t="s">
        <v>695</v>
      </c>
      <c r="D79" s="200" t="s">
        <v>696</v>
      </c>
      <c r="E79" s="1416"/>
      <c r="F79" s="1417" t="s">
        <v>565</v>
      </c>
      <c r="G79" s="1418">
        <f t="shared" si="35"/>
        <v>0</v>
      </c>
      <c r="H79" s="1419">
        <v>0</v>
      </c>
      <c r="I79" s="1419">
        <f t="shared" si="36"/>
        <v>0</v>
      </c>
      <c r="J79" s="1418">
        <f t="shared" si="37"/>
        <v>0</v>
      </c>
      <c r="K79" s="1418"/>
      <c r="L79" s="1420"/>
      <c r="M79" s="1419">
        <f t="shared" si="38"/>
        <v>0</v>
      </c>
      <c r="N79" s="1418">
        <f t="shared" si="39"/>
        <v>0</v>
      </c>
      <c r="O79" s="1419">
        <v>3</v>
      </c>
    </row>
    <row r="80" spans="1:15">
      <c r="A80" s="198" t="s">
        <v>694</v>
      </c>
      <c r="B80" s="199">
        <v>456</v>
      </c>
      <c r="C80" s="199">
        <v>4186142</v>
      </c>
      <c r="D80" s="200" t="s">
        <v>1371</v>
      </c>
      <c r="E80" s="1416"/>
      <c r="F80" s="1417" t="s">
        <v>565</v>
      </c>
      <c r="G80" s="1418">
        <f t="shared" si="35"/>
        <v>0</v>
      </c>
      <c r="H80" s="1419">
        <v>0</v>
      </c>
      <c r="I80" s="1419">
        <f t="shared" si="36"/>
        <v>0</v>
      </c>
      <c r="J80" s="1418">
        <f t="shared" si="37"/>
        <v>0</v>
      </c>
      <c r="K80" s="1418"/>
      <c r="L80" s="1420"/>
      <c r="M80" s="1419">
        <f t="shared" si="38"/>
        <v>0</v>
      </c>
      <c r="N80" s="1418">
        <f t="shared" si="39"/>
        <v>0</v>
      </c>
      <c r="O80" s="1419">
        <v>4</v>
      </c>
    </row>
    <row r="81" spans="1:15">
      <c r="A81" s="198" t="s">
        <v>697</v>
      </c>
      <c r="B81" s="199">
        <v>456</v>
      </c>
      <c r="C81" s="200" t="s">
        <v>698</v>
      </c>
      <c r="D81" s="200" t="s">
        <v>699</v>
      </c>
      <c r="E81" s="1416"/>
      <c r="F81" s="1417" t="s">
        <v>565</v>
      </c>
      <c r="G81" s="1418">
        <f t="shared" si="35"/>
        <v>0</v>
      </c>
      <c r="H81" s="1419">
        <f>E81*$D$248</f>
        <v>0</v>
      </c>
      <c r="I81" s="1419">
        <f t="shared" si="36"/>
        <v>0</v>
      </c>
      <c r="J81" s="1418">
        <f t="shared" si="37"/>
        <v>0</v>
      </c>
      <c r="K81" s="1418"/>
      <c r="L81" s="1420"/>
      <c r="M81" s="1419">
        <f t="shared" si="38"/>
        <v>0</v>
      </c>
      <c r="N81" s="1418">
        <f t="shared" si="39"/>
        <v>0</v>
      </c>
      <c r="O81" s="1419">
        <v>7</v>
      </c>
    </row>
    <row r="82" spans="1:15">
      <c r="A82" s="198" t="s">
        <v>700</v>
      </c>
      <c r="B82" s="199">
        <v>456</v>
      </c>
      <c r="C82" s="200" t="s">
        <v>701</v>
      </c>
      <c r="D82" s="200" t="s">
        <v>702</v>
      </c>
      <c r="E82" s="1416">
        <v>7275.83</v>
      </c>
      <c r="F82" s="1426" t="s">
        <v>567</v>
      </c>
      <c r="G82" s="1427">
        <f>I82+H82</f>
        <v>443.09804700000001</v>
      </c>
      <c r="H82" s="1428">
        <f>E82*$D$254</f>
        <v>443.09804700000001</v>
      </c>
      <c r="I82" s="1428">
        <v>0</v>
      </c>
      <c r="J82" s="1418">
        <f t="shared" si="37"/>
        <v>0</v>
      </c>
      <c r="K82" s="1418"/>
      <c r="L82" s="1420"/>
      <c r="M82" s="1419">
        <f t="shared" si="38"/>
        <v>0</v>
      </c>
      <c r="N82" s="1418">
        <f>IF(F82=$N$2,E82-H82,0)</f>
        <v>6832.7319529999995</v>
      </c>
      <c r="O82" s="1419" t="s">
        <v>644</v>
      </c>
    </row>
    <row r="83" spans="1:15">
      <c r="A83" s="198" t="s">
        <v>703</v>
      </c>
      <c r="B83" s="199">
        <v>456</v>
      </c>
      <c r="C83" s="200" t="s">
        <v>704</v>
      </c>
      <c r="D83" s="200" t="s">
        <v>705</v>
      </c>
      <c r="E83" s="1416">
        <v>1205.7</v>
      </c>
      <c r="F83" s="1426" t="s">
        <v>565</v>
      </c>
      <c r="G83" s="1418">
        <f t="shared" ref="G83:G122" si="40">IF(F83=$G$2,E83,0)</f>
        <v>1205.7</v>
      </c>
      <c r="H83" s="1419">
        <v>0</v>
      </c>
      <c r="I83" s="1419">
        <f t="shared" ref="I83:I88" si="41">G83-H83</f>
        <v>1205.7</v>
      </c>
      <c r="J83" s="1418">
        <f t="shared" si="37"/>
        <v>0</v>
      </c>
      <c r="K83" s="1418"/>
      <c r="L83" s="1420"/>
      <c r="M83" s="1419">
        <f t="shared" si="38"/>
        <v>0</v>
      </c>
      <c r="N83" s="1418">
        <f t="shared" ref="N83:N88" si="42">IF(F83=$N$2,E83,0)</f>
        <v>0</v>
      </c>
      <c r="O83" s="1419">
        <v>4</v>
      </c>
    </row>
    <row r="84" spans="1:15">
      <c r="A84" s="198" t="s">
        <v>706</v>
      </c>
      <c r="B84" s="199">
        <v>456</v>
      </c>
      <c r="C84" s="200" t="s">
        <v>707</v>
      </c>
      <c r="D84" s="200" t="s">
        <v>708</v>
      </c>
      <c r="E84" s="1416">
        <v>12101.6</v>
      </c>
      <c r="F84" s="1426" t="s">
        <v>565</v>
      </c>
      <c r="G84" s="1418">
        <f t="shared" si="40"/>
        <v>12101.6</v>
      </c>
      <c r="H84" s="1419">
        <v>0</v>
      </c>
      <c r="I84" s="1419">
        <f t="shared" si="41"/>
        <v>12101.6</v>
      </c>
      <c r="J84" s="1418">
        <f t="shared" si="37"/>
        <v>0</v>
      </c>
      <c r="K84" s="1418"/>
      <c r="L84" s="1420"/>
      <c r="M84" s="1419">
        <f t="shared" si="38"/>
        <v>0</v>
      </c>
      <c r="N84" s="1418">
        <f t="shared" si="42"/>
        <v>0</v>
      </c>
      <c r="O84" s="1419">
        <v>4</v>
      </c>
    </row>
    <row r="85" spans="1:15">
      <c r="A85" s="198" t="s">
        <v>709</v>
      </c>
      <c r="B85" s="199">
        <v>456</v>
      </c>
      <c r="C85" s="200" t="s">
        <v>710</v>
      </c>
      <c r="D85" s="200" t="s">
        <v>711</v>
      </c>
      <c r="E85" s="1416">
        <v>3656.68</v>
      </c>
      <c r="F85" s="1426" t="s">
        <v>565</v>
      </c>
      <c r="G85" s="1418">
        <f t="shared" si="40"/>
        <v>3656.68</v>
      </c>
      <c r="H85" s="1419">
        <v>0</v>
      </c>
      <c r="I85" s="1419">
        <f t="shared" si="41"/>
        <v>3656.68</v>
      </c>
      <c r="J85" s="1418">
        <f t="shared" si="37"/>
        <v>0</v>
      </c>
      <c r="K85" s="1418"/>
      <c r="L85" s="1420"/>
      <c r="M85" s="1419">
        <f t="shared" si="38"/>
        <v>0</v>
      </c>
      <c r="N85" s="1418">
        <f t="shared" si="42"/>
        <v>0</v>
      </c>
      <c r="O85" s="1419">
        <v>4</v>
      </c>
    </row>
    <row r="86" spans="1:15">
      <c r="A86" s="198" t="s">
        <v>712</v>
      </c>
      <c r="B86" s="199">
        <v>456</v>
      </c>
      <c r="C86" s="200" t="s">
        <v>713</v>
      </c>
      <c r="D86" s="200" t="s">
        <v>714</v>
      </c>
      <c r="E86" s="1416">
        <v>827.5</v>
      </c>
      <c r="F86" s="1426" t="s">
        <v>565</v>
      </c>
      <c r="G86" s="1418">
        <f t="shared" si="40"/>
        <v>827.5</v>
      </c>
      <c r="H86" s="1419">
        <v>0</v>
      </c>
      <c r="I86" s="1419">
        <f t="shared" si="41"/>
        <v>827.5</v>
      </c>
      <c r="J86" s="1418">
        <f t="shared" si="37"/>
        <v>0</v>
      </c>
      <c r="K86" s="1418"/>
      <c r="L86" s="1420"/>
      <c r="M86" s="1419">
        <f t="shared" si="38"/>
        <v>0</v>
      </c>
      <c r="N86" s="1418">
        <f t="shared" si="42"/>
        <v>0</v>
      </c>
      <c r="O86" s="1419">
        <v>4</v>
      </c>
    </row>
    <row r="87" spans="1:15">
      <c r="A87" s="198" t="s">
        <v>715</v>
      </c>
      <c r="B87" s="199">
        <v>456</v>
      </c>
      <c r="C87" s="200" t="s">
        <v>716</v>
      </c>
      <c r="D87" s="200" t="s">
        <v>717</v>
      </c>
      <c r="E87" s="1416">
        <v>704.1</v>
      </c>
      <c r="F87" s="1426" t="s">
        <v>565</v>
      </c>
      <c r="G87" s="1418">
        <f t="shared" si="40"/>
        <v>704.1</v>
      </c>
      <c r="H87" s="1419">
        <v>0</v>
      </c>
      <c r="I87" s="1419">
        <f t="shared" si="41"/>
        <v>704.1</v>
      </c>
      <c r="J87" s="1418">
        <f t="shared" si="37"/>
        <v>0</v>
      </c>
      <c r="K87" s="1418"/>
      <c r="L87" s="1420"/>
      <c r="M87" s="1419">
        <f t="shared" si="38"/>
        <v>0</v>
      </c>
      <c r="N87" s="1418">
        <f t="shared" si="42"/>
        <v>0</v>
      </c>
      <c r="O87" s="1419">
        <v>4</v>
      </c>
    </row>
    <row r="88" spans="1:15">
      <c r="A88" s="198" t="s">
        <v>718</v>
      </c>
      <c r="B88" s="199">
        <v>456</v>
      </c>
      <c r="C88" s="200" t="s">
        <v>719</v>
      </c>
      <c r="D88" s="200" t="s">
        <v>720</v>
      </c>
      <c r="E88" s="1416">
        <v>208656</v>
      </c>
      <c r="F88" s="1426" t="s">
        <v>565</v>
      </c>
      <c r="G88" s="1418">
        <f t="shared" si="40"/>
        <v>208656</v>
      </c>
      <c r="H88" s="1419">
        <v>0</v>
      </c>
      <c r="I88" s="1419">
        <f t="shared" si="41"/>
        <v>208656</v>
      </c>
      <c r="J88" s="1418">
        <f t="shared" si="37"/>
        <v>0</v>
      </c>
      <c r="K88" s="1418"/>
      <c r="L88" s="1420"/>
      <c r="M88" s="1419">
        <f t="shared" si="38"/>
        <v>0</v>
      </c>
      <c r="N88" s="1418">
        <f t="shared" si="42"/>
        <v>0</v>
      </c>
      <c r="O88" s="1419">
        <v>4</v>
      </c>
    </row>
    <row r="89" spans="1:15">
      <c r="A89" s="198" t="s">
        <v>721</v>
      </c>
      <c r="B89" s="199">
        <v>456</v>
      </c>
      <c r="C89" s="200" t="s">
        <v>722</v>
      </c>
      <c r="D89" s="200" t="s">
        <v>723</v>
      </c>
      <c r="E89" s="1409">
        <v>2187799.41</v>
      </c>
      <c r="F89" s="1426" t="s">
        <v>566</v>
      </c>
      <c r="G89" s="1418">
        <f t="shared" si="40"/>
        <v>0</v>
      </c>
      <c r="H89" s="1419">
        <v>0</v>
      </c>
      <c r="I89" s="1419">
        <f t="shared" ref="I89:I99" si="43">G89-H89</f>
        <v>0</v>
      </c>
      <c r="J89" s="1418">
        <f t="shared" ref="J89:J99" si="44">IF(F89=$J$2,E89,0)</f>
        <v>2187799.41</v>
      </c>
      <c r="K89" s="1421" t="s">
        <v>607</v>
      </c>
      <c r="L89" s="1292">
        <v>192946.71624414201</v>
      </c>
      <c r="M89" s="1419">
        <f t="shared" ref="M89:M99" si="45">J89-L89</f>
        <v>1994852.6937558581</v>
      </c>
      <c r="N89" s="1418">
        <f t="shared" ref="N89:N99" si="46">IF(F89=$N$2,E89,0)</f>
        <v>0</v>
      </c>
      <c r="O89" s="1419">
        <v>2</v>
      </c>
    </row>
    <row r="90" spans="1:15">
      <c r="A90" s="198" t="s">
        <v>724</v>
      </c>
      <c r="B90" s="199">
        <v>456</v>
      </c>
      <c r="C90" s="200" t="s">
        <v>725</v>
      </c>
      <c r="D90" s="200" t="s">
        <v>726</v>
      </c>
      <c r="E90" s="1416">
        <v>144785.16</v>
      </c>
      <c r="F90" s="1426" t="s">
        <v>566</v>
      </c>
      <c r="G90" s="1418">
        <f t="shared" si="40"/>
        <v>0</v>
      </c>
      <c r="H90" s="1419">
        <v>0</v>
      </c>
      <c r="I90" s="1419">
        <f t="shared" si="43"/>
        <v>0</v>
      </c>
      <c r="J90" s="1418">
        <f t="shared" si="44"/>
        <v>144785.16</v>
      </c>
      <c r="K90" s="1421" t="s">
        <v>607</v>
      </c>
      <c r="L90" s="1429">
        <v>26838</v>
      </c>
      <c r="M90" s="1419">
        <f t="shared" si="45"/>
        <v>117947.16</v>
      </c>
      <c r="N90" s="1418">
        <f t="shared" si="46"/>
        <v>0</v>
      </c>
      <c r="O90" s="1419">
        <v>2</v>
      </c>
    </row>
    <row r="91" spans="1:15">
      <c r="A91" s="198" t="s">
        <v>727</v>
      </c>
      <c r="B91" s="199">
        <v>456</v>
      </c>
      <c r="C91" s="200" t="s">
        <v>728</v>
      </c>
      <c r="D91" s="200" t="s">
        <v>729</v>
      </c>
      <c r="E91" s="1416">
        <v>185000</v>
      </c>
      <c r="F91" s="1426" t="s">
        <v>566</v>
      </c>
      <c r="G91" s="1418">
        <f t="shared" si="40"/>
        <v>0</v>
      </c>
      <c r="H91" s="1419">
        <v>0</v>
      </c>
      <c r="I91" s="1419">
        <f t="shared" si="43"/>
        <v>0</v>
      </c>
      <c r="J91" s="1418">
        <f t="shared" si="44"/>
        <v>185000</v>
      </c>
      <c r="K91" s="1421" t="s">
        <v>607</v>
      </c>
      <c r="L91" s="1420">
        <v>9351</v>
      </c>
      <c r="M91" s="1419">
        <f t="shared" si="45"/>
        <v>175649</v>
      </c>
      <c r="N91" s="1418">
        <f t="shared" si="46"/>
        <v>0</v>
      </c>
      <c r="O91" s="1419">
        <v>2</v>
      </c>
    </row>
    <row r="92" spans="1:15">
      <c r="A92" s="897" t="s">
        <v>730</v>
      </c>
      <c r="B92" s="199">
        <v>456</v>
      </c>
      <c r="C92" s="200" t="s">
        <v>732</v>
      </c>
      <c r="D92" s="200" t="s">
        <v>733</v>
      </c>
      <c r="E92" s="1416"/>
      <c r="F92" s="1417" t="s">
        <v>566</v>
      </c>
      <c r="G92" s="1418">
        <f t="shared" si="40"/>
        <v>0</v>
      </c>
      <c r="H92" s="1419">
        <v>0</v>
      </c>
      <c r="I92" s="1419">
        <f t="shared" si="43"/>
        <v>0</v>
      </c>
      <c r="J92" s="1418">
        <f t="shared" si="44"/>
        <v>0</v>
      </c>
      <c r="K92" s="1421" t="s">
        <v>607</v>
      </c>
      <c r="L92" s="1420"/>
      <c r="M92" s="1419">
        <f t="shared" si="45"/>
        <v>0</v>
      </c>
      <c r="N92" s="1418">
        <f t="shared" si="46"/>
        <v>0</v>
      </c>
      <c r="O92" s="1419">
        <v>2</v>
      </c>
    </row>
    <row r="93" spans="1:15">
      <c r="A93" s="897" t="s">
        <v>731</v>
      </c>
      <c r="B93" s="199">
        <v>456</v>
      </c>
      <c r="C93" s="200" t="s">
        <v>735</v>
      </c>
      <c r="D93" s="200" t="s">
        <v>736</v>
      </c>
      <c r="E93" s="1416"/>
      <c r="F93" s="1426" t="s">
        <v>566</v>
      </c>
      <c r="G93" s="1418">
        <f t="shared" si="40"/>
        <v>0</v>
      </c>
      <c r="H93" s="1419">
        <v>0</v>
      </c>
      <c r="I93" s="1419">
        <f t="shared" si="43"/>
        <v>0</v>
      </c>
      <c r="J93" s="1418">
        <f t="shared" si="44"/>
        <v>0</v>
      </c>
      <c r="K93" s="1421" t="s">
        <v>607</v>
      </c>
      <c r="L93" s="1420"/>
      <c r="M93" s="1419">
        <f t="shared" si="45"/>
        <v>0</v>
      </c>
      <c r="N93" s="1418">
        <f t="shared" si="46"/>
        <v>0</v>
      </c>
      <c r="O93" s="1419">
        <v>2</v>
      </c>
    </row>
    <row r="94" spans="1:15">
      <c r="A94" s="897" t="s">
        <v>734</v>
      </c>
      <c r="B94" s="199">
        <v>456</v>
      </c>
      <c r="C94" s="200" t="s">
        <v>738</v>
      </c>
      <c r="D94" s="200" t="s">
        <v>739</v>
      </c>
      <c r="E94" s="1416"/>
      <c r="F94" s="1426" t="s">
        <v>566</v>
      </c>
      <c r="G94" s="1418">
        <f t="shared" si="40"/>
        <v>0</v>
      </c>
      <c r="H94" s="1419">
        <v>0</v>
      </c>
      <c r="I94" s="1419">
        <f t="shared" si="43"/>
        <v>0</v>
      </c>
      <c r="J94" s="1418">
        <f t="shared" si="44"/>
        <v>0</v>
      </c>
      <c r="K94" s="1421" t="s">
        <v>607</v>
      </c>
      <c r="L94" s="1420"/>
      <c r="M94" s="1419">
        <f t="shared" si="45"/>
        <v>0</v>
      </c>
      <c r="N94" s="1418">
        <f t="shared" si="46"/>
        <v>0</v>
      </c>
      <c r="O94" s="1419">
        <v>2</v>
      </c>
    </row>
    <row r="95" spans="1:15">
      <c r="A95" s="897" t="s">
        <v>737</v>
      </c>
      <c r="B95" s="199">
        <v>456</v>
      </c>
      <c r="C95" s="200" t="s">
        <v>740</v>
      </c>
      <c r="D95" s="200" t="s">
        <v>741</v>
      </c>
      <c r="E95" s="1416">
        <v>9675</v>
      </c>
      <c r="F95" s="1426" t="s">
        <v>566</v>
      </c>
      <c r="G95" s="1418">
        <f t="shared" si="40"/>
        <v>0</v>
      </c>
      <c r="H95" s="1419">
        <v>0</v>
      </c>
      <c r="I95" s="1419">
        <f t="shared" si="43"/>
        <v>0</v>
      </c>
      <c r="J95" s="1418">
        <f t="shared" si="44"/>
        <v>9675</v>
      </c>
      <c r="K95" s="1421" t="s">
        <v>551</v>
      </c>
      <c r="L95" s="1420">
        <v>4141</v>
      </c>
      <c r="M95" s="1419">
        <f t="shared" si="45"/>
        <v>5534</v>
      </c>
      <c r="N95" s="1418">
        <f t="shared" si="46"/>
        <v>0</v>
      </c>
      <c r="O95" s="1419">
        <v>2</v>
      </c>
    </row>
    <row r="96" spans="1:15">
      <c r="A96" s="1113" t="s">
        <v>804</v>
      </c>
      <c r="B96" s="199">
        <v>456</v>
      </c>
      <c r="C96" s="200" t="s">
        <v>743</v>
      </c>
      <c r="D96" s="200" t="s">
        <v>744</v>
      </c>
      <c r="E96" s="1416"/>
      <c r="F96" s="1426" t="s">
        <v>566</v>
      </c>
      <c r="G96" s="1418">
        <f t="shared" si="40"/>
        <v>0</v>
      </c>
      <c r="H96" s="1419">
        <v>0</v>
      </c>
      <c r="I96" s="1419">
        <f t="shared" si="43"/>
        <v>0</v>
      </c>
      <c r="J96" s="1418">
        <f t="shared" si="44"/>
        <v>0</v>
      </c>
      <c r="K96" s="1421" t="s">
        <v>551</v>
      </c>
      <c r="L96" s="1420"/>
      <c r="M96" s="1419">
        <f t="shared" si="45"/>
        <v>0</v>
      </c>
      <c r="N96" s="1418">
        <f t="shared" si="46"/>
        <v>0</v>
      </c>
      <c r="O96" s="1419">
        <v>2</v>
      </c>
    </row>
    <row r="97" spans="1:15">
      <c r="A97" s="1112" t="s">
        <v>807</v>
      </c>
      <c r="B97" s="199">
        <v>456</v>
      </c>
      <c r="C97" s="200" t="s">
        <v>746</v>
      </c>
      <c r="D97" s="200" t="s">
        <v>747</v>
      </c>
      <c r="E97" s="1416"/>
      <c r="F97" s="1426" t="s">
        <v>566</v>
      </c>
      <c r="G97" s="1418">
        <f t="shared" si="40"/>
        <v>0</v>
      </c>
      <c r="H97" s="1419">
        <v>0</v>
      </c>
      <c r="I97" s="1419">
        <f t="shared" si="43"/>
        <v>0</v>
      </c>
      <c r="J97" s="1418">
        <f t="shared" si="44"/>
        <v>0</v>
      </c>
      <c r="K97" s="1421" t="s">
        <v>551</v>
      </c>
      <c r="L97" s="1420"/>
      <c r="M97" s="1419">
        <f t="shared" si="45"/>
        <v>0</v>
      </c>
      <c r="N97" s="1418">
        <f t="shared" si="46"/>
        <v>0</v>
      </c>
      <c r="O97" s="1419">
        <v>2</v>
      </c>
    </row>
    <row r="98" spans="1:15">
      <c r="A98" s="1113" t="s">
        <v>810</v>
      </c>
      <c r="B98" s="199">
        <v>456</v>
      </c>
      <c r="C98" s="200" t="s">
        <v>749</v>
      </c>
      <c r="D98" s="200" t="s">
        <v>750</v>
      </c>
      <c r="E98" s="1416"/>
      <c r="F98" s="1426" t="s">
        <v>566</v>
      </c>
      <c r="G98" s="1418">
        <f t="shared" si="40"/>
        <v>0</v>
      </c>
      <c r="H98" s="1419">
        <v>0</v>
      </c>
      <c r="I98" s="1419">
        <f t="shared" si="43"/>
        <v>0</v>
      </c>
      <c r="J98" s="1418">
        <f t="shared" si="44"/>
        <v>0</v>
      </c>
      <c r="K98" s="1421" t="s">
        <v>551</v>
      </c>
      <c r="L98" s="1420"/>
      <c r="M98" s="1419">
        <f t="shared" si="45"/>
        <v>0</v>
      </c>
      <c r="N98" s="1418">
        <f t="shared" si="46"/>
        <v>0</v>
      </c>
      <c r="O98" s="1419">
        <v>2</v>
      </c>
    </row>
    <row r="99" spans="1:15">
      <c r="A99" s="198" t="s">
        <v>742</v>
      </c>
      <c r="B99" s="199">
        <v>456</v>
      </c>
      <c r="C99" s="200" t="s">
        <v>752</v>
      </c>
      <c r="D99" s="200" t="s">
        <v>753</v>
      </c>
      <c r="E99" s="1416"/>
      <c r="F99" s="1426" t="s">
        <v>566</v>
      </c>
      <c r="G99" s="1418">
        <f t="shared" si="40"/>
        <v>0</v>
      </c>
      <c r="H99" s="1419">
        <v>0</v>
      </c>
      <c r="I99" s="1419">
        <f t="shared" si="43"/>
        <v>0</v>
      </c>
      <c r="J99" s="1418">
        <f t="shared" si="44"/>
        <v>0</v>
      </c>
      <c r="K99" s="1421" t="s">
        <v>551</v>
      </c>
      <c r="L99" s="1429"/>
      <c r="M99" s="1419">
        <f t="shared" si="45"/>
        <v>0</v>
      </c>
      <c r="N99" s="1418">
        <f t="shared" si="46"/>
        <v>0</v>
      </c>
      <c r="O99" s="1419">
        <v>2</v>
      </c>
    </row>
    <row r="100" spans="1:15">
      <c r="A100" s="198" t="s">
        <v>745</v>
      </c>
      <c r="B100" s="199">
        <v>456</v>
      </c>
      <c r="C100" s="200" t="s">
        <v>755</v>
      </c>
      <c r="D100" s="200" t="s">
        <v>756</v>
      </c>
      <c r="E100" s="1416">
        <v>22231.5</v>
      </c>
      <c r="F100" s="1426" t="s">
        <v>567</v>
      </c>
      <c r="G100" s="1418">
        <f t="shared" si="40"/>
        <v>0</v>
      </c>
      <c r="H100" s="1419">
        <v>0</v>
      </c>
      <c r="I100" s="1419">
        <f t="shared" ref="I100:I122" si="47">G100-H100</f>
        <v>0</v>
      </c>
      <c r="J100" s="1418">
        <f t="shared" ref="J100:J122" si="48">IF(F100=$J$2,E100,0)</f>
        <v>0</v>
      </c>
      <c r="K100" s="1418"/>
      <c r="L100" s="1420"/>
      <c r="M100" s="1419">
        <f t="shared" ref="M100:M122" si="49">J100-L100</f>
        <v>0</v>
      </c>
      <c r="N100" s="1418">
        <f t="shared" ref="N100:N107" si="50">IF(F100=$N$2,E100,0)</f>
        <v>22231.5</v>
      </c>
      <c r="O100" s="1419">
        <v>6</v>
      </c>
    </row>
    <row r="101" spans="1:15">
      <c r="A101" s="198" t="s">
        <v>748</v>
      </c>
      <c r="B101" s="199">
        <v>456</v>
      </c>
      <c r="C101" s="200" t="s">
        <v>758</v>
      </c>
      <c r="D101" s="200" t="s">
        <v>759</v>
      </c>
      <c r="E101" s="1416">
        <v>23711310.579999998</v>
      </c>
      <c r="F101" s="1426" t="s">
        <v>565</v>
      </c>
      <c r="G101" s="1418">
        <f t="shared" si="40"/>
        <v>23711310.579999998</v>
      </c>
      <c r="H101" s="1419">
        <v>0</v>
      </c>
      <c r="I101" s="1419">
        <f t="shared" si="47"/>
        <v>23711310.579999998</v>
      </c>
      <c r="J101" s="1418">
        <f t="shared" si="48"/>
        <v>0</v>
      </c>
      <c r="K101" s="1418"/>
      <c r="L101" s="1420"/>
      <c r="M101" s="1419">
        <f t="shared" si="49"/>
        <v>0</v>
      </c>
      <c r="N101" s="1418">
        <f t="shared" si="50"/>
        <v>0</v>
      </c>
      <c r="O101" s="1419">
        <v>4</v>
      </c>
    </row>
    <row r="102" spans="1:15">
      <c r="A102" s="198" t="s">
        <v>751</v>
      </c>
      <c r="B102" s="199">
        <v>456</v>
      </c>
      <c r="C102" s="200" t="s">
        <v>761</v>
      </c>
      <c r="D102" s="896" t="s">
        <v>1703</v>
      </c>
      <c r="E102" s="1416"/>
      <c r="F102" s="1417" t="s">
        <v>567</v>
      </c>
      <c r="G102" s="1418">
        <f t="shared" si="40"/>
        <v>0</v>
      </c>
      <c r="H102" s="1419">
        <v>0</v>
      </c>
      <c r="I102" s="1419">
        <f t="shared" si="47"/>
        <v>0</v>
      </c>
      <c r="J102" s="1418">
        <f t="shared" si="48"/>
        <v>0</v>
      </c>
      <c r="K102" s="1418"/>
      <c r="L102" s="1420"/>
      <c r="M102" s="1419">
        <f t="shared" si="49"/>
        <v>0</v>
      </c>
      <c r="N102" s="1418">
        <f t="shared" si="50"/>
        <v>0</v>
      </c>
      <c r="O102" s="1419">
        <v>6</v>
      </c>
    </row>
    <row r="103" spans="1:15">
      <c r="A103" s="198" t="s">
        <v>754</v>
      </c>
      <c r="B103" s="199">
        <v>456</v>
      </c>
      <c r="C103" s="200" t="s">
        <v>763</v>
      </c>
      <c r="D103" s="896" t="s">
        <v>1704</v>
      </c>
      <c r="E103" s="1416"/>
      <c r="F103" s="1417" t="s">
        <v>567</v>
      </c>
      <c r="G103" s="1418">
        <f t="shared" si="40"/>
        <v>0</v>
      </c>
      <c r="H103" s="1419">
        <v>0</v>
      </c>
      <c r="I103" s="1419">
        <f t="shared" si="47"/>
        <v>0</v>
      </c>
      <c r="J103" s="1418">
        <f t="shared" si="48"/>
        <v>0</v>
      </c>
      <c r="K103" s="1418"/>
      <c r="L103" s="1420"/>
      <c r="M103" s="1419">
        <f t="shared" si="49"/>
        <v>0</v>
      </c>
      <c r="N103" s="1418">
        <f t="shared" si="50"/>
        <v>0</v>
      </c>
      <c r="O103" s="1419">
        <v>6</v>
      </c>
    </row>
    <row r="104" spans="1:15">
      <c r="A104" s="198" t="s">
        <v>757</v>
      </c>
      <c r="B104" s="199">
        <v>456</v>
      </c>
      <c r="C104" s="200" t="s">
        <v>765</v>
      </c>
      <c r="D104" s="200" t="s">
        <v>766</v>
      </c>
      <c r="E104" s="1416"/>
      <c r="F104" s="1417" t="s">
        <v>567</v>
      </c>
      <c r="G104" s="1418">
        <f t="shared" si="40"/>
        <v>0</v>
      </c>
      <c r="H104" s="1419">
        <v>0</v>
      </c>
      <c r="I104" s="1419">
        <f t="shared" si="47"/>
        <v>0</v>
      </c>
      <c r="J104" s="1418">
        <f t="shared" si="48"/>
        <v>0</v>
      </c>
      <c r="K104" s="1418"/>
      <c r="L104" s="1420"/>
      <c r="M104" s="1419">
        <f t="shared" si="49"/>
        <v>0</v>
      </c>
      <c r="N104" s="1418">
        <f t="shared" si="50"/>
        <v>0</v>
      </c>
      <c r="O104" s="1419">
        <v>6</v>
      </c>
    </row>
    <row r="105" spans="1:15">
      <c r="A105" s="198" t="s">
        <v>760</v>
      </c>
      <c r="B105" s="199">
        <v>456</v>
      </c>
      <c r="C105" s="200" t="s">
        <v>768</v>
      </c>
      <c r="D105" s="200" t="s">
        <v>769</v>
      </c>
      <c r="E105" s="1416"/>
      <c r="F105" s="1417" t="s">
        <v>567</v>
      </c>
      <c r="G105" s="1418">
        <f t="shared" si="40"/>
        <v>0</v>
      </c>
      <c r="H105" s="1419">
        <v>0</v>
      </c>
      <c r="I105" s="1419">
        <f t="shared" si="47"/>
        <v>0</v>
      </c>
      <c r="J105" s="1418">
        <f t="shared" si="48"/>
        <v>0</v>
      </c>
      <c r="K105" s="1418"/>
      <c r="L105" s="1420"/>
      <c r="M105" s="1419">
        <f t="shared" si="49"/>
        <v>0</v>
      </c>
      <c r="N105" s="1418">
        <f t="shared" si="50"/>
        <v>0</v>
      </c>
      <c r="O105" s="1419">
        <v>6</v>
      </c>
    </row>
    <row r="106" spans="1:15">
      <c r="A106" s="198" t="s">
        <v>762</v>
      </c>
      <c r="B106" s="199">
        <v>456</v>
      </c>
      <c r="C106" s="200" t="s">
        <v>771</v>
      </c>
      <c r="D106" s="896" t="s">
        <v>1705</v>
      </c>
      <c r="E106" s="1416"/>
      <c r="F106" s="1417" t="s">
        <v>567</v>
      </c>
      <c r="G106" s="1418">
        <f t="shared" si="40"/>
        <v>0</v>
      </c>
      <c r="H106" s="1419">
        <v>0</v>
      </c>
      <c r="I106" s="1419">
        <f t="shared" si="47"/>
        <v>0</v>
      </c>
      <c r="J106" s="1418">
        <f t="shared" si="48"/>
        <v>0</v>
      </c>
      <c r="K106" s="1418"/>
      <c r="L106" s="1420"/>
      <c r="M106" s="1419">
        <f t="shared" si="49"/>
        <v>0</v>
      </c>
      <c r="N106" s="1418">
        <f t="shared" si="50"/>
        <v>0</v>
      </c>
      <c r="O106" s="1419">
        <v>6</v>
      </c>
    </row>
    <row r="107" spans="1:15">
      <c r="A107" s="198" t="s">
        <v>764</v>
      </c>
      <c r="B107" s="199">
        <v>456</v>
      </c>
      <c r="C107" s="200" t="s">
        <v>773</v>
      </c>
      <c r="D107" s="200" t="s">
        <v>774</v>
      </c>
      <c r="E107" s="1416"/>
      <c r="F107" s="1417" t="s">
        <v>567</v>
      </c>
      <c r="G107" s="1418">
        <f t="shared" si="40"/>
        <v>0</v>
      </c>
      <c r="H107" s="1419">
        <v>0</v>
      </c>
      <c r="I107" s="1419">
        <f t="shared" si="47"/>
        <v>0</v>
      </c>
      <c r="J107" s="1418">
        <f t="shared" si="48"/>
        <v>0</v>
      </c>
      <c r="K107" s="1418"/>
      <c r="L107" s="1420"/>
      <c r="M107" s="1419">
        <f t="shared" si="49"/>
        <v>0</v>
      </c>
      <c r="N107" s="1418">
        <f t="shared" si="50"/>
        <v>0</v>
      </c>
      <c r="O107" s="1419">
        <v>6</v>
      </c>
    </row>
    <row r="108" spans="1:15">
      <c r="A108" s="198" t="s">
        <v>767</v>
      </c>
      <c r="B108" s="199">
        <v>456</v>
      </c>
      <c r="C108" s="200" t="s">
        <v>776</v>
      </c>
      <c r="D108" s="200" t="s">
        <v>777</v>
      </c>
      <c r="E108" s="1416"/>
      <c r="F108" s="1417" t="s">
        <v>566</v>
      </c>
      <c r="G108" s="1418">
        <f t="shared" si="40"/>
        <v>0</v>
      </c>
      <c r="H108" s="1419">
        <v>0</v>
      </c>
      <c r="I108" s="1419">
        <f t="shared" si="47"/>
        <v>0</v>
      </c>
      <c r="J108" s="1418">
        <f t="shared" si="48"/>
        <v>0</v>
      </c>
      <c r="K108" s="1421" t="s">
        <v>551</v>
      </c>
      <c r="L108" s="1420"/>
      <c r="M108" s="1419">
        <f t="shared" si="49"/>
        <v>0</v>
      </c>
      <c r="N108" s="1418">
        <f t="shared" ref="N108:N109" si="51">IF(F108=$N$2,E108,0)</f>
        <v>0</v>
      </c>
      <c r="O108" s="1419">
        <v>2</v>
      </c>
    </row>
    <row r="109" spans="1:15">
      <c r="A109" s="198" t="s">
        <v>770</v>
      </c>
      <c r="B109" s="199">
        <v>456</v>
      </c>
      <c r="C109" s="200" t="s">
        <v>779</v>
      </c>
      <c r="D109" s="200" t="s">
        <v>780</v>
      </c>
      <c r="E109" s="1429"/>
      <c r="F109" s="1417" t="s">
        <v>566</v>
      </c>
      <c r="G109" s="1418">
        <f t="shared" si="40"/>
        <v>0</v>
      </c>
      <c r="H109" s="1419">
        <v>0</v>
      </c>
      <c r="I109" s="1419">
        <f t="shared" si="47"/>
        <v>0</v>
      </c>
      <c r="J109" s="1418">
        <f t="shared" si="48"/>
        <v>0</v>
      </c>
      <c r="K109" s="1421" t="s">
        <v>551</v>
      </c>
      <c r="L109" s="1429"/>
      <c r="M109" s="1419">
        <f t="shared" si="49"/>
        <v>0</v>
      </c>
      <c r="N109" s="1418">
        <f t="shared" si="51"/>
        <v>0</v>
      </c>
      <c r="O109" s="1419">
        <v>2</v>
      </c>
    </row>
    <row r="110" spans="1:15">
      <c r="A110" s="198" t="s">
        <v>772</v>
      </c>
      <c r="B110" s="199">
        <v>456</v>
      </c>
      <c r="C110" s="200" t="s">
        <v>783</v>
      </c>
      <c r="D110" s="200" t="s">
        <v>784</v>
      </c>
      <c r="E110" s="1416">
        <v>160459.89000000001</v>
      </c>
      <c r="F110" s="1426" t="s">
        <v>565</v>
      </c>
      <c r="G110" s="1418">
        <f t="shared" si="40"/>
        <v>160459.89000000001</v>
      </c>
      <c r="H110" s="1419">
        <v>0</v>
      </c>
      <c r="I110" s="1419">
        <f t="shared" si="47"/>
        <v>160459.89000000001</v>
      </c>
      <c r="J110" s="1418">
        <f t="shared" si="48"/>
        <v>0</v>
      </c>
      <c r="K110" s="1418"/>
      <c r="L110" s="1420"/>
      <c r="M110" s="1419">
        <f t="shared" si="49"/>
        <v>0</v>
      </c>
      <c r="N110" s="1418">
        <f t="shared" ref="N110:N125" si="52">IF(F110=$N$2,E110,0)</f>
        <v>0</v>
      </c>
      <c r="O110" s="1419">
        <v>1</v>
      </c>
    </row>
    <row r="111" spans="1:15">
      <c r="A111" s="198" t="s">
        <v>775</v>
      </c>
      <c r="B111" s="199">
        <v>456</v>
      </c>
      <c r="C111" s="200" t="s">
        <v>787</v>
      </c>
      <c r="D111" s="200" t="s">
        <v>788</v>
      </c>
      <c r="E111" s="1416">
        <v>5488781.4199999999</v>
      </c>
      <c r="F111" s="1426" t="s">
        <v>565</v>
      </c>
      <c r="G111" s="1418">
        <f t="shared" si="40"/>
        <v>5488781.4199999999</v>
      </c>
      <c r="H111" s="1419">
        <v>0</v>
      </c>
      <c r="I111" s="1419">
        <f t="shared" si="47"/>
        <v>5488781.4199999999</v>
      </c>
      <c r="J111" s="1418">
        <f t="shared" si="48"/>
        <v>0</v>
      </c>
      <c r="K111" s="1418"/>
      <c r="L111" s="1420"/>
      <c r="M111" s="1419">
        <f t="shared" si="49"/>
        <v>0</v>
      </c>
      <c r="N111" s="1418">
        <f t="shared" si="52"/>
        <v>0</v>
      </c>
      <c r="O111" s="1419">
        <v>4</v>
      </c>
    </row>
    <row r="112" spans="1:15">
      <c r="A112" s="198" t="s">
        <v>778</v>
      </c>
      <c r="B112" s="199">
        <v>456</v>
      </c>
      <c r="C112" s="200" t="s">
        <v>790</v>
      </c>
      <c r="D112" s="200" t="s">
        <v>791</v>
      </c>
      <c r="E112" s="1416">
        <v>132812</v>
      </c>
      <c r="F112" s="1426" t="s">
        <v>565</v>
      </c>
      <c r="G112" s="1418">
        <f t="shared" si="40"/>
        <v>132812</v>
      </c>
      <c r="H112" s="1419">
        <v>0</v>
      </c>
      <c r="I112" s="1419">
        <f t="shared" si="47"/>
        <v>132812</v>
      </c>
      <c r="J112" s="1418">
        <f t="shared" si="48"/>
        <v>0</v>
      </c>
      <c r="K112" s="1418"/>
      <c r="L112" s="1420"/>
      <c r="M112" s="1419">
        <f t="shared" si="49"/>
        <v>0</v>
      </c>
      <c r="N112" s="1418">
        <f t="shared" si="52"/>
        <v>0</v>
      </c>
      <c r="O112" s="1419">
        <v>4</v>
      </c>
    </row>
    <row r="113" spans="1:15">
      <c r="A113" s="897" t="s">
        <v>781</v>
      </c>
      <c r="B113" s="199">
        <v>456</v>
      </c>
      <c r="C113" s="200" t="s">
        <v>793</v>
      </c>
      <c r="D113" s="200" t="s">
        <v>794</v>
      </c>
      <c r="E113" s="1416"/>
      <c r="F113" s="1417" t="s">
        <v>565</v>
      </c>
      <c r="G113" s="1418">
        <f t="shared" si="40"/>
        <v>0</v>
      </c>
      <c r="H113" s="1419">
        <v>0</v>
      </c>
      <c r="I113" s="1419">
        <f t="shared" si="47"/>
        <v>0</v>
      </c>
      <c r="J113" s="1418">
        <f t="shared" si="48"/>
        <v>0</v>
      </c>
      <c r="K113" s="1418"/>
      <c r="L113" s="1420"/>
      <c r="M113" s="1419">
        <f t="shared" si="49"/>
        <v>0</v>
      </c>
      <c r="N113" s="1418">
        <f t="shared" si="52"/>
        <v>0</v>
      </c>
      <c r="O113" s="1419">
        <v>4</v>
      </c>
    </row>
    <row r="114" spans="1:15">
      <c r="A114" s="897" t="s">
        <v>782</v>
      </c>
      <c r="B114" s="199">
        <v>456</v>
      </c>
      <c r="C114" s="200" t="s">
        <v>796</v>
      </c>
      <c r="D114" s="200" t="s">
        <v>797</v>
      </c>
      <c r="E114" s="1416"/>
      <c r="F114" s="1417" t="s">
        <v>565</v>
      </c>
      <c r="G114" s="1418">
        <f t="shared" si="40"/>
        <v>0</v>
      </c>
      <c r="H114" s="1419">
        <v>0</v>
      </c>
      <c r="I114" s="1419">
        <f t="shared" si="47"/>
        <v>0</v>
      </c>
      <c r="J114" s="1418">
        <f t="shared" si="48"/>
        <v>0</v>
      </c>
      <c r="K114" s="1418"/>
      <c r="L114" s="1420"/>
      <c r="M114" s="1419">
        <f t="shared" si="49"/>
        <v>0</v>
      </c>
      <c r="N114" s="1418">
        <f t="shared" si="52"/>
        <v>0</v>
      </c>
      <c r="O114" s="1419">
        <v>1</v>
      </c>
    </row>
    <row r="115" spans="1:15">
      <c r="A115" s="897" t="s">
        <v>785</v>
      </c>
      <c r="B115" s="199">
        <v>456</v>
      </c>
      <c r="C115" s="200" t="s">
        <v>799</v>
      </c>
      <c r="D115" s="200" t="s">
        <v>800</v>
      </c>
      <c r="E115" s="1416"/>
      <c r="F115" s="1417" t="s">
        <v>565</v>
      </c>
      <c r="G115" s="1418">
        <f t="shared" si="40"/>
        <v>0</v>
      </c>
      <c r="H115" s="1419">
        <v>0</v>
      </c>
      <c r="I115" s="1419">
        <f t="shared" si="47"/>
        <v>0</v>
      </c>
      <c r="J115" s="1418">
        <f t="shared" si="48"/>
        <v>0</v>
      </c>
      <c r="K115" s="1418"/>
      <c r="L115" s="1420"/>
      <c r="M115" s="1419">
        <f t="shared" si="49"/>
        <v>0</v>
      </c>
      <c r="N115" s="1418">
        <f t="shared" si="52"/>
        <v>0</v>
      </c>
      <c r="O115" s="1419">
        <v>4</v>
      </c>
    </row>
    <row r="116" spans="1:15">
      <c r="A116" s="897" t="s">
        <v>786</v>
      </c>
      <c r="B116" s="199">
        <v>456</v>
      </c>
      <c r="C116" s="200" t="s">
        <v>802</v>
      </c>
      <c r="D116" s="200" t="s">
        <v>803</v>
      </c>
      <c r="E116" s="1416">
        <v>3221704.71</v>
      </c>
      <c r="F116" s="1426" t="s">
        <v>565</v>
      </c>
      <c r="G116" s="1418">
        <f t="shared" si="40"/>
        <v>3221704.71</v>
      </c>
      <c r="H116" s="1420">
        <v>24536.999769999999</v>
      </c>
      <c r="I116" s="1419">
        <f t="shared" si="47"/>
        <v>3197167.7102299999</v>
      </c>
      <c r="J116" s="1418">
        <f t="shared" si="48"/>
        <v>0</v>
      </c>
      <c r="K116" s="1418"/>
      <c r="L116" s="1420"/>
      <c r="M116" s="1419">
        <f t="shared" si="49"/>
        <v>0</v>
      </c>
      <c r="N116" s="1418">
        <f t="shared" si="52"/>
        <v>0</v>
      </c>
      <c r="O116" s="1419">
        <v>8</v>
      </c>
    </row>
    <row r="117" spans="1:15">
      <c r="A117" s="897" t="s">
        <v>789</v>
      </c>
      <c r="B117" s="199">
        <v>456</v>
      </c>
      <c r="C117" s="200" t="s">
        <v>805</v>
      </c>
      <c r="D117" s="200" t="s">
        <v>806</v>
      </c>
      <c r="E117" s="1416">
        <v>14232878.529999999</v>
      </c>
      <c r="F117" s="1426" t="s">
        <v>565</v>
      </c>
      <c r="G117" s="1418">
        <f t="shared" si="40"/>
        <v>14232878.529999999</v>
      </c>
      <c r="H117" s="1419">
        <v>0</v>
      </c>
      <c r="I117" s="1419">
        <f t="shared" si="47"/>
        <v>14232878.529999999</v>
      </c>
      <c r="J117" s="1418">
        <f t="shared" si="48"/>
        <v>0</v>
      </c>
      <c r="K117" s="1418"/>
      <c r="L117" s="1420"/>
      <c r="M117" s="1419">
        <f t="shared" si="49"/>
        <v>0</v>
      </c>
      <c r="N117" s="1418">
        <f t="shared" si="52"/>
        <v>0</v>
      </c>
      <c r="O117" s="1419">
        <v>4</v>
      </c>
    </row>
    <row r="118" spans="1:15">
      <c r="A118" s="897" t="s">
        <v>792</v>
      </c>
      <c r="B118" s="199">
        <v>456</v>
      </c>
      <c r="C118" s="200" t="s">
        <v>808</v>
      </c>
      <c r="D118" s="200" t="s">
        <v>809</v>
      </c>
      <c r="E118" s="1416">
        <v>2545.0500000000002</v>
      </c>
      <c r="F118" s="1426" t="s">
        <v>565</v>
      </c>
      <c r="G118" s="1418">
        <f t="shared" si="40"/>
        <v>2545.0500000000002</v>
      </c>
      <c r="H118" s="1419">
        <v>0</v>
      </c>
      <c r="I118" s="1419">
        <f t="shared" si="47"/>
        <v>2545.0500000000002</v>
      </c>
      <c r="J118" s="1418">
        <f t="shared" si="48"/>
        <v>0</v>
      </c>
      <c r="K118" s="1418"/>
      <c r="L118" s="1420"/>
      <c r="M118" s="1419">
        <f t="shared" si="49"/>
        <v>0</v>
      </c>
      <c r="N118" s="1418">
        <f t="shared" si="52"/>
        <v>0</v>
      </c>
      <c r="O118" s="1419">
        <v>4</v>
      </c>
    </row>
    <row r="119" spans="1:15">
      <c r="A119" s="897" t="s">
        <v>795</v>
      </c>
      <c r="B119" s="199">
        <v>456</v>
      </c>
      <c r="C119" s="200" t="s">
        <v>811</v>
      </c>
      <c r="D119" s="200" t="s">
        <v>812</v>
      </c>
      <c r="E119" s="1416">
        <v>1477354.9</v>
      </c>
      <c r="F119" s="1426" t="s">
        <v>565</v>
      </c>
      <c r="G119" s="1418">
        <f t="shared" si="40"/>
        <v>1477354.9</v>
      </c>
      <c r="H119" s="1419">
        <v>0</v>
      </c>
      <c r="I119" s="1419">
        <f t="shared" si="47"/>
        <v>1477354.9</v>
      </c>
      <c r="J119" s="1418">
        <f t="shared" si="48"/>
        <v>0</v>
      </c>
      <c r="K119" s="1418"/>
      <c r="L119" s="1420"/>
      <c r="M119" s="1419">
        <f t="shared" si="49"/>
        <v>0</v>
      </c>
      <c r="N119" s="1418">
        <f t="shared" si="52"/>
        <v>0</v>
      </c>
      <c r="O119" s="1419">
        <v>6</v>
      </c>
    </row>
    <row r="120" spans="1:15">
      <c r="A120" s="897" t="s">
        <v>798</v>
      </c>
      <c r="B120" s="199">
        <v>456</v>
      </c>
      <c r="C120" s="198" t="s">
        <v>1373</v>
      </c>
      <c r="D120" s="200" t="s">
        <v>1372</v>
      </c>
      <c r="E120" s="1416"/>
      <c r="F120" s="1417" t="s">
        <v>565</v>
      </c>
      <c r="G120" s="1418">
        <f t="shared" si="40"/>
        <v>0</v>
      </c>
      <c r="H120" s="1419">
        <v>0</v>
      </c>
      <c r="I120" s="1419">
        <f t="shared" si="47"/>
        <v>0</v>
      </c>
      <c r="J120" s="1418">
        <f t="shared" si="48"/>
        <v>0</v>
      </c>
      <c r="K120" s="1418"/>
      <c r="L120" s="1420"/>
      <c r="M120" s="1419">
        <f t="shared" si="49"/>
        <v>0</v>
      </c>
      <c r="N120" s="1418">
        <f t="shared" si="52"/>
        <v>0</v>
      </c>
      <c r="O120" s="1419">
        <v>1</v>
      </c>
    </row>
    <row r="121" spans="1:15">
      <c r="A121" s="897" t="s">
        <v>801</v>
      </c>
      <c r="B121" s="199">
        <v>456</v>
      </c>
      <c r="C121" s="199">
        <v>4186911</v>
      </c>
      <c r="D121" s="216" t="s">
        <v>2058</v>
      </c>
      <c r="E121" s="1416">
        <v>3353919</v>
      </c>
      <c r="F121" s="1426" t="s">
        <v>567</v>
      </c>
      <c r="G121" s="1418">
        <f t="shared" si="40"/>
        <v>0</v>
      </c>
      <c r="H121" s="1419">
        <v>0</v>
      </c>
      <c r="I121" s="1419">
        <f t="shared" si="47"/>
        <v>0</v>
      </c>
      <c r="J121" s="1418">
        <f t="shared" si="48"/>
        <v>0</v>
      </c>
      <c r="K121" s="1418"/>
      <c r="L121" s="1420"/>
      <c r="M121" s="1419">
        <f t="shared" si="49"/>
        <v>0</v>
      </c>
      <c r="N121" s="1418">
        <f t="shared" si="52"/>
        <v>3353919</v>
      </c>
      <c r="O121" s="1419">
        <v>6</v>
      </c>
    </row>
    <row r="122" spans="1:15">
      <c r="A122" s="897" t="s">
        <v>804</v>
      </c>
      <c r="B122" s="199">
        <v>456</v>
      </c>
      <c r="C122" s="199">
        <v>4186925</v>
      </c>
      <c r="D122" s="216" t="s">
        <v>2059</v>
      </c>
      <c r="E122" s="1416">
        <v>421170201.56</v>
      </c>
      <c r="F122" s="1426" t="s">
        <v>567</v>
      </c>
      <c r="G122" s="1418">
        <f t="shared" si="40"/>
        <v>0</v>
      </c>
      <c r="H122" s="1419">
        <v>0</v>
      </c>
      <c r="I122" s="1419">
        <f t="shared" si="47"/>
        <v>0</v>
      </c>
      <c r="J122" s="1418">
        <f t="shared" si="48"/>
        <v>0</v>
      </c>
      <c r="K122" s="1418"/>
      <c r="L122" s="1420"/>
      <c r="M122" s="1419">
        <f t="shared" si="49"/>
        <v>0</v>
      </c>
      <c r="N122" s="1418">
        <f t="shared" si="52"/>
        <v>421170201.56</v>
      </c>
      <c r="O122" s="1419">
        <v>6</v>
      </c>
    </row>
    <row r="123" spans="1:15" s="972" customFormat="1">
      <c r="A123" s="897" t="s">
        <v>807</v>
      </c>
      <c r="B123" s="1143">
        <v>456</v>
      </c>
      <c r="C123" s="1143">
        <v>4186132</v>
      </c>
      <c r="D123" s="1142" t="s">
        <v>2383</v>
      </c>
      <c r="E123" s="1416">
        <v>-474020.3</v>
      </c>
      <c r="F123" s="1416" t="s">
        <v>565</v>
      </c>
      <c r="G123" s="1418">
        <f t="shared" ref="G123:G128" si="53">IF(F123=$G$2,E123,0)</f>
        <v>-474020.3</v>
      </c>
      <c r="H123" s="1419">
        <v>0</v>
      </c>
      <c r="I123" s="1419">
        <f t="shared" ref="I123:I128" si="54">G123-H123</f>
        <v>-474020.3</v>
      </c>
      <c r="J123" s="1418">
        <f t="shared" ref="J123:J128" si="55">IF(F123=$J$2,E123,0)</f>
        <v>0</v>
      </c>
      <c r="K123" s="1418"/>
      <c r="L123" s="1420"/>
      <c r="M123" s="1419">
        <f t="shared" ref="M123:M128" si="56">J123-L123</f>
        <v>0</v>
      </c>
      <c r="N123" s="1418">
        <f t="shared" si="52"/>
        <v>0</v>
      </c>
      <c r="O123" s="1428">
        <v>4</v>
      </c>
    </row>
    <row r="124" spans="1:15" s="972" customFormat="1">
      <c r="A124" s="897" t="s">
        <v>810</v>
      </c>
      <c r="B124" s="1143">
        <v>456</v>
      </c>
      <c r="C124" s="1143">
        <v>4186116</v>
      </c>
      <c r="D124" s="1142" t="s">
        <v>2384</v>
      </c>
      <c r="E124" s="1416"/>
      <c r="F124" s="1416" t="s">
        <v>565</v>
      </c>
      <c r="G124" s="1418">
        <f t="shared" si="53"/>
        <v>0</v>
      </c>
      <c r="H124" s="1419">
        <v>0</v>
      </c>
      <c r="I124" s="1419">
        <f t="shared" si="54"/>
        <v>0</v>
      </c>
      <c r="J124" s="1418">
        <f t="shared" si="55"/>
        <v>0</v>
      </c>
      <c r="K124" s="1418"/>
      <c r="L124" s="1420"/>
      <c r="M124" s="1419">
        <f t="shared" si="56"/>
        <v>0</v>
      </c>
      <c r="N124" s="1418">
        <f t="shared" si="52"/>
        <v>0</v>
      </c>
      <c r="O124" s="1428">
        <v>4</v>
      </c>
    </row>
    <row r="125" spans="1:15" s="972" customFormat="1">
      <c r="A125" s="897" t="s">
        <v>1687</v>
      </c>
      <c r="B125" s="1143">
        <v>456</v>
      </c>
      <c r="C125" s="1143">
        <v>4186115</v>
      </c>
      <c r="D125" s="14" t="s">
        <v>2385</v>
      </c>
      <c r="E125" s="1416">
        <v>1105061.6399999999</v>
      </c>
      <c r="F125" s="1416" t="s">
        <v>565</v>
      </c>
      <c r="G125" s="1418">
        <f t="shared" si="53"/>
        <v>1105061.6399999999</v>
      </c>
      <c r="H125" s="1419">
        <v>0</v>
      </c>
      <c r="I125" s="1419">
        <f t="shared" si="54"/>
        <v>1105061.6399999999</v>
      </c>
      <c r="J125" s="1418">
        <f t="shared" si="55"/>
        <v>0</v>
      </c>
      <c r="K125" s="1418"/>
      <c r="L125" s="1420"/>
      <c r="M125" s="1419">
        <f t="shared" si="56"/>
        <v>0</v>
      </c>
      <c r="N125" s="1418">
        <f t="shared" si="52"/>
        <v>0</v>
      </c>
      <c r="O125" s="1428">
        <v>4</v>
      </c>
    </row>
    <row r="126" spans="1:15" s="972" customFormat="1">
      <c r="A126" s="897" t="s">
        <v>1688</v>
      </c>
      <c r="B126" s="1143">
        <v>456</v>
      </c>
      <c r="C126" s="1143">
        <v>4186156</v>
      </c>
      <c r="D126" s="1142" t="s">
        <v>2386</v>
      </c>
      <c r="E126" s="1416">
        <v>108809.09</v>
      </c>
      <c r="F126" s="1416" t="s">
        <v>567</v>
      </c>
      <c r="G126" s="1418">
        <f>H126+I126</f>
        <v>6626.4735810000002</v>
      </c>
      <c r="H126" s="1419">
        <f>E126*D254</f>
        <v>6626.4735810000002</v>
      </c>
      <c r="I126" s="1419">
        <v>0</v>
      </c>
      <c r="J126" s="1418">
        <f t="shared" si="55"/>
        <v>0</v>
      </c>
      <c r="K126" s="1418"/>
      <c r="L126" s="1420"/>
      <c r="M126" s="1419">
        <f>J126-L126</f>
        <v>0</v>
      </c>
      <c r="N126" s="1418">
        <f>IF(F126=$N$2,E126-H126,0)</f>
        <v>102182.616419</v>
      </c>
      <c r="O126" s="1428" t="s">
        <v>644</v>
      </c>
    </row>
    <row r="127" spans="1:15" s="972" customFormat="1">
      <c r="A127" s="897" t="s">
        <v>2060</v>
      </c>
      <c r="B127" s="1143">
        <v>456</v>
      </c>
      <c r="C127" s="896" t="s">
        <v>2387</v>
      </c>
      <c r="D127" s="1142" t="s">
        <v>2388</v>
      </c>
      <c r="E127" s="1416">
        <v>82001189.650000006</v>
      </c>
      <c r="F127" s="1416" t="s">
        <v>565</v>
      </c>
      <c r="G127" s="1418">
        <f t="shared" si="53"/>
        <v>82001189.650000006</v>
      </c>
      <c r="H127" s="1419">
        <v>0</v>
      </c>
      <c r="I127" s="1419">
        <f t="shared" si="54"/>
        <v>82001189.650000006</v>
      </c>
      <c r="J127" s="1418">
        <f t="shared" si="55"/>
        <v>0</v>
      </c>
      <c r="K127" s="1418"/>
      <c r="L127" s="1420"/>
      <c r="M127" s="1419">
        <f t="shared" si="56"/>
        <v>0</v>
      </c>
      <c r="N127" s="1418">
        <f>IF(F127=$N$2,E127,0)</f>
        <v>0</v>
      </c>
      <c r="O127" s="1428">
        <v>4</v>
      </c>
    </row>
    <row r="128" spans="1:15" s="972" customFormat="1">
      <c r="A128" s="897" t="s">
        <v>2061</v>
      </c>
      <c r="B128" s="1143">
        <v>456</v>
      </c>
      <c r="C128" s="896" t="s">
        <v>692</v>
      </c>
      <c r="D128" s="1142" t="s">
        <v>2389</v>
      </c>
      <c r="E128" s="1416"/>
      <c r="F128" s="1416" t="s">
        <v>565</v>
      </c>
      <c r="G128" s="1418">
        <f t="shared" si="53"/>
        <v>0</v>
      </c>
      <c r="H128" s="1419">
        <f>G128</f>
        <v>0</v>
      </c>
      <c r="I128" s="1419">
        <f t="shared" si="54"/>
        <v>0</v>
      </c>
      <c r="J128" s="1418">
        <f t="shared" si="55"/>
        <v>0</v>
      </c>
      <c r="K128" s="1418"/>
      <c r="L128" s="1420"/>
      <c r="M128" s="1419">
        <f t="shared" si="56"/>
        <v>0</v>
      </c>
      <c r="N128" s="1418">
        <f>IF(F128=$N$2,E128,0)</f>
        <v>0</v>
      </c>
      <c r="O128" s="1428">
        <v>5</v>
      </c>
    </row>
    <row r="129" spans="1:15" s="972" customFormat="1">
      <c r="A129" s="897" t="s">
        <v>2443</v>
      </c>
      <c r="B129" s="1143">
        <v>456</v>
      </c>
      <c r="C129" s="1143">
        <v>4186732</v>
      </c>
      <c r="D129" s="1142" t="s">
        <v>2444</v>
      </c>
      <c r="E129" s="1416">
        <v>64000</v>
      </c>
      <c r="F129" s="1416" t="s">
        <v>566</v>
      </c>
      <c r="G129" s="1418">
        <f>IF(F129=$G$2,E129,0)</f>
        <v>0</v>
      </c>
      <c r="H129" s="1419">
        <v>0</v>
      </c>
      <c r="I129" s="1419">
        <f t="shared" ref="I129" si="57">G129-H129</f>
        <v>0</v>
      </c>
      <c r="J129" s="1418">
        <f t="shared" ref="J129" si="58">IF(F129=$J$2,E129,0)</f>
        <v>64000</v>
      </c>
      <c r="K129" s="1427" t="s">
        <v>607</v>
      </c>
      <c r="L129" s="1420">
        <v>0</v>
      </c>
      <c r="M129" s="1419">
        <f t="shared" ref="M129" si="59">J129-L129</f>
        <v>64000</v>
      </c>
      <c r="N129" s="1418">
        <f>IF(F129=$N$2,E129,0)</f>
        <v>0</v>
      </c>
      <c r="O129" s="1428">
        <v>2</v>
      </c>
    </row>
    <row r="130" spans="1:15" s="972" customFormat="1">
      <c r="A130" s="897" t="s">
        <v>2777</v>
      </c>
      <c r="B130" s="1143">
        <v>456</v>
      </c>
      <c r="C130" s="1376">
        <v>4171023</v>
      </c>
      <c r="D130" s="1381" t="s">
        <v>2775</v>
      </c>
      <c r="E130" s="1416">
        <v>14926743.02</v>
      </c>
      <c r="F130" s="1416" t="s">
        <v>567</v>
      </c>
      <c r="G130" s="1418">
        <f t="shared" ref="G130:G133" si="60">IF(F130=$G$2,E130,0)</f>
        <v>0</v>
      </c>
      <c r="H130" s="1419">
        <v>0</v>
      </c>
      <c r="I130" s="1419">
        <f t="shared" ref="I130:I133" si="61">G130-H130</f>
        <v>0</v>
      </c>
      <c r="J130" s="1418">
        <f t="shared" ref="J130:J133" si="62">IF(F130=$J$2,E130,0)</f>
        <v>0</v>
      </c>
      <c r="K130" s="1427"/>
      <c r="L130" s="1420"/>
      <c r="M130" s="1419">
        <f t="shared" ref="M130:M133" si="63">J130-L130</f>
        <v>0</v>
      </c>
      <c r="N130" s="1418">
        <f t="shared" ref="N130:N133" si="64">IF(F130=$N$2,E130,0)</f>
        <v>14926743.02</v>
      </c>
      <c r="O130" s="1428">
        <v>6</v>
      </c>
    </row>
    <row r="131" spans="1:15" s="972" customFormat="1">
      <c r="A131" s="897" t="s">
        <v>2778</v>
      </c>
      <c r="B131" s="1143">
        <v>456</v>
      </c>
      <c r="C131" s="1382">
        <v>4186182</v>
      </c>
      <c r="D131" s="1379" t="s">
        <v>2776</v>
      </c>
      <c r="E131" s="1416">
        <v>60000</v>
      </c>
      <c r="F131" s="1416" t="s">
        <v>567</v>
      </c>
      <c r="G131" s="1418">
        <f t="shared" si="60"/>
        <v>0</v>
      </c>
      <c r="H131" s="1419">
        <v>0</v>
      </c>
      <c r="I131" s="1419">
        <f t="shared" si="61"/>
        <v>0</v>
      </c>
      <c r="J131" s="1418">
        <f t="shared" si="62"/>
        <v>0</v>
      </c>
      <c r="K131" s="1427"/>
      <c r="L131" s="1420"/>
      <c r="M131" s="1419">
        <f t="shared" si="63"/>
        <v>0</v>
      </c>
      <c r="N131" s="1418">
        <f t="shared" si="64"/>
        <v>60000</v>
      </c>
      <c r="O131" s="1428">
        <v>6</v>
      </c>
    </row>
    <row r="132" spans="1:15" s="467" customFormat="1">
      <c r="A132" s="1095" t="s">
        <v>2845</v>
      </c>
      <c r="B132" s="1444">
        <v>456</v>
      </c>
      <c r="C132" s="1098" t="s">
        <v>2846</v>
      </c>
      <c r="D132" s="1096" t="s">
        <v>2847</v>
      </c>
      <c r="E132" s="1426">
        <v>-688484.85</v>
      </c>
      <c r="F132" s="1426" t="s">
        <v>565</v>
      </c>
      <c r="G132" s="1426">
        <f t="shared" si="60"/>
        <v>-688484.85</v>
      </c>
      <c r="H132" s="1420">
        <v>0</v>
      </c>
      <c r="I132" s="1420">
        <f t="shared" si="61"/>
        <v>-688484.85</v>
      </c>
      <c r="J132" s="1426">
        <f t="shared" si="62"/>
        <v>0</v>
      </c>
      <c r="K132" s="1426"/>
      <c r="L132" s="1420"/>
      <c r="M132" s="1420">
        <f t="shared" si="63"/>
        <v>0</v>
      </c>
      <c r="N132" s="1426">
        <f t="shared" si="64"/>
        <v>0</v>
      </c>
      <c r="O132" s="1420">
        <v>1</v>
      </c>
    </row>
    <row r="133" spans="1:15" s="467" customFormat="1">
      <c r="A133" s="1095" t="s">
        <v>2848</v>
      </c>
      <c r="B133" s="1444">
        <v>456</v>
      </c>
      <c r="C133" s="1098" t="s">
        <v>2849</v>
      </c>
      <c r="D133" s="1096" t="s">
        <v>2850</v>
      </c>
      <c r="E133" s="1426">
        <v>45</v>
      </c>
      <c r="F133" s="1426" t="s">
        <v>565</v>
      </c>
      <c r="G133" s="1426">
        <f t="shared" si="60"/>
        <v>45</v>
      </c>
      <c r="H133" s="1420">
        <v>0</v>
      </c>
      <c r="I133" s="1420">
        <f t="shared" si="61"/>
        <v>45</v>
      </c>
      <c r="J133" s="1426">
        <f t="shared" si="62"/>
        <v>0</v>
      </c>
      <c r="K133" s="1426"/>
      <c r="L133" s="1420"/>
      <c r="M133" s="1420">
        <f t="shared" si="63"/>
        <v>0</v>
      </c>
      <c r="N133" s="1426">
        <f t="shared" si="64"/>
        <v>0</v>
      </c>
      <c r="O133" s="1420">
        <v>1</v>
      </c>
    </row>
    <row r="134" spans="1:15" s="972" customFormat="1">
      <c r="A134" s="1401"/>
      <c r="B134" s="323"/>
      <c r="C134" s="1098"/>
      <c r="D134" s="324"/>
      <c r="E134" s="1404"/>
      <c r="F134" s="1404"/>
      <c r="G134" s="298"/>
      <c r="H134" s="300"/>
      <c r="I134" s="300"/>
      <c r="J134" s="298"/>
      <c r="K134" s="298"/>
      <c r="L134" s="300"/>
      <c r="M134" s="300"/>
      <c r="N134" s="298"/>
      <c r="O134" s="1405"/>
    </row>
    <row r="135" spans="1:15">
      <c r="A135" s="326"/>
      <c r="B135" s="323"/>
      <c r="C135" s="322"/>
      <c r="D135" s="324"/>
      <c r="E135" s="298"/>
      <c r="F135" s="298"/>
      <c r="G135" s="302"/>
      <c r="H135" s="300"/>
      <c r="I135" s="300"/>
      <c r="J135" s="298"/>
      <c r="K135" s="298"/>
      <c r="L135" s="300"/>
      <c r="M135" s="300"/>
      <c r="N135" s="298"/>
      <c r="O135" s="299"/>
    </row>
    <row r="136" spans="1:15" ht="13">
      <c r="A136" s="203">
        <v>13</v>
      </c>
      <c r="B136" s="1494" t="s">
        <v>813</v>
      </c>
      <c r="C136" s="1492"/>
      <c r="D136" s="1493"/>
      <c r="E136" s="306">
        <f>SUM(E73:E135)</f>
        <v>575074016.9799999</v>
      </c>
      <c r="F136" s="315"/>
      <c r="G136" s="306">
        <f>SUM(G73:G135)</f>
        <v>132840646.98162802</v>
      </c>
      <c r="H136" s="306">
        <f>SUM(H73:H135)</f>
        <v>31606.571398</v>
      </c>
      <c r="I136" s="306">
        <f>SUM(I73:I135)</f>
        <v>132809040.41023001</v>
      </c>
      <c r="J136" s="306">
        <f>SUM(J73:J135)</f>
        <v>2591259.5700000003</v>
      </c>
      <c r="K136" s="315"/>
      <c r="L136" s="306">
        <f>SUM(L73:L135)</f>
        <v>233276.71624414201</v>
      </c>
      <c r="M136" s="306">
        <f>SUM(M73:M135)</f>
        <v>2357982.8537558583</v>
      </c>
      <c r="N136" s="306">
        <f>SUM(N73:N135)</f>
        <v>439642110.42837203</v>
      </c>
      <c r="O136" s="191"/>
    </row>
    <row r="137" spans="1:15" ht="25.5" customHeight="1">
      <c r="A137" s="203">
        <v>14</v>
      </c>
      <c r="B137" s="1486" t="s">
        <v>1228</v>
      </c>
      <c r="C137" s="1487"/>
      <c r="D137" s="1488"/>
      <c r="E137" s="1094">
        <v>575074017</v>
      </c>
      <c r="F137" s="305"/>
      <c r="G137" s="321"/>
      <c r="H137" s="305"/>
      <c r="I137" s="305"/>
      <c r="J137" s="321"/>
      <c r="K137" s="305"/>
      <c r="L137" s="293"/>
      <c r="M137" s="293"/>
      <c r="N137" s="293"/>
      <c r="O137" s="190"/>
    </row>
    <row r="138" spans="1:15" ht="13">
      <c r="A138" s="206"/>
      <c r="B138" s="207"/>
      <c r="C138" s="208"/>
      <c r="D138" s="209"/>
      <c r="E138" s="293"/>
      <c r="F138" s="293"/>
      <c r="G138" s="293"/>
      <c r="H138" s="305"/>
      <c r="I138" s="305"/>
      <c r="J138" s="293"/>
      <c r="K138" s="305"/>
      <c r="L138" s="293"/>
      <c r="M138" s="293"/>
      <c r="N138" s="293"/>
      <c r="O138" s="190"/>
    </row>
    <row r="139" spans="1:15">
      <c r="A139" s="203" t="s">
        <v>814</v>
      </c>
      <c r="B139" s="199">
        <v>456.1</v>
      </c>
      <c r="C139" s="204" t="s">
        <v>815</v>
      </c>
      <c r="D139" s="200" t="s">
        <v>816</v>
      </c>
      <c r="E139" s="1429"/>
      <c r="F139" s="1417" t="s">
        <v>565</v>
      </c>
      <c r="G139" s="1418">
        <f t="shared" ref="G139:G151" si="65">IF(F139=$G$2,E139,0)</f>
        <v>0</v>
      </c>
      <c r="H139" s="1419">
        <f>G139</f>
        <v>0</v>
      </c>
      <c r="I139" s="1419">
        <f t="shared" ref="I139:I158" si="66">G139-H139</f>
        <v>0</v>
      </c>
      <c r="J139" s="1418">
        <f t="shared" ref="J139:J152" si="67">IF(F139=$J$2,E139,0)</f>
        <v>0</v>
      </c>
      <c r="K139" s="1421"/>
      <c r="L139" s="1422"/>
      <c r="M139" s="1419">
        <f>J139-L139</f>
        <v>0</v>
      </c>
      <c r="N139" s="1418">
        <f t="shared" ref="N139:N158" si="68">IF(F139=$N$2,E139,0)</f>
        <v>0</v>
      </c>
      <c r="O139" s="1419">
        <v>5</v>
      </c>
    </row>
    <row r="140" spans="1:15">
      <c r="A140" s="203" t="s">
        <v>817</v>
      </c>
      <c r="B140" s="199">
        <v>456.1</v>
      </c>
      <c r="C140" s="204" t="s">
        <v>818</v>
      </c>
      <c r="D140" s="200" t="s">
        <v>819</v>
      </c>
      <c r="E140" s="1429">
        <v>296028</v>
      </c>
      <c r="F140" s="1426" t="s">
        <v>565</v>
      </c>
      <c r="G140" s="1418">
        <f t="shared" si="65"/>
        <v>296028</v>
      </c>
      <c r="H140" s="1419">
        <v>0</v>
      </c>
      <c r="I140" s="1419">
        <f t="shared" si="66"/>
        <v>296028</v>
      </c>
      <c r="J140" s="1418">
        <f t="shared" si="67"/>
        <v>0</v>
      </c>
      <c r="K140" s="1421"/>
      <c r="L140" s="1422"/>
      <c r="M140" s="1419">
        <f>J140-L140</f>
        <v>0</v>
      </c>
      <c r="N140" s="1418">
        <f t="shared" si="68"/>
        <v>0</v>
      </c>
      <c r="O140" s="1419">
        <v>4</v>
      </c>
    </row>
    <row r="141" spans="1:15">
      <c r="A141" s="203" t="s">
        <v>820</v>
      </c>
      <c r="B141" s="199">
        <v>456.1</v>
      </c>
      <c r="C141" s="204" t="s">
        <v>821</v>
      </c>
      <c r="D141" s="200" t="s">
        <v>822</v>
      </c>
      <c r="E141" s="1429">
        <v>898962.62</v>
      </c>
      <c r="F141" s="1426" t="s">
        <v>565</v>
      </c>
      <c r="G141" s="1418">
        <f t="shared" si="65"/>
        <v>898962.62</v>
      </c>
      <c r="H141" s="1419">
        <v>0</v>
      </c>
      <c r="I141" s="1419">
        <f t="shared" si="66"/>
        <v>898962.62</v>
      </c>
      <c r="J141" s="1418">
        <f t="shared" si="67"/>
        <v>0</v>
      </c>
      <c r="K141" s="1421"/>
      <c r="L141" s="1422"/>
      <c r="M141" s="1419">
        <f>J141-L141</f>
        <v>0</v>
      </c>
      <c r="N141" s="1418">
        <f t="shared" si="68"/>
        <v>0</v>
      </c>
      <c r="O141" s="1419">
        <v>4</v>
      </c>
    </row>
    <row r="142" spans="1:15">
      <c r="A142" s="203" t="s">
        <v>823</v>
      </c>
      <c r="B142" s="199">
        <v>456.1</v>
      </c>
      <c r="C142" s="204" t="s">
        <v>824</v>
      </c>
      <c r="D142" s="200" t="s">
        <v>825</v>
      </c>
      <c r="E142" s="1429">
        <v>119428.54</v>
      </c>
      <c r="F142" s="1426" t="s">
        <v>567</v>
      </c>
      <c r="G142" s="1418">
        <f t="shared" si="65"/>
        <v>0</v>
      </c>
      <c r="H142" s="1419">
        <v>0</v>
      </c>
      <c r="I142" s="1419">
        <f t="shared" si="66"/>
        <v>0</v>
      </c>
      <c r="J142" s="1418">
        <f t="shared" si="67"/>
        <v>0</v>
      </c>
      <c r="K142" s="1421"/>
      <c r="L142" s="1422"/>
      <c r="M142" s="1419">
        <f>J142-L142</f>
        <v>0</v>
      </c>
      <c r="N142" s="1418">
        <f t="shared" si="68"/>
        <v>119428.54</v>
      </c>
      <c r="O142" s="1419">
        <v>6</v>
      </c>
    </row>
    <row r="143" spans="1:15">
      <c r="A143" s="203" t="s">
        <v>826</v>
      </c>
      <c r="B143" s="199">
        <v>456.1</v>
      </c>
      <c r="C143" s="204" t="s">
        <v>827</v>
      </c>
      <c r="D143" s="200" t="s">
        <v>828</v>
      </c>
      <c r="E143" s="1429">
        <v>67845820.530000001</v>
      </c>
      <c r="F143" s="1426" t="s">
        <v>567</v>
      </c>
      <c r="G143" s="1418">
        <f t="shared" si="65"/>
        <v>0</v>
      </c>
      <c r="H143" s="1419">
        <v>0</v>
      </c>
      <c r="I143" s="1419">
        <f t="shared" si="66"/>
        <v>0</v>
      </c>
      <c r="J143" s="1418">
        <f t="shared" si="67"/>
        <v>0</v>
      </c>
      <c r="K143" s="1421"/>
      <c r="L143" s="1422"/>
      <c r="M143" s="1419">
        <f>J143-L143</f>
        <v>0</v>
      </c>
      <c r="N143" s="1418">
        <f t="shared" si="68"/>
        <v>67845820.530000001</v>
      </c>
      <c r="O143" s="1419">
        <v>6</v>
      </c>
    </row>
    <row r="144" spans="1:15">
      <c r="A144" s="203" t="s">
        <v>829</v>
      </c>
      <c r="B144" s="199">
        <v>456.1</v>
      </c>
      <c r="C144" s="204" t="s">
        <v>830</v>
      </c>
      <c r="D144" s="200" t="s">
        <v>831</v>
      </c>
      <c r="E144" s="1429" t="s">
        <v>2671</v>
      </c>
      <c r="F144" s="1417" t="s">
        <v>567</v>
      </c>
      <c r="G144" s="1418">
        <f t="shared" si="65"/>
        <v>0</v>
      </c>
      <c r="H144" s="1419">
        <v>0</v>
      </c>
      <c r="I144" s="1419">
        <f t="shared" si="66"/>
        <v>0</v>
      </c>
      <c r="J144" s="1418">
        <f t="shared" si="67"/>
        <v>0</v>
      </c>
      <c r="K144" s="1421"/>
      <c r="L144" s="1422"/>
      <c r="M144" s="1419">
        <f t="shared" ref="M144" si="69">J144-L144</f>
        <v>0</v>
      </c>
      <c r="N144" s="1418" t="str">
        <f t="shared" si="68"/>
        <v>.</v>
      </c>
      <c r="O144" s="1419">
        <v>6</v>
      </c>
    </row>
    <row r="145" spans="1:15">
      <c r="A145" s="203" t="s">
        <v>832</v>
      </c>
      <c r="B145" s="199">
        <v>456.1</v>
      </c>
      <c r="C145" s="204" t="s">
        <v>833</v>
      </c>
      <c r="D145" s="200" t="s">
        <v>834</v>
      </c>
      <c r="E145" s="1429">
        <v>41782080</v>
      </c>
      <c r="F145" s="1426" t="s">
        <v>565</v>
      </c>
      <c r="G145" s="1418">
        <f t="shared" si="65"/>
        <v>41782080</v>
      </c>
      <c r="H145" s="1419">
        <f>G145</f>
        <v>41782080</v>
      </c>
      <c r="I145" s="1419">
        <f t="shared" si="66"/>
        <v>0</v>
      </c>
      <c r="J145" s="1418">
        <f t="shared" si="67"/>
        <v>0</v>
      </c>
      <c r="K145" s="1421"/>
      <c r="L145" s="1422"/>
      <c r="M145" s="1419">
        <f t="shared" ref="M145:M158" si="70">J145-L145</f>
        <v>0</v>
      </c>
      <c r="N145" s="1418">
        <f t="shared" si="68"/>
        <v>0</v>
      </c>
      <c r="O145" s="1419">
        <v>5</v>
      </c>
    </row>
    <row r="146" spans="1:15">
      <c r="A146" s="203" t="s">
        <v>835</v>
      </c>
      <c r="B146" s="199">
        <v>456.1</v>
      </c>
      <c r="C146" s="204" t="s">
        <v>836</v>
      </c>
      <c r="D146" s="200" t="s">
        <v>837</v>
      </c>
      <c r="E146" s="1429">
        <v>8673499.1600000001</v>
      </c>
      <c r="F146" s="1426" t="s">
        <v>565</v>
      </c>
      <c r="G146" s="1418">
        <f t="shared" si="65"/>
        <v>8673499.1600000001</v>
      </c>
      <c r="H146" s="1419">
        <v>0</v>
      </c>
      <c r="I146" s="1419">
        <f t="shared" si="66"/>
        <v>8673499.1600000001</v>
      </c>
      <c r="J146" s="1418">
        <f t="shared" si="67"/>
        <v>0</v>
      </c>
      <c r="K146" s="1421"/>
      <c r="L146" s="1422"/>
      <c r="M146" s="1419">
        <f t="shared" si="70"/>
        <v>0</v>
      </c>
      <c r="N146" s="1418">
        <f t="shared" si="68"/>
        <v>0</v>
      </c>
      <c r="O146" s="1419">
        <v>4</v>
      </c>
    </row>
    <row r="147" spans="1:15">
      <c r="A147" s="203" t="s">
        <v>838</v>
      </c>
      <c r="B147" s="199">
        <v>456.1</v>
      </c>
      <c r="C147" s="204" t="s">
        <v>839</v>
      </c>
      <c r="D147" s="200" t="s">
        <v>840</v>
      </c>
      <c r="E147" s="1429"/>
      <c r="F147" s="1417" t="s">
        <v>565</v>
      </c>
      <c r="G147" s="1418">
        <f t="shared" si="65"/>
        <v>0</v>
      </c>
      <c r="H147" s="1419">
        <v>0</v>
      </c>
      <c r="I147" s="1419">
        <f t="shared" si="66"/>
        <v>0</v>
      </c>
      <c r="J147" s="1418">
        <f t="shared" si="67"/>
        <v>0</v>
      </c>
      <c r="K147" s="1421"/>
      <c r="L147" s="1422"/>
      <c r="M147" s="1419">
        <f t="shared" si="70"/>
        <v>0</v>
      </c>
      <c r="N147" s="1418">
        <f t="shared" si="68"/>
        <v>0</v>
      </c>
      <c r="O147" s="1419">
        <v>4</v>
      </c>
    </row>
    <row r="148" spans="1:15">
      <c r="A148" s="1114" t="s">
        <v>841</v>
      </c>
      <c r="B148" s="199">
        <v>456.1</v>
      </c>
      <c r="C148" s="204" t="s">
        <v>843</v>
      </c>
      <c r="D148" s="200" t="s">
        <v>844</v>
      </c>
      <c r="E148" s="1429"/>
      <c r="F148" s="1417" t="s">
        <v>565</v>
      </c>
      <c r="G148" s="1418">
        <f t="shared" si="65"/>
        <v>0</v>
      </c>
      <c r="H148" s="1419">
        <v>0</v>
      </c>
      <c r="I148" s="1419">
        <f t="shared" si="66"/>
        <v>0</v>
      </c>
      <c r="J148" s="1418">
        <f t="shared" si="67"/>
        <v>0</v>
      </c>
      <c r="K148" s="1421"/>
      <c r="L148" s="1422"/>
      <c r="M148" s="1419">
        <f t="shared" si="70"/>
        <v>0</v>
      </c>
      <c r="N148" s="1418">
        <f t="shared" si="68"/>
        <v>0</v>
      </c>
      <c r="O148" s="1419">
        <v>4</v>
      </c>
    </row>
    <row r="149" spans="1:15">
      <c r="A149" s="1114" t="s">
        <v>842</v>
      </c>
      <c r="B149" s="199">
        <v>456.1</v>
      </c>
      <c r="C149" s="204" t="s">
        <v>846</v>
      </c>
      <c r="D149" s="200" t="s">
        <v>847</v>
      </c>
      <c r="E149" s="1429">
        <v>402147.6</v>
      </c>
      <c r="F149" s="1426" t="s">
        <v>565</v>
      </c>
      <c r="G149" s="1418">
        <f t="shared" si="65"/>
        <v>402147.6</v>
      </c>
      <c r="H149" s="1419">
        <v>0</v>
      </c>
      <c r="I149" s="1419">
        <f t="shared" si="66"/>
        <v>402147.6</v>
      </c>
      <c r="J149" s="1418">
        <f t="shared" si="67"/>
        <v>0</v>
      </c>
      <c r="K149" s="1421"/>
      <c r="L149" s="1422"/>
      <c r="M149" s="1419">
        <f t="shared" si="70"/>
        <v>0</v>
      </c>
      <c r="N149" s="1418">
        <f t="shared" si="68"/>
        <v>0</v>
      </c>
      <c r="O149" s="1419">
        <v>4</v>
      </c>
    </row>
    <row r="150" spans="1:15">
      <c r="A150" s="1114" t="s">
        <v>845</v>
      </c>
      <c r="B150" s="199">
        <v>456.1</v>
      </c>
      <c r="C150" s="204" t="s">
        <v>849</v>
      </c>
      <c r="D150" s="200" t="s">
        <v>850</v>
      </c>
      <c r="E150" s="1429">
        <v>104853</v>
      </c>
      <c r="F150" s="1426" t="s">
        <v>565</v>
      </c>
      <c r="G150" s="1418">
        <f t="shared" si="65"/>
        <v>104853</v>
      </c>
      <c r="H150" s="1419">
        <v>0</v>
      </c>
      <c r="I150" s="1419">
        <f t="shared" si="66"/>
        <v>104853</v>
      </c>
      <c r="J150" s="1418">
        <f t="shared" si="67"/>
        <v>0</v>
      </c>
      <c r="K150" s="1421"/>
      <c r="L150" s="1422"/>
      <c r="M150" s="1419">
        <f t="shared" si="70"/>
        <v>0</v>
      </c>
      <c r="N150" s="1418">
        <f t="shared" si="68"/>
        <v>0</v>
      </c>
      <c r="O150" s="1419">
        <v>4</v>
      </c>
    </row>
    <row r="151" spans="1:15">
      <c r="A151" s="1114" t="s">
        <v>848</v>
      </c>
      <c r="B151" s="199">
        <v>456.1</v>
      </c>
      <c r="C151" s="204" t="s">
        <v>852</v>
      </c>
      <c r="D151" s="200" t="s">
        <v>853</v>
      </c>
      <c r="E151" s="1429"/>
      <c r="F151" s="1426" t="s">
        <v>565</v>
      </c>
      <c r="G151" s="1418">
        <f t="shared" si="65"/>
        <v>0</v>
      </c>
      <c r="H151" s="1419">
        <v>0</v>
      </c>
      <c r="I151" s="1419">
        <f t="shared" si="66"/>
        <v>0</v>
      </c>
      <c r="J151" s="1418">
        <f t="shared" si="67"/>
        <v>0</v>
      </c>
      <c r="K151" s="1421"/>
      <c r="L151" s="1422"/>
      <c r="M151" s="1419">
        <f t="shared" si="70"/>
        <v>0</v>
      </c>
      <c r="N151" s="1418">
        <f t="shared" si="68"/>
        <v>0</v>
      </c>
      <c r="O151" s="1419">
        <v>4</v>
      </c>
    </row>
    <row r="152" spans="1:15">
      <c r="A152" s="1114" t="s">
        <v>851</v>
      </c>
      <c r="B152" s="199">
        <v>456.1</v>
      </c>
      <c r="C152" s="204" t="s">
        <v>855</v>
      </c>
      <c r="D152" s="200" t="s">
        <v>856</v>
      </c>
      <c r="E152" s="1429">
        <v>651331.07999999996</v>
      </c>
      <c r="F152" s="1426" t="s">
        <v>565</v>
      </c>
      <c r="G152" s="1418">
        <f t="shared" ref="G152" si="71">IF(F152=$G$2,E152,0)</f>
        <v>651331.07999999996</v>
      </c>
      <c r="H152" s="1419">
        <v>0</v>
      </c>
      <c r="I152" s="1419">
        <f t="shared" si="66"/>
        <v>651331.07999999996</v>
      </c>
      <c r="J152" s="1418">
        <f t="shared" si="67"/>
        <v>0</v>
      </c>
      <c r="K152" s="1421"/>
      <c r="L152" s="1422"/>
      <c r="M152" s="1419">
        <f t="shared" si="70"/>
        <v>0</v>
      </c>
      <c r="N152" s="1418">
        <f t="shared" si="68"/>
        <v>0</v>
      </c>
      <c r="O152" s="1419">
        <v>4</v>
      </c>
    </row>
    <row r="153" spans="1:15">
      <c r="A153" s="1114" t="s">
        <v>854</v>
      </c>
      <c r="B153" s="199">
        <v>456.1</v>
      </c>
      <c r="C153" s="204" t="s">
        <v>858</v>
      </c>
      <c r="D153" s="200" t="s">
        <v>859</v>
      </c>
      <c r="E153" s="1429">
        <v>207840.12</v>
      </c>
      <c r="F153" s="1426" t="s">
        <v>565</v>
      </c>
      <c r="G153" s="1418">
        <f t="shared" ref="G153:G158" si="72">IF(F153=$G$2,E153,0)</f>
        <v>207840.12</v>
      </c>
      <c r="H153" s="1419">
        <v>0</v>
      </c>
      <c r="I153" s="1419">
        <f t="shared" si="66"/>
        <v>207840.12</v>
      </c>
      <c r="J153" s="1418">
        <f t="shared" ref="J153" si="73">IF(F153=$J$2,E153,0)</f>
        <v>0</v>
      </c>
      <c r="K153" s="1421"/>
      <c r="L153" s="1422"/>
      <c r="M153" s="1419">
        <f t="shared" si="70"/>
        <v>0</v>
      </c>
      <c r="N153" s="1418">
        <f t="shared" si="68"/>
        <v>0</v>
      </c>
      <c r="O153" s="1419">
        <v>4</v>
      </c>
    </row>
    <row r="154" spans="1:15">
      <c r="A154" s="1114" t="s">
        <v>857</v>
      </c>
      <c r="B154" s="199">
        <v>456.1</v>
      </c>
      <c r="C154" s="204" t="s">
        <v>862</v>
      </c>
      <c r="D154" s="200" t="s">
        <v>863</v>
      </c>
      <c r="E154" s="1429">
        <v>42492.12</v>
      </c>
      <c r="F154" s="1426" t="s">
        <v>565</v>
      </c>
      <c r="G154" s="1418">
        <f t="shared" si="72"/>
        <v>42492.12</v>
      </c>
      <c r="H154" s="1419">
        <v>0</v>
      </c>
      <c r="I154" s="1419">
        <f t="shared" si="66"/>
        <v>42492.12</v>
      </c>
      <c r="J154" s="1418">
        <f>IF(F154=$J$2,E154,0)</f>
        <v>0</v>
      </c>
      <c r="K154" s="1421"/>
      <c r="L154" s="1422"/>
      <c r="M154" s="1419">
        <f t="shared" si="70"/>
        <v>0</v>
      </c>
      <c r="N154" s="1418">
        <f t="shared" si="68"/>
        <v>0</v>
      </c>
      <c r="O154" s="1419">
        <v>4</v>
      </c>
    </row>
    <row r="155" spans="1:15">
      <c r="A155" s="1114" t="s">
        <v>860</v>
      </c>
      <c r="B155" s="199">
        <v>456.1</v>
      </c>
      <c r="C155" s="204" t="s">
        <v>865</v>
      </c>
      <c r="D155" s="200" t="s">
        <v>866</v>
      </c>
      <c r="E155" s="1429"/>
      <c r="F155" s="1417" t="s">
        <v>567</v>
      </c>
      <c r="G155" s="1418">
        <f t="shared" si="72"/>
        <v>0</v>
      </c>
      <c r="H155" s="1419">
        <v>0</v>
      </c>
      <c r="I155" s="1419">
        <f t="shared" si="66"/>
        <v>0</v>
      </c>
      <c r="J155" s="1418">
        <f>IF(F155=$J$2,E155,0)</f>
        <v>0</v>
      </c>
      <c r="K155" s="1421"/>
      <c r="L155" s="1422"/>
      <c r="M155" s="1419">
        <f t="shared" si="70"/>
        <v>0</v>
      </c>
      <c r="N155" s="1418">
        <f t="shared" si="68"/>
        <v>0</v>
      </c>
      <c r="O155" s="1419">
        <v>6</v>
      </c>
    </row>
    <row r="156" spans="1:15" s="972" customFormat="1">
      <c r="A156" s="897" t="s">
        <v>861</v>
      </c>
      <c r="B156" s="1143">
        <v>456.1</v>
      </c>
      <c r="C156" s="896" t="s">
        <v>2391</v>
      </c>
      <c r="D156" s="896" t="s">
        <v>2392</v>
      </c>
      <c r="E156" s="1429">
        <v>96303.72</v>
      </c>
      <c r="F156" s="1416" t="s">
        <v>565</v>
      </c>
      <c r="G156" s="1418">
        <f t="shared" si="72"/>
        <v>96303.72</v>
      </c>
      <c r="H156" s="1419">
        <v>0</v>
      </c>
      <c r="I156" s="1419">
        <f t="shared" si="66"/>
        <v>96303.72</v>
      </c>
      <c r="J156" s="1418">
        <f>IF(F156=$J$2,E156,0)</f>
        <v>0</v>
      </c>
      <c r="K156" s="1430"/>
      <c r="L156" s="1420"/>
      <c r="M156" s="1419">
        <f t="shared" si="70"/>
        <v>0</v>
      </c>
      <c r="N156" s="1418">
        <f t="shared" si="68"/>
        <v>0</v>
      </c>
      <c r="O156" s="1428">
        <v>4</v>
      </c>
    </row>
    <row r="157" spans="1:15" s="972" customFormat="1">
      <c r="A157" s="897" t="s">
        <v>864</v>
      </c>
      <c r="B157" s="1143">
        <v>456.1</v>
      </c>
      <c r="C157" s="896" t="s">
        <v>2393</v>
      </c>
      <c r="D157" s="896" t="s">
        <v>2394</v>
      </c>
      <c r="E157" s="1429">
        <v>198434.52</v>
      </c>
      <c r="F157" s="1416" t="s">
        <v>565</v>
      </c>
      <c r="G157" s="1418">
        <f t="shared" si="72"/>
        <v>198434.52</v>
      </c>
      <c r="H157" s="1419">
        <v>0</v>
      </c>
      <c r="I157" s="1419">
        <f t="shared" si="66"/>
        <v>198434.52</v>
      </c>
      <c r="J157" s="1418">
        <f>IF(F157=$J$2,E157,0)</f>
        <v>0</v>
      </c>
      <c r="K157" s="1430"/>
      <c r="L157" s="1420"/>
      <c r="M157" s="1419">
        <f t="shared" si="70"/>
        <v>0</v>
      </c>
      <c r="N157" s="1418">
        <f t="shared" si="68"/>
        <v>0</v>
      </c>
      <c r="O157" s="1428">
        <v>4</v>
      </c>
    </row>
    <row r="158" spans="1:15">
      <c r="A158" s="897" t="s">
        <v>2390</v>
      </c>
      <c r="B158" s="1143">
        <v>456.1</v>
      </c>
      <c r="C158" s="896" t="s">
        <v>2395</v>
      </c>
      <c r="D158" s="1142" t="s">
        <v>2396</v>
      </c>
      <c r="E158" s="1429">
        <v>3673523</v>
      </c>
      <c r="F158" s="1429" t="s">
        <v>567</v>
      </c>
      <c r="G158" s="1418">
        <f t="shared" si="72"/>
        <v>0</v>
      </c>
      <c r="H158" s="1419">
        <v>0</v>
      </c>
      <c r="I158" s="1419">
        <f t="shared" si="66"/>
        <v>0</v>
      </c>
      <c r="J158" s="1418">
        <f>IF(F158=$J$2,E158,0)</f>
        <v>0</v>
      </c>
      <c r="K158" s="1430"/>
      <c r="L158" s="1420"/>
      <c r="M158" s="1419">
        <f t="shared" si="70"/>
        <v>0</v>
      </c>
      <c r="N158" s="1418">
        <f t="shared" si="68"/>
        <v>3673523</v>
      </c>
      <c r="O158" s="1428">
        <v>6</v>
      </c>
    </row>
    <row r="159" spans="1:15" s="972" customFormat="1">
      <c r="A159" s="1383" t="s">
        <v>2779</v>
      </c>
      <c r="B159" s="1384">
        <v>456.1</v>
      </c>
      <c r="C159" s="1386" t="s">
        <v>865</v>
      </c>
      <c r="D159" s="1385" t="s">
        <v>2780</v>
      </c>
      <c r="E159" s="1429">
        <v>-49391</v>
      </c>
      <c r="F159" s="1429" t="s">
        <v>567</v>
      </c>
      <c r="G159" s="1431">
        <f t="shared" ref="G159:G161" si="74">IF(F159=$G$2,E159,0)</f>
        <v>0</v>
      </c>
      <c r="H159" s="1428">
        <v>0</v>
      </c>
      <c r="I159" s="1428">
        <f t="shared" ref="I159:I161" si="75">G159-H159</f>
        <v>0</v>
      </c>
      <c r="J159" s="1431">
        <f t="shared" ref="J159:J161" si="76">IF(F159=$J$2,E159,0)</f>
        <v>0</v>
      </c>
      <c r="K159" s="1430"/>
      <c r="L159" s="1420"/>
      <c r="M159" s="1419">
        <f t="shared" ref="M159:M161" si="77">J159-L159</f>
        <v>0</v>
      </c>
      <c r="N159" s="1418">
        <f t="shared" ref="N159:N161" si="78">IF(F159=$N$2,E159,0)</f>
        <v>-49391</v>
      </c>
      <c r="O159" s="1428">
        <v>6</v>
      </c>
    </row>
    <row r="160" spans="1:15" s="972" customFormat="1">
      <c r="A160" s="1383" t="s">
        <v>2781</v>
      </c>
      <c r="B160" s="1384">
        <v>456.1</v>
      </c>
      <c r="C160" s="1386" t="s">
        <v>2783</v>
      </c>
      <c r="D160" s="1385" t="s">
        <v>2782</v>
      </c>
      <c r="E160" s="1429">
        <v>65.5</v>
      </c>
      <c r="F160" s="1429" t="s">
        <v>567</v>
      </c>
      <c r="G160" s="1431">
        <f t="shared" si="74"/>
        <v>0</v>
      </c>
      <c r="H160" s="1428">
        <v>0</v>
      </c>
      <c r="I160" s="1428">
        <f t="shared" si="75"/>
        <v>0</v>
      </c>
      <c r="J160" s="1431">
        <f t="shared" si="76"/>
        <v>0</v>
      </c>
      <c r="K160" s="1430"/>
      <c r="L160" s="1420"/>
      <c r="M160" s="1419">
        <f t="shared" si="77"/>
        <v>0</v>
      </c>
      <c r="N160" s="1418">
        <f t="shared" si="78"/>
        <v>65.5</v>
      </c>
      <c r="O160" s="1428">
        <v>6</v>
      </c>
    </row>
    <row r="161" spans="1:15" s="467" customFormat="1">
      <c r="A161" s="1095" t="s">
        <v>2852</v>
      </c>
      <c r="B161" s="1444">
        <v>456.1</v>
      </c>
      <c r="C161" s="1098" t="s">
        <v>2851</v>
      </c>
      <c r="D161" s="1096" t="s">
        <v>2853</v>
      </c>
      <c r="E161" s="1429">
        <v>7927800</v>
      </c>
      <c r="F161" s="1429" t="s">
        <v>567</v>
      </c>
      <c r="G161" s="1416">
        <f t="shared" si="74"/>
        <v>0</v>
      </c>
      <c r="H161" s="1420">
        <v>0</v>
      </c>
      <c r="I161" s="1420">
        <f t="shared" si="75"/>
        <v>0</v>
      </c>
      <c r="J161" s="1416">
        <f t="shared" si="76"/>
        <v>0</v>
      </c>
      <c r="K161" s="1429"/>
      <c r="L161" s="1420"/>
      <c r="M161" s="1420">
        <f t="shared" si="77"/>
        <v>0</v>
      </c>
      <c r="N161" s="1426">
        <f t="shared" si="78"/>
        <v>7927800</v>
      </c>
      <c r="O161" s="1420"/>
    </row>
    <row r="162" spans="1:15">
      <c r="A162" s="326"/>
      <c r="B162" s="323"/>
      <c r="C162" s="322"/>
      <c r="D162" s="324"/>
      <c r="E162" s="301"/>
      <c r="F162" s="301"/>
      <c r="G162" s="302"/>
      <c r="H162" s="300"/>
      <c r="I162" s="300"/>
      <c r="J162" s="298"/>
      <c r="K162" s="301"/>
      <c r="L162" s="300"/>
      <c r="M162" s="300"/>
      <c r="N162" s="298"/>
      <c r="O162" s="299"/>
    </row>
    <row r="163" spans="1:15" ht="13">
      <c r="A163" s="203">
        <v>16</v>
      </c>
      <c r="B163" s="1494" t="s">
        <v>867</v>
      </c>
      <c r="C163" s="1492"/>
      <c r="D163" s="1493"/>
      <c r="E163" s="306">
        <f>SUM(E139:E162)</f>
        <v>132871218.50999999</v>
      </c>
      <c r="F163" s="315"/>
      <c r="G163" s="306">
        <f>SUM(G139:G162)</f>
        <v>53353971.939999998</v>
      </c>
      <c r="H163" s="306">
        <f>SUM(H139:H162)</f>
        <v>41782080</v>
      </c>
      <c r="I163" s="306">
        <f>SUM(I139:I162)</f>
        <v>11571891.939999999</v>
      </c>
      <c r="J163" s="306">
        <f>SUM(J139:J162)</f>
        <v>0</v>
      </c>
      <c r="K163" s="315"/>
      <c r="L163" s="306">
        <f>SUM(L139:L162)</f>
        <v>0</v>
      </c>
      <c r="M163" s="306">
        <f>SUM(M139:M162)</f>
        <v>0</v>
      </c>
      <c r="N163" s="306">
        <f>SUM(N139:N162)</f>
        <v>79517246.570000008</v>
      </c>
      <c r="O163" s="192"/>
    </row>
    <row r="164" spans="1:15" ht="25.5" customHeight="1">
      <c r="A164" s="203">
        <v>17</v>
      </c>
      <c r="B164" s="1486" t="s">
        <v>1223</v>
      </c>
      <c r="C164" s="1487"/>
      <c r="D164" s="1488"/>
      <c r="E164" s="1094">
        <v>132871219</v>
      </c>
      <c r="F164" s="305"/>
      <c r="G164" s="317"/>
      <c r="H164" s="305"/>
      <c r="I164" s="307"/>
      <c r="J164" s="291"/>
      <c r="K164" s="307"/>
      <c r="L164" s="291"/>
      <c r="M164" s="291"/>
      <c r="N164" s="291"/>
      <c r="O164" s="190"/>
    </row>
    <row r="165" spans="1:15" ht="13">
      <c r="A165" s="206"/>
      <c r="B165" s="207"/>
      <c r="C165" s="208"/>
      <c r="D165" s="209"/>
      <c r="E165" s="291"/>
      <c r="F165" s="291"/>
      <c r="G165" s="291"/>
      <c r="H165" s="307"/>
      <c r="I165" s="307"/>
      <c r="J165" s="291"/>
      <c r="K165" s="307"/>
      <c r="L165" s="291"/>
      <c r="M165" s="291"/>
      <c r="N165" s="291"/>
      <c r="O165" s="190"/>
    </row>
    <row r="166" spans="1:15" ht="13">
      <c r="A166" s="326" t="s">
        <v>868</v>
      </c>
      <c r="B166" s="325"/>
      <c r="C166" s="344"/>
      <c r="D166" s="344"/>
      <c r="E166" s="345"/>
      <c r="F166" s="345"/>
      <c r="G166" s="345"/>
      <c r="H166" s="345"/>
      <c r="I166" s="345"/>
      <c r="J166" s="345"/>
      <c r="K166" s="345"/>
      <c r="L166" s="345"/>
      <c r="M166" s="345"/>
      <c r="N166" s="345"/>
      <c r="O166" s="299"/>
    </row>
    <row r="167" spans="1:15" ht="13">
      <c r="A167" s="326"/>
      <c r="B167" s="346"/>
      <c r="C167" s="344"/>
      <c r="D167" s="344"/>
      <c r="E167" s="345"/>
      <c r="F167" s="345"/>
      <c r="G167" s="345"/>
      <c r="H167" s="345"/>
      <c r="I167" s="345"/>
      <c r="J167" s="345"/>
      <c r="K167" s="345"/>
      <c r="L167" s="345"/>
      <c r="M167" s="345"/>
      <c r="N167" s="345"/>
      <c r="O167" s="299"/>
    </row>
    <row r="168" spans="1:15" ht="13">
      <c r="A168" s="198">
        <v>19</v>
      </c>
      <c r="B168" s="1494" t="s">
        <v>869</v>
      </c>
      <c r="C168" s="1492"/>
      <c r="D168" s="1493"/>
      <c r="E168" s="292">
        <f>SUM(E166:E167)</f>
        <v>0</v>
      </c>
      <c r="F168" s="350"/>
      <c r="G168" s="292">
        <f>SUM(G166:G167)</f>
        <v>0</v>
      </c>
      <c r="H168" s="292">
        <f>SUM(H166:H167)</f>
        <v>0</v>
      </c>
      <c r="I168" s="292">
        <f>SUM(I166:I167)</f>
        <v>0</v>
      </c>
      <c r="J168" s="292">
        <f>SUM(J166:J167)</f>
        <v>0</v>
      </c>
      <c r="K168" s="315"/>
      <c r="L168" s="292">
        <f>SUM(L166:L167)</f>
        <v>0</v>
      </c>
      <c r="M168" s="292">
        <f>SUM(M166:M167)</f>
        <v>0</v>
      </c>
      <c r="N168" s="292">
        <f>SUM(N166:N167)</f>
        <v>0</v>
      </c>
      <c r="O168" s="292"/>
    </row>
    <row r="169" spans="1:15" ht="26.25" customHeight="1">
      <c r="A169" s="198">
        <v>20</v>
      </c>
      <c r="B169" s="1502" t="s">
        <v>1229</v>
      </c>
      <c r="C169" s="1503"/>
      <c r="D169" s="1504"/>
      <c r="E169" s="304">
        <v>0</v>
      </c>
      <c r="F169" s="291"/>
      <c r="G169" s="293"/>
      <c r="H169" s="305"/>
      <c r="I169" s="305"/>
      <c r="J169" s="293"/>
      <c r="K169" s="305"/>
      <c r="L169" s="293"/>
      <c r="M169" s="293"/>
      <c r="N169" s="293"/>
      <c r="O169" s="398"/>
    </row>
    <row r="170" spans="1:15" ht="13">
      <c r="A170" s="206"/>
      <c r="B170" s="207"/>
      <c r="C170" s="208"/>
      <c r="D170" s="209"/>
      <c r="E170" s="291"/>
      <c r="F170" s="291"/>
      <c r="G170" s="293"/>
      <c r="H170" s="305"/>
      <c r="I170" s="305"/>
      <c r="J170" s="293"/>
      <c r="K170" s="305"/>
      <c r="L170" s="293"/>
      <c r="M170" s="293"/>
      <c r="N170" s="293"/>
      <c r="O170" s="398"/>
    </row>
    <row r="171" spans="1:15" ht="13">
      <c r="A171" s="326" t="s">
        <v>870</v>
      </c>
      <c r="B171" s="325"/>
      <c r="C171" s="344"/>
      <c r="D171" s="344"/>
      <c r="E171" s="345"/>
      <c r="F171" s="345"/>
      <c r="G171" s="304"/>
      <c r="H171" s="304"/>
      <c r="I171" s="304"/>
      <c r="J171" s="304"/>
      <c r="K171" s="304"/>
      <c r="L171" s="304"/>
      <c r="M171" s="304"/>
      <c r="N171" s="304"/>
      <c r="O171" s="300"/>
    </row>
    <row r="172" spans="1:15" ht="13">
      <c r="A172" s="326"/>
      <c r="B172" s="346"/>
      <c r="C172" s="344"/>
      <c r="D172" s="344"/>
      <c r="E172" s="345"/>
      <c r="F172" s="345"/>
      <c r="G172" s="304"/>
      <c r="H172" s="304"/>
      <c r="I172" s="304"/>
      <c r="J172" s="304"/>
      <c r="K172" s="304"/>
      <c r="L172" s="304"/>
      <c r="M172" s="304"/>
      <c r="N172" s="304"/>
      <c r="O172" s="300"/>
    </row>
    <row r="173" spans="1:15" ht="13">
      <c r="A173" s="198">
        <v>22</v>
      </c>
      <c r="B173" s="1494" t="s">
        <v>871</v>
      </c>
      <c r="C173" s="1492"/>
      <c r="D173" s="1493"/>
      <c r="E173" s="292">
        <f>SUM(E171:E172)</f>
        <v>0</v>
      </c>
      <c r="F173" s="350"/>
      <c r="G173" s="292">
        <f>SUM(G171:G172)</f>
        <v>0</v>
      </c>
      <c r="H173" s="292">
        <f>SUM(H171:H172)</f>
        <v>0</v>
      </c>
      <c r="I173" s="292">
        <f>SUM(I171:I172)</f>
        <v>0</v>
      </c>
      <c r="J173" s="292">
        <f>SUM(J171:J172)</f>
        <v>0</v>
      </c>
      <c r="K173" s="315"/>
      <c r="L173" s="292">
        <f>SUM(L171:L172)</f>
        <v>0</v>
      </c>
      <c r="M173" s="292">
        <f>SUM(M171:M172)</f>
        <v>0</v>
      </c>
      <c r="N173" s="292">
        <f>SUM(N171:N172)</f>
        <v>0</v>
      </c>
      <c r="O173" s="292"/>
    </row>
    <row r="174" spans="1:15" ht="26.25" customHeight="1">
      <c r="A174" s="198">
        <v>23</v>
      </c>
      <c r="B174" s="1502" t="s">
        <v>1230</v>
      </c>
      <c r="C174" s="1503"/>
      <c r="D174" s="1504"/>
      <c r="E174" s="304">
        <v>0</v>
      </c>
      <c r="F174" s="291"/>
      <c r="G174" s="291"/>
      <c r="H174" s="307"/>
      <c r="I174" s="307"/>
      <c r="J174" s="291"/>
      <c r="K174" s="307"/>
      <c r="L174" s="291"/>
      <c r="M174" s="291"/>
      <c r="N174" s="291"/>
      <c r="O174" s="190"/>
    </row>
    <row r="175" spans="1:15" ht="13">
      <c r="A175" s="206"/>
      <c r="B175" s="207"/>
      <c r="C175" s="208"/>
      <c r="D175" s="209"/>
      <c r="E175" s="291"/>
      <c r="F175" s="291"/>
      <c r="G175" s="291"/>
      <c r="H175" s="307"/>
      <c r="I175" s="307"/>
      <c r="J175" s="291"/>
      <c r="K175" s="307"/>
      <c r="L175" s="291"/>
      <c r="M175" s="291"/>
      <c r="N175" s="291"/>
      <c r="O175" s="190"/>
    </row>
    <row r="176" spans="1:15" ht="13">
      <c r="A176" s="206"/>
      <c r="B176" s="207" t="s">
        <v>872</v>
      </c>
      <c r="C176" s="208"/>
      <c r="D176" s="209"/>
      <c r="E176" s="1403"/>
      <c r="F176" s="291"/>
      <c r="G176" s="291"/>
      <c r="H176" s="307"/>
      <c r="I176" s="307"/>
      <c r="J176" s="291"/>
      <c r="K176" s="307"/>
      <c r="L176" s="291"/>
      <c r="M176" s="291"/>
      <c r="N176" s="291"/>
      <c r="O176" s="190"/>
    </row>
    <row r="177" spans="1:15">
      <c r="A177" s="1114" t="s">
        <v>873</v>
      </c>
      <c r="B177" s="217">
        <v>417</v>
      </c>
      <c r="C177" s="297">
        <v>4863130</v>
      </c>
      <c r="D177" s="213" t="s">
        <v>875</v>
      </c>
      <c r="E177" s="1410">
        <v>559488</v>
      </c>
      <c r="F177" s="1052" t="s">
        <v>566</v>
      </c>
      <c r="G177" s="294">
        <f t="shared" ref="G177:G189" si="79">IF(F177=$G$2,E177,0)</f>
        <v>0</v>
      </c>
      <c r="H177" s="202">
        <v>0</v>
      </c>
      <c r="I177" s="202">
        <f t="shared" ref="I177:I191" si="80">G177-H177</f>
        <v>0</v>
      </c>
      <c r="J177" s="294">
        <f t="shared" ref="J177:J189" si="81">IF(F177=$J$2,E177,0)</f>
        <v>559488</v>
      </c>
      <c r="K177" s="201" t="s">
        <v>607</v>
      </c>
      <c r="L177" s="1446">
        <v>107733.411913747</v>
      </c>
      <c r="M177" s="294">
        <f t="shared" ref="M177:M193" si="82">J177-L177</f>
        <v>451754.58808625303</v>
      </c>
      <c r="N177" s="294">
        <f>IF(F177=$N$2,E177,0)</f>
        <v>0</v>
      </c>
      <c r="O177" s="201">
        <v>2</v>
      </c>
    </row>
    <row r="178" spans="1:15">
      <c r="A178" s="1114" t="s">
        <v>874</v>
      </c>
      <c r="B178" s="217">
        <v>417</v>
      </c>
      <c r="C178" s="297">
        <v>4862110</v>
      </c>
      <c r="D178" s="213" t="s">
        <v>877</v>
      </c>
      <c r="E178" s="993">
        <v>7559002.4299999997</v>
      </c>
      <c r="F178" s="1052" t="s">
        <v>566</v>
      </c>
      <c r="G178" s="294">
        <f t="shared" si="79"/>
        <v>0</v>
      </c>
      <c r="H178" s="202">
        <v>0</v>
      </c>
      <c r="I178" s="202">
        <f t="shared" si="80"/>
        <v>0</v>
      </c>
      <c r="J178" s="294">
        <f t="shared" si="81"/>
        <v>7559002.4299999997</v>
      </c>
      <c r="K178" s="201" t="s">
        <v>551</v>
      </c>
      <c r="L178" s="992">
        <v>1315528.1981649499</v>
      </c>
      <c r="M178" s="294">
        <f t="shared" si="82"/>
        <v>6243474.2318350496</v>
      </c>
      <c r="N178" s="294">
        <f t="shared" ref="N178:N189" si="83">IF(F178=$N$2,E178,0)</f>
        <v>0</v>
      </c>
      <c r="O178" s="201">
        <v>2</v>
      </c>
    </row>
    <row r="179" spans="1:15">
      <c r="A179" s="1114" t="s">
        <v>876</v>
      </c>
      <c r="B179" s="217">
        <v>417</v>
      </c>
      <c r="C179" s="297">
        <v>4862115</v>
      </c>
      <c r="D179" s="213" t="s">
        <v>879</v>
      </c>
      <c r="E179" s="993">
        <v>1855334.86</v>
      </c>
      <c r="F179" s="1052" t="s">
        <v>566</v>
      </c>
      <c r="G179" s="294">
        <f t="shared" si="79"/>
        <v>0</v>
      </c>
      <c r="H179" s="202">
        <v>0</v>
      </c>
      <c r="I179" s="202">
        <f t="shared" si="80"/>
        <v>0</v>
      </c>
      <c r="J179" s="294">
        <f t="shared" si="81"/>
        <v>1855334.86</v>
      </c>
      <c r="K179" s="201" t="s">
        <v>551</v>
      </c>
      <c r="L179" s="992">
        <v>675022.89680081699</v>
      </c>
      <c r="M179" s="294">
        <f t="shared" si="82"/>
        <v>1180311.9631991831</v>
      </c>
      <c r="N179" s="294">
        <f t="shared" si="83"/>
        <v>0</v>
      </c>
      <c r="O179" s="201">
        <v>2</v>
      </c>
    </row>
    <row r="180" spans="1:15">
      <c r="A180" s="1114" t="s">
        <v>878</v>
      </c>
      <c r="B180" s="217">
        <v>417</v>
      </c>
      <c r="C180" s="297">
        <v>4862120</v>
      </c>
      <c r="D180" s="213" t="s">
        <v>881</v>
      </c>
      <c r="E180" s="993">
        <v>273148.38</v>
      </c>
      <c r="F180" s="1052" t="s">
        <v>566</v>
      </c>
      <c r="G180" s="294">
        <f t="shared" si="79"/>
        <v>0</v>
      </c>
      <c r="H180" s="202">
        <v>0</v>
      </c>
      <c r="I180" s="202">
        <f t="shared" si="80"/>
        <v>0</v>
      </c>
      <c r="J180" s="294">
        <f t="shared" si="81"/>
        <v>273148.38</v>
      </c>
      <c r="K180" s="201" t="s">
        <v>551</v>
      </c>
      <c r="L180" s="1416">
        <v>57551.574993620503</v>
      </c>
      <c r="M180" s="294">
        <f t="shared" si="82"/>
        <v>215596.80500637949</v>
      </c>
      <c r="N180" s="294">
        <f t="shared" si="83"/>
        <v>0</v>
      </c>
      <c r="O180" s="201">
        <v>2</v>
      </c>
    </row>
    <row r="181" spans="1:15">
      <c r="A181" s="1114" t="s">
        <v>880</v>
      </c>
      <c r="B181" s="217">
        <v>417</v>
      </c>
      <c r="C181" s="297">
        <v>4862135</v>
      </c>
      <c r="D181" s="213" t="s">
        <v>883</v>
      </c>
      <c r="E181" s="1411">
        <v>17258544.649999999</v>
      </c>
      <c r="F181" s="1052" t="s">
        <v>566</v>
      </c>
      <c r="G181" s="294">
        <f t="shared" si="79"/>
        <v>0</v>
      </c>
      <c r="H181" s="202">
        <v>0</v>
      </c>
      <c r="I181" s="202">
        <f t="shared" si="80"/>
        <v>0</v>
      </c>
      <c r="J181" s="294">
        <f t="shared" si="81"/>
        <v>17258544.649999999</v>
      </c>
      <c r="K181" s="201" t="s">
        <v>551</v>
      </c>
      <c r="L181" s="1411">
        <v>3748869.29144787</v>
      </c>
      <c r="M181" s="294">
        <f t="shared" si="82"/>
        <v>13509675.358552128</v>
      </c>
      <c r="N181" s="294">
        <f t="shared" si="83"/>
        <v>0</v>
      </c>
      <c r="O181" s="201">
        <v>2</v>
      </c>
    </row>
    <row r="182" spans="1:15">
      <c r="A182" s="1114" t="s">
        <v>882</v>
      </c>
      <c r="B182" s="217">
        <v>417</v>
      </c>
      <c r="C182" s="297">
        <v>4864115</v>
      </c>
      <c r="D182" s="213" t="s">
        <v>886</v>
      </c>
      <c r="E182" s="1411">
        <v>296585.62</v>
      </c>
      <c r="F182" s="1052" t="s">
        <v>566</v>
      </c>
      <c r="G182" s="294">
        <f t="shared" si="79"/>
        <v>0</v>
      </c>
      <c r="H182" s="202">
        <v>0</v>
      </c>
      <c r="I182" s="202">
        <f t="shared" si="80"/>
        <v>0</v>
      </c>
      <c r="J182" s="294">
        <f t="shared" si="81"/>
        <v>296585.62</v>
      </c>
      <c r="K182" s="201" t="s">
        <v>551</v>
      </c>
      <c r="L182" s="1411">
        <v>44787.889675464197</v>
      </c>
      <c r="M182" s="294">
        <f t="shared" si="82"/>
        <v>251797.73032453581</v>
      </c>
      <c r="N182" s="294">
        <f t="shared" si="83"/>
        <v>0</v>
      </c>
      <c r="O182" s="201">
        <v>2</v>
      </c>
    </row>
    <row r="183" spans="1:15">
      <c r="A183" s="1114" t="s">
        <v>884</v>
      </c>
      <c r="B183" s="217">
        <v>417</v>
      </c>
      <c r="C183" s="297">
        <v>4862125</v>
      </c>
      <c r="D183" s="213" t="s">
        <v>888</v>
      </c>
      <c r="E183" s="1411">
        <v>14435819.939999999</v>
      </c>
      <c r="F183" s="1052" t="s">
        <v>566</v>
      </c>
      <c r="G183" s="294">
        <f t="shared" si="79"/>
        <v>0</v>
      </c>
      <c r="H183" s="202">
        <v>0</v>
      </c>
      <c r="I183" s="202">
        <f t="shared" si="80"/>
        <v>0</v>
      </c>
      <c r="J183" s="294">
        <f t="shared" si="81"/>
        <v>14435819.939999999</v>
      </c>
      <c r="K183" s="201" t="s">
        <v>551</v>
      </c>
      <c r="L183" s="1416">
        <v>2934081.5466051898</v>
      </c>
      <c r="M183" s="294">
        <f t="shared" si="82"/>
        <v>11501738.393394809</v>
      </c>
      <c r="N183" s="294">
        <f t="shared" si="83"/>
        <v>0</v>
      </c>
      <c r="O183" s="201">
        <v>2</v>
      </c>
    </row>
    <row r="184" spans="1:15">
      <c r="A184" s="1114" t="s">
        <v>885</v>
      </c>
      <c r="B184" s="217">
        <v>417</v>
      </c>
      <c r="C184" s="297">
        <v>4862130</v>
      </c>
      <c r="D184" s="213" t="s">
        <v>890</v>
      </c>
      <c r="E184" s="1411">
        <v>1509877.89</v>
      </c>
      <c r="F184" s="1052" t="s">
        <v>566</v>
      </c>
      <c r="G184" s="294">
        <f t="shared" si="79"/>
        <v>0</v>
      </c>
      <c r="H184" s="202">
        <v>0</v>
      </c>
      <c r="I184" s="202">
        <f t="shared" si="80"/>
        <v>0</v>
      </c>
      <c r="J184" s="294">
        <f t="shared" si="81"/>
        <v>1509877.89</v>
      </c>
      <c r="K184" s="201" t="s">
        <v>551</v>
      </c>
      <c r="L184" s="1416">
        <v>418329.27814724098</v>
      </c>
      <c r="M184" s="294">
        <f t="shared" si="82"/>
        <v>1091548.611852759</v>
      </c>
      <c r="N184" s="294">
        <f t="shared" si="83"/>
        <v>0</v>
      </c>
      <c r="O184" s="201">
        <v>2</v>
      </c>
    </row>
    <row r="185" spans="1:15">
      <c r="A185" s="1114" t="s">
        <v>887</v>
      </c>
      <c r="B185" s="217">
        <v>417</v>
      </c>
      <c r="C185" s="297">
        <v>4863120</v>
      </c>
      <c r="D185" s="213" t="s">
        <v>892</v>
      </c>
      <c r="E185" s="1411">
        <v>298522.44</v>
      </c>
      <c r="F185" s="1052" t="s">
        <v>566</v>
      </c>
      <c r="G185" s="294">
        <f t="shared" si="79"/>
        <v>0</v>
      </c>
      <c r="H185" s="202">
        <v>0</v>
      </c>
      <c r="I185" s="202">
        <f t="shared" si="80"/>
        <v>0</v>
      </c>
      <c r="J185" s="294">
        <f t="shared" si="81"/>
        <v>298522.44</v>
      </c>
      <c r="K185" s="201" t="s">
        <v>607</v>
      </c>
      <c r="L185" s="1416">
        <v>73589.525375781202</v>
      </c>
      <c r="M185" s="294">
        <f t="shared" si="82"/>
        <v>224932.9146242188</v>
      </c>
      <c r="N185" s="294">
        <f t="shared" si="83"/>
        <v>0</v>
      </c>
      <c r="O185" s="201">
        <v>2</v>
      </c>
    </row>
    <row r="186" spans="1:15">
      <c r="A186" s="1114" t="s">
        <v>889</v>
      </c>
      <c r="B186" s="217">
        <v>417</v>
      </c>
      <c r="C186" s="297">
        <v>4863110</v>
      </c>
      <c r="D186" s="213" t="s">
        <v>894</v>
      </c>
      <c r="E186" s="1411">
        <v>3695037.52</v>
      </c>
      <c r="F186" s="1052" t="s">
        <v>566</v>
      </c>
      <c r="G186" s="294">
        <f t="shared" si="79"/>
        <v>0</v>
      </c>
      <c r="H186" s="202">
        <v>0</v>
      </c>
      <c r="I186" s="202">
        <f t="shared" si="80"/>
        <v>0</v>
      </c>
      <c r="J186" s="294">
        <f t="shared" si="81"/>
        <v>3695037.52</v>
      </c>
      <c r="K186" s="201" t="s">
        <v>607</v>
      </c>
      <c r="L186" s="1416">
        <v>777298.22949018795</v>
      </c>
      <c r="M186" s="294">
        <f t="shared" si="82"/>
        <v>2917739.2905098121</v>
      </c>
      <c r="N186" s="294">
        <f t="shared" si="83"/>
        <v>0</v>
      </c>
      <c r="O186" s="201">
        <v>2</v>
      </c>
    </row>
    <row r="187" spans="1:15">
      <c r="A187" s="1114" t="s">
        <v>891</v>
      </c>
      <c r="B187" s="217">
        <v>417</v>
      </c>
      <c r="C187" s="297">
        <v>4863115</v>
      </c>
      <c r="D187" s="213" t="s">
        <v>896</v>
      </c>
      <c r="E187" s="1411">
        <v>357178.17</v>
      </c>
      <c r="F187" s="1052" t="s">
        <v>566</v>
      </c>
      <c r="G187" s="294">
        <f t="shared" si="79"/>
        <v>0</v>
      </c>
      <c r="H187" s="202">
        <v>0</v>
      </c>
      <c r="I187" s="202">
        <f t="shared" si="80"/>
        <v>0</v>
      </c>
      <c r="J187" s="294">
        <f t="shared" si="81"/>
        <v>357178.17</v>
      </c>
      <c r="K187" s="201" t="s">
        <v>607</v>
      </c>
      <c r="L187" s="1416">
        <v>50116.730159671402</v>
      </c>
      <c r="M187" s="294">
        <f t="shared" si="82"/>
        <v>307061.43984032859</v>
      </c>
      <c r="N187" s="294">
        <f t="shared" si="83"/>
        <v>0</v>
      </c>
      <c r="O187" s="201">
        <v>2</v>
      </c>
    </row>
    <row r="188" spans="1:15">
      <c r="A188" s="1114" t="s">
        <v>893</v>
      </c>
      <c r="B188" s="217">
        <v>417</v>
      </c>
      <c r="C188" s="297">
        <v>4863125</v>
      </c>
      <c r="D188" s="213" t="s">
        <v>898</v>
      </c>
      <c r="E188" s="1411">
        <v>1608482.99</v>
      </c>
      <c r="F188" s="1052" t="s">
        <v>566</v>
      </c>
      <c r="G188" s="294">
        <f t="shared" si="79"/>
        <v>0</v>
      </c>
      <c r="H188" s="202">
        <v>0</v>
      </c>
      <c r="I188" s="202">
        <f t="shared" si="80"/>
        <v>0</v>
      </c>
      <c r="J188" s="294">
        <f t="shared" si="81"/>
        <v>1608482.99</v>
      </c>
      <c r="K188" s="201" t="s">
        <v>607</v>
      </c>
      <c r="L188" s="1416">
        <v>372190.18900500302</v>
      </c>
      <c r="M188" s="294">
        <f t="shared" si="82"/>
        <v>1236292.8009949969</v>
      </c>
      <c r="N188" s="294">
        <f t="shared" si="83"/>
        <v>0</v>
      </c>
      <c r="O188" s="201">
        <v>2</v>
      </c>
    </row>
    <row r="189" spans="1:15">
      <c r="A189" s="1114" t="s">
        <v>895</v>
      </c>
      <c r="B189" s="217">
        <v>417</v>
      </c>
      <c r="C189" s="297">
        <v>4864120</v>
      </c>
      <c r="D189" s="213" t="s">
        <v>900</v>
      </c>
      <c r="E189" s="993">
        <v>74441</v>
      </c>
      <c r="F189" s="1052" t="s">
        <v>566</v>
      </c>
      <c r="G189" s="294">
        <f t="shared" si="79"/>
        <v>0</v>
      </c>
      <c r="H189" s="202">
        <v>0</v>
      </c>
      <c r="I189" s="202">
        <f t="shared" si="80"/>
        <v>0</v>
      </c>
      <c r="J189" s="294">
        <f t="shared" si="81"/>
        <v>74441</v>
      </c>
      <c r="K189" s="201" t="s">
        <v>551</v>
      </c>
      <c r="L189" s="992">
        <v>11790</v>
      </c>
      <c r="M189" s="294">
        <f t="shared" si="82"/>
        <v>62651</v>
      </c>
      <c r="N189" s="294">
        <f t="shared" si="83"/>
        <v>0</v>
      </c>
      <c r="O189" s="201">
        <v>2</v>
      </c>
    </row>
    <row r="190" spans="1:15" s="972" customFormat="1">
      <c r="A190" s="897" t="s">
        <v>897</v>
      </c>
      <c r="B190" s="1140">
        <v>417</v>
      </c>
      <c r="C190" s="1141">
        <v>4864116</v>
      </c>
      <c r="D190" s="1142" t="s">
        <v>2397</v>
      </c>
      <c r="E190" s="1412">
        <v>1712719.68</v>
      </c>
      <c r="F190" s="1052" t="s">
        <v>566</v>
      </c>
      <c r="G190" s="294">
        <f>IF(F190=$G$2,E190,0)</f>
        <v>0</v>
      </c>
      <c r="H190" s="202">
        <v>0</v>
      </c>
      <c r="I190" s="202">
        <f t="shared" si="80"/>
        <v>0</v>
      </c>
      <c r="J190" s="294">
        <f>IF(F190=$J$2,E190,0)</f>
        <v>1712719.68</v>
      </c>
      <c r="K190" s="201" t="s">
        <v>551</v>
      </c>
      <c r="L190" s="1446">
        <v>345612.991781149</v>
      </c>
      <c r="M190" s="294">
        <f t="shared" si="82"/>
        <v>1367106.6882188509</v>
      </c>
      <c r="N190" s="294">
        <f>IF(F190=$N$2,E190,0)</f>
        <v>0</v>
      </c>
      <c r="O190" s="201">
        <v>2</v>
      </c>
    </row>
    <row r="191" spans="1:15" s="972" customFormat="1">
      <c r="A191" s="897" t="s">
        <v>899</v>
      </c>
      <c r="B191" s="1140">
        <v>417</v>
      </c>
      <c r="C191" s="1141">
        <v>4864121</v>
      </c>
      <c r="D191" s="1142" t="s">
        <v>2398</v>
      </c>
      <c r="E191" s="1413">
        <v>137285</v>
      </c>
      <c r="F191" s="1052" t="s">
        <v>566</v>
      </c>
      <c r="G191" s="294">
        <f>IF(F191=$G$2,E191,0)</f>
        <v>0</v>
      </c>
      <c r="H191" s="202">
        <v>0</v>
      </c>
      <c r="I191" s="202">
        <f t="shared" si="80"/>
        <v>0</v>
      </c>
      <c r="J191" s="294">
        <f>IF(F191=$J$2,E191,0)</f>
        <v>137285</v>
      </c>
      <c r="K191" s="201" t="s">
        <v>551</v>
      </c>
      <c r="L191" s="992">
        <v>27707</v>
      </c>
      <c r="M191" s="294">
        <f t="shared" si="82"/>
        <v>109578</v>
      </c>
      <c r="N191" s="294">
        <f>IF(F191=$N$2,E191,0)</f>
        <v>0</v>
      </c>
      <c r="O191" s="201">
        <v>2</v>
      </c>
    </row>
    <row r="192" spans="1:15">
      <c r="A192" s="1387" t="s">
        <v>2784</v>
      </c>
      <c r="B192" s="1376">
        <v>417</v>
      </c>
      <c r="C192" s="1376">
        <v>4864117</v>
      </c>
      <c r="D192" s="1377" t="s">
        <v>2785</v>
      </c>
      <c r="E192" s="1407">
        <v>207555</v>
      </c>
      <c r="F192" s="1052" t="s">
        <v>566</v>
      </c>
      <c r="G192" s="294">
        <f t="shared" ref="G192:G193" si="84">IF(F192=$G$2,E192,0)</f>
        <v>0</v>
      </c>
      <c r="H192" s="202">
        <v>0</v>
      </c>
      <c r="I192" s="202">
        <f t="shared" ref="I192:I193" si="85">G192-H192</f>
        <v>0</v>
      </c>
      <c r="J192" s="294">
        <f t="shared" ref="J192:J193" si="86">IF(F192=$J$2,E192,0)</f>
        <v>207555</v>
      </c>
      <c r="K192" s="546" t="s">
        <v>551</v>
      </c>
      <c r="L192" s="1052">
        <v>38987</v>
      </c>
      <c r="M192" s="294">
        <f t="shared" si="82"/>
        <v>168568</v>
      </c>
      <c r="N192" s="294">
        <f t="shared" ref="N192:N193" si="87">IF(F192=$N$2,E192,0)</f>
        <v>0</v>
      </c>
      <c r="O192" s="201">
        <v>2</v>
      </c>
    </row>
    <row r="193" spans="1:15" s="972" customFormat="1">
      <c r="A193" s="1387" t="s">
        <v>2786</v>
      </c>
      <c r="B193" s="1376">
        <v>417</v>
      </c>
      <c r="C193" s="1376">
        <v>4864122</v>
      </c>
      <c r="D193" s="1377" t="s">
        <v>2787</v>
      </c>
      <c r="E193" s="1407">
        <v>45640</v>
      </c>
      <c r="F193" s="1052" t="s">
        <v>566</v>
      </c>
      <c r="G193" s="294">
        <f t="shared" si="84"/>
        <v>0</v>
      </c>
      <c r="H193" s="202">
        <v>0</v>
      </c>
      <c r="I193" s="202">
        <f t="shared" si="85"/>
        <v>0</v>
      </c>
      <c r="J193" s="294">
        <f t="shared" si="86"/>
        <v>45640</v>
      </c>
      <c r="K193" s="546" t="s">
        <v>551</v>
      </c>
      <c r="L193" s="1052">
        <v>8349</v>
      </c>
      <c r="M193" s="294">
        <f t="shared" si="82"/>
        <v>37291</v>
      </c>
      <c r="N193" s="294">
        <f t="shared" si="87"/>
        <v>0</v>
      </c>
      <c r="O193" s="201">
        <v>2</v>
      </c>
    </row>
    <row r="194" spans="1:15" s="467" customFormat="1">
      <c r="A194" s="1095" t="s">
        <v>2820</v>
      </c>
      <c r="B194" s="1406">
        <v>417</v>
      </c>
      <c r="C194" s="1402">
        <v>4864200</v>
      </c>
      <c r="D194" s="1096" t="s">
        <v>2826</v>
      </c>
      <c r="E194" s="1407">
        <v>6216</v>
      </c>
      <c r="F194" s="1052" t="s">
        <v>566</v>
      </c>
      <c r="G194" s="1052">
        <f t="shared" ref="G194:G202" si="88">IF(F194=$G$2,E194,0)</f>
        <v>0</v>
      </c>
      <c r="H194" s="711">
        <v>0</v>
      </c>
      <c r="I194" s="711">
        <f t="shared" ref="I194:I202" si="89">G194-H194</f>
        <v>0</v>
      </c>
      <c r="J194" s="1052">
        <f t="shared" ref="J194:J202" si="90">IF(F194=$J$2,E194,0)</f>
        <v>6216</v>
      </c>
      <c r="K194" s="1097" t="s">
        <v>551</v>
      </c>
      <c r="L194" s="1052">
        <v>0</v>
      </c>
      <c r="M194" s="1052">
        <f t="shared" ref="M194:M202" si="91">J194-L194</f>
        <v>6216</v>
      </c>
      <c r="N194" s="1052">
        <f t="shared" ref="N194:N202" si="92">IF(F194=$N$2,E194,0)</f>
        <v>0</v>
      </c>
      <c r="O194" s="1097">
        <v>2</v>
      </c>
    </row>
    <row r="195" spans="1:15" s="467" customFormat="1">
      <c r="A195" s="1095" t="s">
        <v>2822</v>
      </c>
      <c r="B195" s="1406">
        <v>417</v>
      </c>
      <c r="C195" s="1402">
        <v>4864201</v>
      </c>
      <c r="D195" s="1096" t="s">
        <v>2827</v>
      </c>
      <c r="E195" s="1407">
        <v>55916</v>
      </c>
      <c r="F195" s="1052" t="s">
        <v>566</v>
      </c>
      <c r="G195" s="1052">
        <f t="shared" si="88"/>
        <v>0</v>
      </c>
      <c r="H195" s="711">
        <v>0</v>
      </c>
      <c r="I195" s="711">
        <f t="shared" si="89"/>
        <v>0</v>
      </c>
      <c r="J195" s="1052">
        <f t="shared" si="90"/>
        <v>55916</v>
      </c>
      <c r="K195" s="1097" t="s">
        <v>551</v>
      </c>
      <c r="L195" s="1052">
        <v>0</v>
      </c>
      <c r="M195" s="1052">
        <f t="shared" si="91"/>
        <v>55916</v>
      </c>
      <c r="N195" s="1052">
        <f t="shared" si="92"/>
        <v>0</v>
      </c>
      <c r="O195" s="1097">
        <v>2</v>
      </c>
    </row>
    <row r="196" spans="1:15" s="467" customFormat="1">
      <c r="A196" s="1095" t="s">
        <v>2823</v>
      </c>
      <c r="B196" s="1406">
        <v>417</v>
      </c>
      <c r="C196" s="1402">
        <v>4864202</v>
      </c>
      <c r="D196" s="1096" t="s">
        <v>2828</v>
      </c>
      <c r="E196" s="1407">
        <v>60176.800000000003</v>
      </c>
      <c r="F196" s="1052" t="s">
        <v>566</v>
      </c>
      <c r="G196" s="1052">
        <f t="shared" si="88"/>
        <v>0</v>
      </c>
      <c r="H196" s="711">
        <v>0</v>
      </c>
      <c r="I196" s="711">
        <f t="shared" si="89"/>
        <v>0</v>
      </c>
      <c r="J196" s="1052">
        <f t="shared" si="90"/>
        <v>60176.800000000003</v>
      </c>
      <c r="K196" s="1097" t="s">
        <v>551</v>
      </c>
      <c r="L196" s="1052">
        <v>0</v>
      </c>
      <c r="M196" s="1052">
        <f t="shared" si="91"/>
        <v>60176.800000000003</v>
      </c>
      <c r="N196" s="1052">
        <f t="shared" si="92"/>
        <v>0</v>
      </c>
      <c r="O196" s="1097">
        <v>2</v>
      </c>
    </row>
    <row r="197" spans="1:15" s="467" customFormat="1">
      <c r="A197" s="1095" t="s">
        <v>2824</v>
      </c>
      <c r="B197" s="1406">
        <v>417</v>
      </c>
      <c r="C197" s="1402">
        <v>4864203</v>
      </c>
      <c r="D197" s="1096" t="s">
        <v>2829</v>
      </c>
      <c r="E197" s="1407">
        <v>6216</v>
      </c>
      <c r="F197" s="1052" t="s">
        <v>566</v>
      </c>
      <c r="G197" s="1052">
        <f t="shared" si="88"/>
        <v>0</v>
      </c>
      <c r="H197" s="711">
        <v>0</v>
      </c>
      <c r="I197" s="711">
        <f t="shared" si="89"/>
        <v>0</v>
      </c>
      <c r="J197" s="1052">
        <f t="shared" si="90"/>
        <v>6216</v>
      </c>
      <c r="K197" s="1097" t="s">
        <v>551</v>
      </c>
      <c r="L197" s="1052">
        <v>0</v>
      </c>
      <c r="M197" s="1052">
        <f t="shared" si="91"/>
        <v>6216</v>
      </c>
      <c r="N197" s="1052">
        <f t="shared" si="92"/>
        <v>0</v>
      </c>
      <c r="O197" s="1097">
        <v>2</v>
      </c>
    </row>
    <row r="198" spans="1:15" s="467" customFormat="1">
      <c r="A198" s="1095" t="s">
        <v>2825</v>
      </c>
      <c r="B198" s="1406">
        <v>417</v>
      </c>
      <c r="C198" s="1402">
        <v>4862105</v>
      </c>
      <c r="D198" s="1096" t="s">
        <v>2831</v>
      </c>
      <c r="E198" s="1407">
        <v>36782.870000000003</v>
      </c>
      <c r="F198" s="1052" t="s">
        <v>566</v>
      </c>
      <c r="G198" s="1052">
        <f t="shared" si="88"/>
        <v>0</v>
      </c>
      <c r="H198" s="711">
        <v>0</v>
      </c>
      <c r="I198" s="711">
        <f t="shared" si="89"/>
        <v>0</v>
      </c>
      <c r="J198" s="1052">
        <f t="shared" si="90"/>
        <v>36782.870000000003</v>
      </c>
      <c r="K198" s="1097" t="s">
        <v>551</v>
      </c>
      <c r="L198" s="1052">
        <v>0</v>
      </c>
      <c r="M198" s="1052">
        <f t="shared" si="91"/>
        <v>36782.870000000003</v>
      </c>
      <c r="N198" s="1052">
        <f t="shared" si="92"/>
        <v>0</v>
      </c>
      <c r="O198" s="1097">
        <v>2</v>
      </c>
    </row>
    <row r="199" spans="1:15" s="467" customFormat="1">
      <c r="A199" s="1095" t="s">
        <v>2830</v>
      </c>
      <c r="B199" s="1406">
        <v>417</v>
      </c>
      <c r="C199" s="1402">
        <v>4863135</v>
      </c>
      <c r="D199" s="1096" t="s">
        <v>2821</v>
      </c>
      <c r="E199" s="1407">
        <v>1151.3900000000001</v>
      </c>
      <c r="F199" s="1052" t="s">
        <v>566</v>
      </c>
      <c r="G199" s="1052">
        <f t="shared" si="88"/>
        <v>0</v>
      </c>
      <c r="H199" s="711">
        <v>0</v>
      </c>
      <c r="I199" s="711">
        <f t="shared" si="89"/>
        <v>0</v>
      </c>
      <c r="J199" s="1052">
        <f t="shared" si="90"/>
        <v>1151.3900000000001</v>
      </c>
      <c r="K199" s="1097" t="s">
        <v>607</v>
      </c>
      <c r="L199" s="1052">
        <v>0</v>
      </c>
      <c r="M199" s="1052">
        <f t="shared" si="91"/>
        <v>1151.3900000000001</v>
      </c>
      <c r="N199" s="1052">
        <f t="shared" si="92"/>
        <v>0</v>
      </c>
      <c r="O199" s="1097">
        <v>2</v>
      </c>
    </row>
    <row r="200" spans="1:15" s="467" customFormat="1">
      <c r="A200" s="1095" t="s">
        <v>2832</v>
      </c>
      <c r="B200" s="1406">
        <v>417</v>
      </c>
      <c r="C200" s="1402">
        <v>4864123</v>
      </c>
      <c r="D200" s="1096" t="s">
        <v>2835</v>
      </c>
      <c r="E200" s="1407">
        <v>964</v>
      </c>
      <c r="F200" s="1052" t="s">
        <v>566</v>
      </c>
      <c r="G200" s="1052">
        <f t="shared" si="88"/>
        <v>0</v>
      </c>
      <c r="H200" s="711">
        <v>0</v>
      </c>
      <c r="I200" s="711">
        <f t="shared" si="89"/>
        <v>0</v>
      </c>
      <c r="J200" s="1052">
        <f t="shared" si="90"/>
        <v>964</v>
      </c>
      <c r="K200" s="1097" t="s">
        <v>551</v>
      </c>
      <c r="L200" s="1052">
        <v>0</v>
      </c>
      <c r="M200" s="1052">
        <f t="shared" si="91"/>
        <v>964</v>
      </c>
      <c r="N200" s="1052">
        <f t="shared" si="92"/>
        <v>0</v>
      </c>
      <c r="O200" s="1097">
        <v>2</v>
      </c>
    </row>
    <row r="201" spans="1:15" s="467" customFormat="1">
      <c r="A201" s="1095" t="s">
        <v>2833</v>
      </c>
      <c r="B201" s="1406">
        <v>417</v>
      </c>
      <c r="C201" s="1402">
        <v>4864124</v>
      </c>
      <c r="D201" s="1096" t="s">
        <v>2836</v>
      </c>
      <c r="E201" s="1407">
        <v>36431.86</v>
      </c>
      <c r="F201" s="1052" t="s">
        <v>566</v>
      </c>
      <c r="G201" s="1052">
        <f t="shared" si="88"/>
        <v>0</v>
      </c>
      <c r="H201" s="711">
        <v>0</v>
      </c>
      <c r="I201" s="711">
        <f t="shared" si="89"/>
        <v>0</v>
      </c>
      <c r="J201" s="1052">
        <f t="shared" si="90"/>
        <v>36431.86</v>
      </c>
      <c r="K201" s="1097" t="s">
        <v>551</v>
      </c>
      <c r="L201" s="1052">
        <v>0</v>
      </c>
      <c r="M201" s="1052">
        <f t="shared" si="91"/>
        <v>36431.86</v>
      </c>
      <c r="N201" s="1052">
        <f t="shared" si="92"/>
        <v>0</v>
      </c>
      <c r="O201" s="1097">
        <v>2</v>
      </c>
    </row>
    <row r="202" spans="1:15" s="467" customFormat="1">
      <c r="A202" s="1095" t="s">
        <v>2834</v>
      </c>
      <c r="B202" s="1406">
        <v>417</v>
      </c>
      <c r="C202" s="1402">
        <v>4864125</v>
      </c>
      <c r="D202" s="1096" t="s">
        <v>2835</v>
      </c>
      <c r="E202" s="1407">
        <v>6447.4</v>
      </c>
      <c r="F202" s="1052" t="s">
        <v>566</v>
      </c>
      <c r="G202" s="1052">
        <f t="shared" si="88"/>
        <v>0</v>
      </c>
      <c r="H202" s="711">
        <v>0</v>
      </c>
      <c r="I202" s="711">
        <f t="shared" si="89"/>
        <v>0</v>
      </c>
      <c r="J202" s="1052">
        <f t="shared" si="90"/>
        <v>6447.4</v>
      </c>
      <c r="K202" s="1097" t="s">
        <v>551</v>
      </c>
      <c r="L202" s="1052">
        <v>0</v>
      </c>
      <c r="M202" s="1052">
        <f t="shared" si="91"/>
        <v>6447.4</v>
      </c>
      <c r="N202" s="1052">
        <f t="shared" si="92"/>
        <v>0</v>
      </c>
      <c r="O202" s="1097">
        <v>2</v>
      </c>
    </row>
    <row r="203" spans="1:15" s="467" customFormat="1">
      <c r="A203" s="1095"/>
      <c r="B203" s="1406"/>
      <c r="C203" s="1402"/>
      <c r="D203" s="1096"/>
      <c r="E203" s="1408"/>
      <c r="F203" s="1052"/>
      <c r="G203" s="1052"/>
      <c r="H203" s="711"/>
      <c r="I203" s="711"/>
      <c r="J203" s="1052"/>
      <c r="K203" s="1097"/>
      <c r="L203" s="1404"/>
      <c r="M203" s="1052"/>
      <c r="N203" s="1052"/>
      <c r="O203" s="1097"/>
    </row>
    <row r="204" spans="1:15" ht="13">
      <c r="A204" s="203">
        <v>25</v>
      </c>
      <c r="B204" s="1491" t="s">
        <v>901</v>
      </c>
      <c r="C204" s="1492"/>
      <c r="D204" s="1493"/>
      <c r="E204" s="306">
        <f>SUM(E177:E203)</f>
        <v>52094965.890000001</v>
      </c>
      <c r="F204" s="315"/>
      <c r="G204" s="306">
        <f>SUM(G177:G203)</f>
        <v>0</v>
      </c>
      <c r="H204" s="306">
        <f>SUM(H177:H203)</f>
        <v>0</v>
      </c>
      <c r="I204" s="306">
        <f>SUM(I177:I203)</f>
        <v>0</v>
      </c>
      <c r="J204" s="306">
        <f>SUM(J177:J203)</f>
        <v>52094965.890000001</v>
      </c>
      <c r="K204" s="315"/>
      <c r="L204" s="306">
        <f>SUM(L177:L203)</f>
        <v>11007544.753560694</v>
      </c>
      <c r="M204" s="306">
        <f>SUM(M177:M203)</f>
        <v>41087421.136439309</v>
      </c>
      <c r="N204" s="306">
        <f>SUM(N177:N203)</f>
        <v>0</v>
      </c>
      <c r="O204" s="192"/>
    </row>
    <row r="205" spans="1:15" ht="13">
      <c r="A205" s="203">
        <v>26</v>
      </c>
      <c r="B205" s="1491" t="s">
        <v>902</v>
      </c>
      <c r="C205" s="1492"/>
      <c r="D205" s="1493"/>
      <c r="E205" s="1094">
        <f>E206-E204</f>
        <v>9384162.1099999994</v>
      </c>
      <c r="F205" s="293"/>
      <c r="G205" s="291"/>
      <c r="H205" s="307"/>
      <c r="I205" s="307"/>
      <c r="J205" s="291"/>
      <c r="K205" s="307"/>
      <c r="L205" s="291"/>
      <c r="M205" s="291"/>
      <c r="N205" s="291"/>
      <c r="O205" s="190"/>
    </row>
    <row r="206" spans="1:15" ht="25.5" customHeight="1">
      <c r="A206" s="203">
        <v>27</v>
      </c>
      <c r="B206" s="1486" t="s">
        <v>1232</v>
      </c>
      <c r="C206" s="1487"/>
      <c r="D206" s="1488"/>
      <c r="E206" s="1094">
        <v>61479128</v>
      </c>
      <c r="F206" s="347" t="s">
        <v>328</v>
      </c>
    </row>
    <row r="207" spans="1:15">
      <c r="A207" s="211"/>
    </row>
    <row r="208" spans="1:15" ht="13">
      <c r="B208" s="40" t="s">
        <v>903</v>
      </c>
    </row>
    <row r="209" spans="1:16">
      <c r="A209" s="201" t="s">
        <v>904</v>
      </c>
      <c r="B209" s="1498">
        <v>418.1</v>
      </c>
      <c r="C209" s="1499"/>
      <c r="D209" s="213" t="s">
        <v>905</v>
      </c>
      <c r="E209" s="993"/>
      <c r="F209" s="298" t="s">
        <v>566</v>
      </c>
      <c r="G209" s="294">
        <f>IF(F209=$G$2,E209,0)</f>
        <v>0</v>
      </c>
      <c r="H209" s="201">
        <v>0</v>
      </c>
      <c r="I209" s="202">
        <f t="shared" ref="I209:I212" si="93">G209-H209</f>
        <v>0</v>
      </c>
      <c r="J209" s="294">
        <f>IF(F209=$J$2,E209,0)</f>
        <v>0</v>
      </c>
      <c r="K209" s="332" t="s">
        <v>551</v>
      </c>
      <c r="L209" s="298"/>
      <c r="M209" s="202">
        <f>J209-L209</f>
        <v>0</v>
      </c>
      <c r="N209" s="294">
        <f>IF(F209=$N$2,E209,0)</f>
        <v>0</v>
      </c>
      <c r="O209" s="205" t="s">
        <v>906</v>
      </c>
    </row>
    <row r="210" spans="1:16">
      <c r="A210" s="201" t="s">
        <v>907</v>
      </c>
      <c r="B210" s="1498">
        <v>418.1</v>
      </c>
      <c r="C210" s="1499"/>
      <c r="D210" s="213" t="s">
        <v>908</v>
      </c>
      <c r="E210" s="993"/>
      <c r="F210" s="298" t="s">
        <v>566</v>
      </c>
      <c r="G210" s="294">
        <f>IF(F210=$G$2,E210,0)</f>
        <v>0</v>
      </c>
      <c r="H210" s="201">
        <v>0</v>
      </c>
      <c r="I210" s="202">
        <f t="shared" si="93"/>
        <v>0</v>
      </c>
      <c r="J210" s="294">
        <f>IF(F210=$J$2,E210,0)</f>
        <v>0</v>
      </c>
      <c r="K210" s="332" t="s">
        <v>607</v>
      </c>
      <c r="L210" s="298"/>
      <c r="M210" s="202">
        <f>J210-L210</f>
        <v>0</v>
      </c>
      <c r="N210" s="294">
        <f>IF(F210=$N$2,E210,0)</f>
        <v>0</v>
      </c>
      <c r="O210" s="205" t="s">
        <v>906</v>
      </c>
    </row>
    <row r="211" spans="1:16">
      <c r="A211" s="201" t="s">
        <v>909</v>
      </c>
      <c r="B211" s="1498">
        <v>418.1</v>
      </c>
      <c r="C211" s="1499"/>
      <c r="D211" s="547" t="s">
        <v>1662</v>
      </c>
      <c r="E211" s="993"/>
      <c r="F211" s="1052" t="s">
        <v>566</v>
      </c>
      <c r="G211" s="294">
        <f>IF(F211=$G$2,E211,0)</f>
        <v>0</v>
      </c>
      <c r="H211" s="201">
        <v>0</v>
      </c>
      <c r="I211" s="202">
        <f t="shared" si="93"/>
        <v>0</v>
      </c>
      <c r="J211" s="294">
        <f>IF(F211=$J$2,E211,0)</f>
        <v>0</v>
      </c>
      <c r="K211" s="548" t="s">
        <v>607</v>
      </c>
      <c r="L211" s="298"/>
      <c r="M211" s="202">
        <f>J211-L211</f>
        <v>0</v>
      </c>
      <c r="N211" s="294">
        <f>IF(F211=$N$2,E211,0)</f>
        <v>0</v>
      </c>
      <c r="O211" s="545" t="s">
        <v>1663</v>
      </c>
    </row>
    <row r="212" spans="1:16">
      <c r="A212" s="201" t="s">
        <v>911</v>
      </c>
      <c r="B212" s="1498">
        <v>418.1</v>
      </c>
      <c r="C212" s="1499"/>
      <c r="D212" s="213" t="s">
        <v>910</v>
      </c>
      <c r="E212" s="993"/>
      <c r="F212" s="298" t="s">
        <v>565</v>
      </c>
      <c r="G212" s="294">
        <f>IF(F212=$G$2,E212,0)</f>
        <v>0</v>
      </c>
      <c r="H212" s="201">
        <v>0</v>
      </c>
      <c r="I212" s="202">
        <f t="shared" si="93"/>
        <v>0</v>
      </c>
      <c r="J212" s="294">
        <f>IF(F212=$J$2,E212,0)</f>
        <v>0</v>
      </c>
      <c r="K212" s="332"/>
      <c r="L212" s="298"/>
      <c r="M212" s="202">
        <f>J212-L212</f>
        <v>0</v>
      </c>
      <c r="N212" s="294">
        <f>IF(F212=$N$2,E212,0)</f>
        <v>0</v>
      </c>
      <c r="O212" s="201">
        <v>13</v>
      </c>
    </row>
    <row r="213" spans="1:16">
      <c r="A213" s="546" t="s">
        <v>1179</v>
      </c>
      <c r="B213" s="843">
        <v>418.1</v>
      </c>
      <c r="C213" s="898"/>
      <c r="D213" s="547" t="s">
        <v>1797</v>
      </c>
      <c r="E213" s="1429">
        <v>-201421</v>
      </c>
      <c r="F213" s="1426" t="s">
        <v>565</v>
      </c>
      <c r="G213" s="1418">
        <f>IF(F213=$G$2,E213,0)</f>
        <v>-201421</v>
      </c>
      <c r="H213" s="1419">
        <f>E213*$D$254</f>
        <v>-12266.538900000001</v>
      </c>
      <c r="I213" s="1419">
        <f>G213-H213</f>
        <v>-189154.46109999999</v>
      </c>
      <c r="J213" s="1418">
        <f>IF(F213=$J$2,E213,0)</f>
        <v>0</v>
      </c>
      <c r="K213" s="332"/>
      <c r="L213" s="298"/>
      <c r="M213" s="202">
        <f>J213-L213</f>
        <v>0</v>
      </c>
      <c r="N213" s="294">
        <f>IF(F213=$N$2,E213,0)</f>
        <v>0</v>
      </c>
      <c r="O213" s="546" t="s">
        <v>2157</v>
      </c>
    </row>
    <row r="214" spans="1:16">
      <c r="A214" s="299"/>
      <c r="B214" s="339"/>
      <c r="C214" s="340"/>
      <c r="D214" s="341"/>
      <c r="E214" s="1435"/>
      <c r="F214" s="1417"/>
      <c r="G214" s="1417"/>
      <c r="H214" s="1422"/>
      <c r="I214" s="1422"/>
      <c r="J214" s="1417"/>
      <c r="K214" s="342"/>
      <c r="L214" s="298"/>
      <c r="M214" s="343"/>
      <c r="N214" s="298"/>
      <c r="O214" s="299"/>
    </row>
    <row r="215" spans="1:16">
      <c r="A215" s="299"/>
      <c r="B215" s="339"/>
      <c r="C215" s="340"/>
      <c r="D215" s="341"/>
      <c r="E215" s="1435"/>
      <c r="F215" s="1417"/>
      <c r="G215" s="1417"/>
      <c r="H215" s="1422"/>
      <c r="I215" s="1422"/>
      <c r="J215" s="1417"/>
      <c r="K215" s="342"/>
      <c r="L215" s="298"/>
      <c r="M215" s="343"/>
      <c r="N215" s="298"/>
      <c r="O215" s="299"/>
    </row>
    <row r="216" spans="1:16" ht="13">
      <c r="A216" s="205">
        <v>29</v>
      </c>
      <c r="B216" s="1491" t="s">
        <v>912</v>
      </c>
      <c r="C216" s="1492"/>
      <c r="D216" s="1493"/>
      <c r="E216" s="1436">
        <f>SUM(E209:E215)</f>
        <v>-201421</v>
      </c>
      <c r="F216" s="1437"/>
      <c r="G216" s="1436">
        <f>SUM(G209:G215)</f>
        <v>-201421</v>
      </c>
      <c r="H216" s="1436">
        <f>SUM(H209:H215)</f>
        <v>-12266.538900000001</v>
      </c>
      <c r="I216" s="1436">
        <f>SUM(I209:I215)</f>
        <v>-189154.46109999999</v>
      </c>
      <c r="J216" s="1436">
        <f>SUM(J209:J215)</f>
        <v>0</v>
      </c>
      <c r="K216" s="316"/>
      <c r="L216" s="394">
        <f>SUM(L209:L215)</f>
        <v>0</v>
      </c>
      <c r="M216" s="394">
        <f>SUM(M209:M215)</f>
        <v>0</v>
      </c>
      <c r="N216" s="394">
        <f>SUM(N209:N215)</f>
        <v>0</v>
      </c>
      <c r="O216" s="192"/>
      <c r="P216" s="14"/>
    </row>
    <row r="217" spans="1:16" ht="13">
      <c r="A217" s="205">
        <v>30</v>
      </c>
      <c r="B217" s="1491" t="s">
        <v>1736</v>
      </c>
      <c r="C217" s="1492"/>
      <c r="D217" s="1493"/>
      <c r="E217" s="1438">
        <f>E218-E216</f>
        <v>200360</v>
      </c>
      <c r="F217" s="1439"/>
      <c r="G217" s="1439"/>
      <c r="H217" s="1439"/>
      <c r="I217" s="1439"/>
      <c r="J217" s="1440"/>
      <c r="K217" s="349"/>
      <c r="L217" s="348"/>
      <c r="M217" s="348"/>
      <c r="N217" s="348"/>
      <c r="O217" s="190"/>
    </row>
    <row r="218" spans="1:16" ht="25.5" customHeight="1">
      <c r="A218" s="205">
        <v>31</v>
      </c>
      <c r="B218" s="1500" t="s">
        <v>1231</v>
      </c>
      <c r="C218" s="1490"/>
      <c r="D218" s="1490"/>
      <c r="E218" s="1441">
        <v>-1061</v>
      </c>
      <c r="F218" s="1439"/>
      <c r="G218" s="1439"/>
      <c r="H218" s="1439"/>
      <c r="I218" s="1439"/>
      <c r="J218" s="1440"/>
      <c r="K218" s="349"/>
      <c r="L218" s="348"/>
      <c r="M218" s="348"/>
      <c r="N218" s="348"/>
      <c r="O218" s="190"/>
    </row>
    <row r="219" spans="1:16">
      <c r="A219" s="211"/>
    </row>
    <row r="220" spans="1:16" ht="13">
      <c r="A220" s="205">
        <v>32</v>
      </c>
      <c r="B220" s="320"/>
      <c r="C220" s="319"/>
      <c r="D220" s="222" t="s">
        <v>913</v>
      </c>
      <c r="E220" s="1145">
        <f>E8+E32+E37+E70+E136+E163+E168+E173+E204+E216</f>
        <v>871074911.74999988</v>
      </c>
      <c r="F220" s="396"/>
      <c r="G220" s="1145">
        <f>G8+G32+G37+G70+G136+G163+G168+G173+G204+G216</f>
        <v>270491364.76203102</v>
      </c>
      <c r="H220" s="1145">
        <f>H8+H32+H37+H70+H136+H163+H168+H173+H204+H216</f>
        <v>44964229.615340993</v>
      </c>
      <c r="I220" s="1145">
        <f>I8+I32+I37+I70+I136+I163+I168+I173+I204+I216</f>
        <v>225527135.14668998</v>
      </c>
      <c r="J220" s="1145">
        <f>J8+J32+J37+J70+J136+J163+J168+J173+J204+J216</f>
        <v>78588912.790000007</v>
      </c>
      <c r="K220" s="396"/>
      <c r="L220" s="1145">
        <f>L8+L32+L37+L70+L136+L163+L168+L173+L204+L216</f>
        <v>16671388.732719529</v>
      </c>
      <c r="M220" s="395">
        <f>M8+M32+M37+M70+M136+M163+M168+M173+M204+M216</f>
        <v>61917524.057280466</v>
      </c>
      <c r="N220" s="395">
        <f>N8+N32+N37+N70+N136+N163+N168+N173+N204+N216</f>
        <v>521994634.19796902</v>
      </c>
      <c r="O220" s="191"/>
    </row>
    <row r="221" spans="1:16">
      <c r="A221" s="223"/>
      <c r="B221" s="224"/>
      <c r="C221" s="223"/>
      <c r="E221" s="211"/>
      <c r="F221" s="211"/>
      <c r="G221" s="295"/>
      <c r="J221" s="311"/>
      <c r="K221" s="310"/>
      <c r="N221" s="295"/>
    </row>
    <row r="222" spans="1:16">
      <c r="A222" s="223"/>
      <c r="B222" s="224"/>
      <c r="C222" s="223"/>
      <c r="E222" s="211"/>
      <c r="F222" s="211" t="s">
        <v>154</v>
      </c>
      <c r="H222" s="210"/>
      <c r="J222" s="311"/>
      <c r="K222" s="310"/>
      <c r="N222" s="295"/>
    </row>
    <row r="223" spans="1:16">
      <c r="A223" s="205">
        <v>33</v>
      </c>
      <c r="B223" s="338"/>
      <c r="C223" s="338"/>
      <c r="D223" s="334" t="s">
        <v>914</v>
      </c>
      <c r="E223" s="331">
        <f>L220</f>
        <v>16671388.732719529</v>
      </c>
      <c r="F223" s="333" t="s">
        <v>915</v>
      </c>
      <c r="G223" s="295"/>
      <c r="N223" s="295"/>
    </row>
    <row r="224" spans="1:16">
      <c r="A224" s="201">
        <v>34</v>
      </c>
      <c r="B224" s="338"/>
      <c r="C224" s="338"/>
      <c r="D224" s="334" t="s">
        <v>917</v>
      </c>
      <c r="E224" s="331">
        <f>E223*(5.425/16.671)</f>
        <v>5425126.4996103086</v>
      </c>
      <c r="F224" s="899" t="s">
        <v>1173</v>
      </c>
      <c r="G224" s="310"/>
      <c r="N224" s="295"/>
    </row>
    <row r="225" spans="1:254">
      <c r="A225" s="201">
        <v>35</v>
      </c>
      <c r="B225" s="338"/>
      <c r="C225" s="338"/>
      <c r="D225" s="336"/>
      <c r="E225" s="289"/>
      <c r="F225" s="900"/>
      <c r="G225" s="310"/>
      <c r="N225" s="295"/>
    </row>
    <row r="226" spans="1:254">
      <c r="A226" s="201">
        <v>36</v>
      </c>
      <c r="B226" s="338"/>
      <c r="C226" s="338"/>
      <c r="D226" s="334" t="s">
        <v>918</v>
      </c>
      <c r="E226" s="331">
        <f>SUMIF(K4:K215,"=A",M4:M215)</f>
        <v>35954022.712383695</v>
      </c>
      <c r="F226" s="901" t="s">
        <v>919</v>
      </c>
      <c r="G226" s="310"/>
      <c r="N226" s="295"/>
    </row>
    <row r="227" spans="1:254">
      <c r="A227" s="201">
        <v>37</v>
      </c>
      <c r="B227" s="328"/>
      <c r="C227" s="328"/>
      <c r="D227" s="334" t="s">
        <v>920</v>
      </c>
      <c r="E227" s="331">
        <f>0.1*E226</f>
        <v>3595402.2712383699</v>
      </c>
      <c r="F227" s="66" t="str">
        <f>"= Line "&amp;A226&amp;"D * 10%"</f>
        <v>= Line 36D * 10%</v>
      </c>
      <c r="G227" s="41"/>
      <c r="H227" s="313"/>
      <c r="I227" s="314"/>
    </row>
    <row r="228" spans="1:254">
      <c r="A228" s="201">
        <v>38</v>
      </c>
      <c r="B228" s="328"/>
      <c r="C228" s="328"/>
      <c r="D228" s="334" t="s">
        <v>921</v>
      </c>
      <c r="E228" s="331">
        <f>SUMIF(K4:K215,"=P",M4:M215)</f>
        <v>25963501.344896767</v>
      </c>
      <c r="F228" s="902" t="s">
        <v>922</v>
      </c>
      <c r="G228" s="41"/>
      <c r="H228" s="211"/>
      <c r="I228" s="314"/>
    </row>
    <row r="229" spans="1:254">
      <c r="A229" s="201">
        <v>39</v>
      </c>
      <c r="B229" s="328"/>
      <c r="C229" s="328"/>
      <c r="D229" s="334" t="s">
        <v>923</v>
      </c>
      <c r="E229" s="331">
        <f>0.3*E228</f>
        <v>7789050.4034690298</v>
      </c>
      <c r="F229" s="66" t="str">
        <f>"= Line "&amp;A228&amp;"D * 30%"</f>
        <v>= Line 38D * 30%</v>
      </c>
      <c r="G229" s="41"/>
      <c r="H229" s="313"/>
      <c r="I229" s="314"/>
    </row>
    <row r="230" spans="1:254">
      <c r="A230" s="201">
        <v>40</v>
      </c>
      <c r="B230" s="328"/>
      <c r="C230" s="328"/>
      <c r="D230" s="334" t="s">
        <v>924</v>
      </c>
      <c r="E230" s="331">
        <f>E227+E229</f>
        <v>11384452.6747074</v>
      </c>
      <c r="F230" s="66" t="str">
        <f>"= Line "&amp;A227&amp;"D + Line "&amp;A229&amp;"D"</f>
        <v>= Line 37D + Line 39D</v>
      </c>
      <c r="G230" s="309"/>
    </row>
    <row r="231" spans="1:254">
      <c r="A231" s="201">
        <v>41</v>
      </c>
      <c r="B231" s="328"/>
      <c r="C231" s="328"/>
      <c r="D231" s="334" t="s">
        <v>925</v>
      </c>
      <c r="E231" s="335">
        <f>5.425/16.671</f>
        <v>0.32541539199808051</v>
      </c>
      <c r="F231" s="901" t="s">
        <v>916</v>
      </c>
      <c r="G231" s="309"/>
    </row>
    <row r="232" spans="1:254">
      <c r="A232" s="201">
        <v>42</v>
      </c>
      <c r="B232" s="328"/>
      <c r="C232" s="328"/>
      <c r="D232" s="334" t="s">
        <v>926</v>
      </c>
      <c r="E232" s="331">
        <f>E230*E231</f>
        <v>3704676.1298235045</v>
      </c>
      <c r="F232" s="66" t="str">
        <f>"= Line "&amp;A230&amp;"D * Line "&amp;A231&amp;"D"</f>
        <v>= Line 40D * Line 41D</v>
      </c>
      <c r="G232" s="309"/>
    </row>
    <row r="233" spans="1:254" ht="12.75" customHeight="1">
      <c r="A233" s="201">
        <v>43</v>
      </c>
      <c r="B233" s="328"/>
      <c r="C233" s="328"/>
      <c r="D233" s="337" t="s">
        <v>1737</v>
      </c>
      <c r="E233" s="394">
        <f>E232+E224</f>
        <v>9129802.6294338126</v>
      </c>
      <c r="F233" s="66" t="str">
        <f>"= Line "&amp;A224&amp;"D + Line "&amp;A232&amp;"D"</f>
        <v>= Line 34D + Line 42D</v>
      </c>
      <c r="G233" s="309"/>
    </row>
    <row r="234" spans="1:254">
      <c r="A234" s="41"/>
      <c r="D234" s="309"/>
      <c r="E234" s="903"/>
      <c r="F234" s="901"/>
      <c r="G234" s="309"/>
    </row>
    <row r="235" spans="1:254">
      <c r="A235" s="41"/>
      <c r="D235" s="220"/>
      <c r="E235" s="226" t="s">
        <v>175</v>
      </c>
      <c r="F235" s="226" t="s">
        <v>154</v>
      </c>
      <c r="G235" s="218"/>
      <c r="I235" s="221"/>
      <c r="J235" s="41"/>
      <c r="K235" s="221"/>
      <c r="L235" s="220"/>
      <c r="M235" s="226"/>
      <c r="N235" s="226"/>
      <c r="O235" s="218"/>
      <c r="P235" s="219"/>
      <c r="Q235" s="221"/>
      <c r="R235" s="220"/>
      <c r="S235" s="226"/>
      <c r="T235" s="226"/>
      <c r="U235" s="218"/>
      <c r="V235" s="219"/>
      <c r="W235" s="221"/>
      <c r="X235" s="41"/>
      <c r="Y235" s="221"/>
      <c r="Z235" s="220"/>
      <c r="AA235" s="226"/>
      <c r="AB235" s="226"/>
      <c r="AC235" s="218"/>
      <c r="AD235" s="219"/>
      <c r="AE235" s="221"/>
      <c r="AF235" s="41"/>
      <c r="AG235" s="221"/>
      <c r="AH235" s="220"/>
      <c r="AI235" s="226"/>
      <c r="AJ235" s="226"/>
      <c r="AK235" s="218"/>
      <c r="AL235" s="219"/>
      <c r="AM235" s="221"/>
      <c r="AN235" s="41"/>
      <c r="AO235" s="221"/>
      <c r="AP235" s="220"/>
      <c r="AQ235" s="226"/>
      <c r="AR235" s="226"/>
      <c r="AS235" s="218"/>
      <c r="AT235" s="219"/>
      <c r="AU235" s="221"/>
      <c r="AV235" s="41"/>
      <c r="AW235" s="221"/>
      <c r="AX235" s="220"/>
      <c r="AY235" s="226"/>
      <c r="AZ235" s="226"/>
      <c r="BA235" s="218"/>
      <c r="BB235" s="219"/>
      <c r="BC235" s="221"/>
      <c r="BD235" s="41"/>
      <c r="BE235" s="221"/>
      <c r="BF235" s="220"/>
      <c r="BG235" s="226"/>
      <c r="BH235" s="226"/>
      <c r="BI235" s="218"/>
      <c r="BJ235" s="219"/>
      <c r="BK235" s="221"/>
      <c r="BL235" s="41"/>
      <c r="BM235" s="221"/>
      <c r="BN235" s="220"/>
      <c r="BO235" s="226"/>
      <c r="BP235" s="226"/>
      <c r="BQ235" s="218"/>
      <c r="BR235" s="219"/>
      <c r="BS235" s="221"/>
      <c r="BT235" s="41"/>
      <c r="BU235" s="221"/>
      <c r="BV235" s="220"/>
      <c r="BW235" s="226"/>
      <c r="BX235" s="226"/>
      <c r="BY235" s="218"/>
      <c r="BZ235" s="219"/>
      <c r="CA235" s="221"/>
      <c r="CB235" s="41"/>
      <c r="CC235" s="221"/>
      <c r="CD235" s="220"/>
      <c r="CE235" s="226"/>
      <c r="CF235" s="226"/>
      <c r="CG235" s="218"/>
      <c r="CH235" s="219"/>
      <c r="CI235" s="221"/>
      <c r="CJ235" s="41"/>
      <c r="CK235" s="221"/>
      <c r="CL235" s="220"/>
      <c r="CM235" s="226"/>
      <c r="CN235" s="226"/>
      <c r="CO235" s="218"/>
      <c r="CP235" s="219"/>
      <c r="CQ235" s="221"/>
      <c r="CR235" s="41"/>
      <c r="CS235" s="221"/>
      <c r="CT235" s="220"/>
      <c r="CU235" s="226"/>
      <c r="CV235" s="226"/>
      <c r="CW235" s="218"/>
      <c r="CX235" s="219"/>
      <c r="CY235" s="221"/>
      <c r="CZ235" s="41"/>
      <c r="DA235" s="221"/>
      <c r="DB235" s="220"/>
      <c r="DC235" s="226"/>
      <c r="DD235" s="226"/>
      <c r="DE235" s="218"/>
      <c r="DF235" s="219"/>
      <c r="DG235" s="221"/>
      <c r="DH235" s="41"/>
      <c r="DI235" s="221"/>
      <c r="DJ235" s="220"/>
      <c r="DK235" s="226"/>
      <c r="DL235" s="226"/>
      <c r="DM235" s="218"/>
      <c r="DN235" s="219"/>
      <c r="DO235" s="221"/>
      <c r="DP235" s="41"/>
      <c r="DQ235" s="221"/>
      <c r="DR235" s="220"/>
      <c r="DS235" s="226"/>
      <c r="DT235" s="226"/>
      <c r="DU235" s="218"/>
      <c r="DV235" s="219"/>
      <c r="DW235" s="221"/>
      <c r="DX235" s="41"/>
      <c r="DY235" s="221"/>
      <c r="DZ235" s="220"/>
      <c r="EA235" s="226"/>
      <c r="EB235" s="226"/>
      <c r="EC235" s="218"/>
      <c r="ED235" s="219"/>
      <c r="EE235" s="221"/>
      <c r="EF235" s="41"/>
      <c r="EG235" s="221"/>
      <c r="EH235" s="220"/>
      <c r="EI235" s="226"/>
      <c r="EJ235" s="226"/>
      <c r="EK235" s="218"/>
      <c r="EL235" s="219"/>
      <c r="EM235" s="221"/>
      <c r="EN235" s="41"/>
      <c r="EO235" s="221"/>
      <c r="EP235" s="220"/>
      <c r="EQ235" s="226"/>
      <c r="ER235" s="226"/>
      <c r="ES235" s="218"/>
      <c r="ET235" s="219"/>
      <c r="EU235" s="221"/>
      <c r="EV235" s="41"/>
      <c r="EW235" s="221"/>
      <c r="EX235" s="220"/>
      <c r="EY235" s="226"/>
      <c r="EZ235" s="226"/>
      <c r="FA235" s="218"/>
      <c r="FB235" s="219"/>
      <c r="FC235" s="221"/>
      <c r="FD235" s="41"/>
      <c r="FE235" s="221"/>
      <c r="FF235" s="220"/>
      <c r="FG235" s="226"/>
      <c r="FH235" s="226"/>
      <c r="FI235" s="218"/>
      <c r="FJ235" s="219"/>
      <c r="FK235" s="221"/>
      <c r="FL235" s="41"/>
      <c r="FM235" s="221"/>
      <c r="FN235" s="220"/>
      <c r="FO235" s="226"/>
      <c r="FP235" s="226"/>
      <c r="FQ235" s="218"/>
      <c r="FR235" s="219"/>
      <c r="FS235" s="221"/>
      <c r="FT235" s="41"/>
      <c r="FU235" s="221"/>
      <c r="FV235" s="220"/>
      <c r="FW235" s="226"/>
      <c r="FX235" s="226"/>
      <c r="FY235" s="218"/>
      <c r="FZ235" s="219"/>
      <c r="GA235" s="221"/>
      <c r="GB235" s="41"/>
      <c r="GC235" s="221"/>
      <c r="GD235" s="220"/>
      <c r="GE235" s="226"/>
      <c r="GF235" s="226"/>
      <c r="GG235" s="218"/>
      <c r="GH235" s="219"/>
      <c r="GI235" s="221"/>
      <c r="GJ235" s="41"/>
      <c r="GK235" s="221"/>
      <c r="GL235" s="220"/>
      <c r="GM235" s="226"/>
      <c r="GN235" s="226"/>
      <c r="GO235" s="218"/>
      <c r="GP235" s="219"/>
      <c r="GQ235" s="221"/>
      <c r="GR235" s="41"/>
      <c r="GS235" s="221"/>
      <c r="GT235" s="220"/>
      <c r="GU235" s="226"/>
      <c r="GV235" s="226"/>
      <c r="GW235" s="218"/>
      <c r="GX235" s="219"/>
      <c r="GY235" s="221"/>
      <c r="GZ235" s="41"/>
      <c r="HA235" s="221"/>
      <c r="HB235" s="220"/>
      <c r="HC235" s="226"/>
      <c r="HD235" s="226"/>
      <c r="HE235" s="218"/>
      <c r="HF235" s="219"/>
      <c r="HG235" s="221"/>
      <c r="HH235" s="41"/>
      <c r="HI235" s="221"/>
      <c r="HJ235" s="220"/>
      <c r="HK235" s="226"/>
      <c r="HL235" s="226"/>
      <c r="HM235" s="218"/>
      <c r="HN235" s="219"/>
      <c r="HO235" s="221"/>
      <c r="HP235" s="41"/>
      <c r="HQ235" s="221"/>
      <c r="HR235" s="220"/>
      <c r="HS235" s="226"/>
      <c r="HT235" s="226"/>
      <c r="HU235" s="218"/>
      <c r="HV235" s="219"/>
      <c r="HW235" s="221"/>
      <c r="HX235" s="41"/>
      <c r="HY235" s="221"/>
      <c r="HZ235" s="220"/>
      <c r="IA235" s="226"/>
      <c r="IB235" s="226"/>
      <c r="IC235" s="218"/>
      <c r="ID235" s="219"/>
      <c r="IE235" s="221"/>
      <c r="IF235" s="41"/>
      <c r="IG235" s="221"/>
      <c r="IH235" s="220"/>
      <c r="II235" s="226"/>
      <c r="IJ235" s="226"/>
      <c r="IK235" s="218"/>
      <c r="IL235" s="219"/>
      <c r="IM235" s="221"/>
      <c r="IN235" s="41"/>
      <c r="IO235" s="221"/>
      <c r="IP235" s="220"/>
      <c r="IQ235" s="226"/>
      <c r="IR235" s="226"/>
      <c r="IS235" s="218"/>
      <c r="IT235" s="219"/>
    </row>
    <row r="236" spans="1:254" ht="13">
      <c r="A236" s="201">
        <v>44</v>
      </c>
      <c r="B236" s="40" t="s">
        <v>949</v>
      </c>
      <c r="D236" s="220"/>
      <c r="E236" s="397">
        <f>H220+E233</f>
        <v>54094032.244774804</v>
      </c>
      <c r="F236" s="708" t="s">
        <v>2030</v>
      </c>
      <c r="G236" s="218"/>
      <c r="J236" s="40"/>
      <c r="K236" s="221"/>
      <c r="L236" s="220"/>
      <c r="M236" s="225"/>
      <c r="N236" s="227"/>
      <c r="O236" s="218"/>
      <c r="P236" s="219"/>
      <c r="Q236" s="221"/>
      <c r="R236" s="220"/>
      <c r="S236" s="225"/>
      <c r="T236" s="227"/>
      <c r="U236" s="218"/>
      <c r="V236" s="219"/>
      <c r="W236" s="211"/>
      <c r="X236" s="40"/>
      <c r="Y236" s="221"/>
      <c r="Z236" s="220"/>
      <c r="AA236" s="225"/>
      <c r="AB236" s="227"/>
      <c r="AC236" s="218"/>
      <c r="AD236" s="219"/>
      <c r="AE236" s="211"/>
      <c r="AF236" s="40"/>
      <c r="AG236" s="221"/>
      <c r="AH236" s="220"/>
      <c r="AI236" s="225"/>
      <c r="AJ236" s="227"/>
      <c r="AK236" s="218"/>
      <c r="AL236" s="219"/>
      <c r="AM236" s="205"/>
      <c r="AN236" s="40"/>
      <c r="AO236" s="221"/>
      <c r="AP236" s="220"/>
      <c r="AQ236" s="225"/>
      <c r="AR236" s="227"/>
      <c r="AS236" s="218"/>
      <c r="AT236" s="219"/>
      <c r="AU236" s="205"/>
      <c r="AV236" s="40"/>
      <c r="AW236" s="221"/>
      <c r="AX236" s="220"/>
      <c r="AY236" s="225"/>
      <c r="AZ236" s="227"/>
      <c r="BA236" s="218"/>
      <c r="BB236" s="219"/>
      <c r="BC236" s="205"/>
      <c r="BD236" s="40"/>
      <c r="BE236" s="221"/>
      <c r="BF236" s="220"/>
      <c r="BG236" s="225"/>
      <c r="BH236" s="227"/>
      <c r="BI236" s="218"/>
      <c r="BJ236" s="219"/>
      <c r="BK236" s="205"/>
      <c r="BL236" s="40"/>
      <c r="BM236" s="221"/>
      <c r="BN236" s="220"/>
      <c r="BO236" s="225"/>
      <c r="BP236" s="227"/>
      <c r="BQ236" s="218"/>
      <c r="BR236" s="219"/>
      <c r="BS236" s="205"/>
      <c r="BT236" s="40"/>
      <c r="BU236" s="221"/>
      <c r="BV236" s="220"/>
      <c r="BW236" s="225"/>
      <c r="BX236" s="227"/>
      <c r="BY236" s="218"/>
      <c r="BZ236" s="219"/>
      <c r="CA236" s="205"/>
      <c r="CB236" s="40"/>
      <c r="CC236" s="221"/>
      <c r="CD236" s="220"/>
      <c r="CE236" s="225"/>
      <c r="CF236" s="227"/>
      <c r="CG236" s="218"/>
      <c r="CH236" s="219"/>
      <c r="CI236" s="205"/>
      <c r="CJ236" s="40"/>
      <c r="CK236" s="221"/>
      <c r="CL236" s="220"/>
      <c r="CM236" s="225"/>
      <c r="CN236" s="227"/>
      <c r="CO236" s="218"/>
      <c r="CP236" s="219"/>
      <c r="CQ236" s="205"/>
      <c r="CR236" s="40"/>
      <c r="CS236" s="221"/>
      <c r="CT236" s="220"/>
      <c r="CU236" s="225"/>
      <c r="CV236" s="227"/>
      <c r="CW236" s="218"/>
      <c r="CX236" s="219"/>
      <c r="CY236" s="205"/>
      <c r="CZ236" s="40"/>
      <c r="DA236" s="221"/>
      <c r="DB236" s="220"/>
      <c r="DC236" s="225"/>
      <c r="DD236" s="227"/>
      <c r="DE236" s="218"/>
      <c r="DF236" s="219"/>
      <c r="DG236" s="205"/>
      <c r="DH236" s="40"/>
      <c r="DI236" s="221"/>
      <c r="DJ236" s="220"/>
      <c r="DK236" s="225"/>
      <c r="DL236" s="227"/>
      <c r="DM236" s="218"/>
      <c r="DN236" s="219"/>
      <c r="DO236" s="205"/>
      <c r="DP236" s="40"/>
      <c r="DQ236" s="221"/>
      <c r="DR236" s="220"/>
      <c r="DS236" s="225"/>
      <c r="DT236" s="227"/>
      <c r="DU236" s="218"/>
      <c r="DV236" s="219"/>
      <c r="DW236" s="205"/>
      <c r="DX236" s="40"/>
      <c r="DY236" s="221"/>
      <c r="DZ236" s="220"/>
      <c r="EA236" s="225"/>
      <c r="EB236" s="227"/>
      <c r="EC236" s="218"/>
      <c r="ED236" s="219"/>
      <c r="EE236" s="205"/>
      <c r="EF236" s="40"/>
      <c r="EG236" s="221"/>
      <c r="EH236" s="220"/>
      <c r="EI236" s="225"/>
      <c r="EJ236" s="227"/>
      <c r="EK236" s="218"/>
      <c r="EL236" s="219"/>
      <c r="EM236" s="205"/>
      <c r="EN236" s="40"/>
      <c r="EO236" s="221"/>
      <c r="EP236" s="220"/>
      <c r="EQ236" s="225"/>
      <c r="ER236" s="227"/>
      <c r="ES236" s="218"/>
      <c r="ET236" s="219"/>
      <c r="EU236" s="205"/>
      <c r="EV236" s="40"/>
      <c r="EW236" s="221"/>
      <c r="EX236" s="220"/>
      <c r="EY236" s="225"/>
      <c r="EZ236" s="227"/>
      <c r="FA236" s="218"/>
      <c r="FB236" s="219"/>
      <c r="FC236" s="205"/>
      <c r="FD236" s="40"/>
      <c r="FE236" s="221"/>
      <c r="FF236" s="220"/>
      <c r="FG236" s="225"/>
      <c r="FH236" s="227"/>
      <c r="FI236" s="218"/>
      <c r="FJ236" s="219"/>
      <c r="FK236" s="205"/>
      <c r="FL236" s="40"/>
      <c r="FM236" s="221"/>
      <c r="FN236" s="220"/>
      <c r="FO236" s="225"/>
      <c r="FP236" s="227"/>
      <c r="FQ236" s="218"/>
      <c r="FR236" s="219"/>
      <c r="FS236" s="205"/>
      <c r="FT236" s="40"/>
      <c r="FU236" s="221"/>
      <c r="FV236" s="220"/>
      <c r="FW236" s="225"/>
      <c r="FX236" s="227"/>
      <c r="FY236" s="218"/>
      <c r="FZ236" s="219"/>
      <c r="GA236" s="205"/>
      <c r="GB236" s="40"/>
      <c r="GC236" s="221"/>
      <c r="GD236" s="220"/>
      <c r="GE236" s="225"/>
      <c r="GF236" s="227"/>
      <c r="GG236" s="218"/>
      <c r="GH236" s="219"/>
      <c r="GI236" s="205"/>
      <c r="GJ236" s="40"/>
      <c r="GK236" s="221"/>
      <c r="GL236" s="220"/>
      <c r="GM236" s="225"/>
      <c r="GN236" s="227"/>
      <c r="GO236" s="218"/>
      <c r="GP236" s="219"/>
      <c r="GQ236" s="205"/>
      <c r="GR236" s="40"/>
      <c r="GS236" s="221"/>
      <c r="GT236" s="220"/>
      <c r="GU236" s="225"/>
      <c r="GV236" s="227"/>
      <c r="GW236" s="218"/>
      <c r="GX236" s="219"/>
      <c r="GY236" s="205"/>
      <c r="GZ236" s="40"/>
      <c r="HA236" s="221"/>
      <c r="HB236" s="220"/>
      <c r="HC236" s="225"/>
      <c r="HD236" s="227"/>
      <c r="HE236" s="218"/>
      <c r="HF236" s="219"/>
      <c r="HG236" s="205"/>
      <c r="HH236" s="40"/>
      <c r="HI236" s="221"/>
      <c r="HJ236" s="220"/>
      <c r="HK236" s="225"/>
      <c r="HL236" s="227"/>
      <c r="HM236" s="218"/>
      <c r="HN236" s="219"/>
      <c r="HO236" s="205"/>
      <c r="HP236" s="40"/>
      <c r="HQ236" s="221"/>
      <c r="HR236" s="220"/>
      <c r="HS236" s="225"/>
      <c r="HT236" s="227"/>
      <c r="HU236" s="218"/>
      <c r="HV236" s="219"/>
      <c r="HW236" s="205"/>
      <c r="HX236" s="40"/>
      <c r="HY236" s="221"/>
      <c r="HZ236" s="220"/>
      <c r="IA236" s="225"/>
      <c r="IB236" s="227"/>
      <c r="IC236" s="218"/>
      <c r="ID236" s="219"/>
      <c r="IE236" s="205"/>
      <c r="IF236" s="40"/>
      <c r="IG236" s="221"/>
      <c r="IH236" s="220"/>
      <c r="II236" s="225"/>
      <c r="IJ236" s="227"/>
      <c r="IK236" s="218"/>
      <c r="IL236" s="219"/>
      <c r="IM236" s="205"/>
      <c r="IN236" s="40"/>
      <c r="IO236" s="221"/>
      <c r="IP236" s="220"/>
      <c r="IQ236" s="225"/>
      <c r="IR236" s="227"/>
      <c r="IS236" s="218"/>
      <c r="IT236" s="219"/>
    </row>
    <row r="237" spans="1:254">
      <c r="D237" s="309"/>
      <c r="E237" s="296"/>
      <c r="F237" s="333"/>
    </row>
    <row r="239" spans="1:254">
      <c r="A239" s="221" t="s">
        <v>230</v>
      </c>
    </row>
    <row r="240" spans="1:254" ht="12.75" customHeight="1">
      <c r="A240" s="86" t="s">
        <v>927</v>
      </c>
      <c r="B240" s="1505" t="s">
        <v>1465</v>
      </c>
      <c r="C240" s="1506"/>
      <c r="D240" s="1506"/>
    </row>
    <row r="241" spans="1:8" ht="77.25" customHeight="1">
      <c r="A241" s="86" t="s">
        <v>928</v>
      </c>
      <c r="B241" s="1480" t="s">
        <v>1814</v>
      </c>
      <c r="C241" s="1481"/>
      <c r="D241" s="1481"/>
      <c r="E241" s="1482"/>
      <c r="F241" s="1482"/>
    </row>
    <row r="242" spans="1:8" ht="12.75" customHeight="1">
      <c r="A242" s="86" t="s">
        <v>929</v>
      </c>
      <c r="B242" s="1495" t="s">
        <v>930</v>
      </c>
      <c r="C242" s="1496"/>
      <c r="D242" s="1496"/>
      <c r="E242" s="1497"/>
      <c r="F242" s="1497"/>
    </row>
    <row r="243" spans="1:8" ht="12.75" customHeight="1">
      <c r="A243" s="72" t="s">
        <v>931</v>
      </c>
      <c r="B243" s="1480" t="s">
        <v>1507</v>
      </c>
      <c r="C243" s="1496"/>
      <c r="D243" s="1496"/>
      <c r="E243" s="1497"/>
      <c r="F243" s="1497"/>
    </row>
    <row r="244" spans="1:8" ht="12.75" customHeight="1">
      <c r="A244" s="86" t="s">
        <v>932</v>
      </c>
      <c r="B244" s="1495" t="s">
        <v>933</v>
      </c>
      <c r="C244" s="1496"/>
      <c r="D244" s="1496"/>
      <c r="E244" s="1497"/>
      <c r="F244" s="1497"/>
    </row>
    <row r="245" spans="1:8" ht="12.75" customHeight="1">
      <c r="A245" s="72" t="s">
        <v>934</v>
      </c>
      <c r="B245" s="1495" t="s">
        <v>935</v>
      </c>
      <c r="C245" s="1496"/>
      <c r="D245" s="1496"/>
      <c r="E245" s="1497"/>
      <c r="F245" s="1497"/>
    </row>
    <row r="246" spans="1:8" ht="12.75" customHeight="1">
      <c r="A246" s="72" t="s">
        <v>936</v>
      </c>
      <c r="B246" s="1480" t="s">
        <v>1708</v>
      </c>
      <c r="C246" s="1481"/>
      <c r="D246" s="1481"/>
      <c r="E246" s="1501"/>
      <c r="F246" s="1501"/>
    </row>
    <row r="247" spans="1:8" ht="12.75" customHeight="1">
      <c r="A247" s="72"/>
      <c r="B247" s="1501"/>
      <c r="C247" s="1501"/>
      <c r="D247" s="1501"/>
      <c r="E247" s="1501"/>
      <c r="F247" s="1501"/>
    </row>
    <row r="248" spans="1:8" ht="12.75" customHeight="1">
      <c r="A248" s="72"/>
      <c r="B248" s="1495" t="s">
        <v>937</v>
      </c>
      <c r="C248" s="1496"/>
      <c r="D248" s="994">
        <v>6.0900000000000003E-2</v>
      </c>
      <c r="E248" s="904" t="s">
        <v>1733</v>
      </c>
      <c r="F248" s="991" t="s">
        <v>2854</v>
      </c>
      <c r="G248" s="571"/>
    </row>
    <row r="249" spans="1:8" ht="26.25" customHeight="1">
      <c r="A249" s="72" t="s">
        <v>938</v>
      </c>
      <c r="B249" s="1495" t="s">
        <v>939</v>
      </c>
      <c r="C249" s="1496"/>
      <c r="D249" s="1496"/>
      <c r="E249" s="1497"/>
      <c r="F249" s="1497"/>
    </row>
    <row r="250" spans="1:8" ht="27.75" customHeight="1">
      <c r="A250" s="72" t="s">
        <v>940</v>
      </c>
      <c r="B250" s="1495" t="s">
        <v>941</v>
      </c>
      <c r="C250" s="1496"/>
      <c r="D250" s="1496"/>
      <c r="E250" s="1497"/>
      <c r="F250" s="1497"/>
    </row>
    <row r="251" spans="1:8" ht="25.5" customHeight="1">
      <c r="A251" s="86" t="s">
        <v>942</v>
      </c>
      <c r="B251" s="1495" t="s">
        <v>943</v>
      </c>
      <c r="C251" s="1496"/>
      <c r="D251" s="1496"/>
      <c r="E251" s="1497"/>
      <c r="F251" s="1497"/>
    </row>
    <row r="252" spans="1:8" ht="40.4" customHeight="1">
      <c r="A252" s="72" t="s">
        <v>944</v>
      </c>
      <c r="B252" s="1480" t="s">
        <v>1734</v>
      </c>
      <c r="C252" s="1481"/>
      <c r="D252" s="1481"/>
      <c r="E252" s="1482"/>
      <c r="F252" s="1482"/>
      <c r="G252" s="309"/>
    </row>
    <row r="253" spans="1:8" ht="38.25" customHeight="1">
      <c r="A253" s="72" t="s">
        <v>945</v>
      </c>
      <c r="B253" s="1480" t="s">
        <v>1709</v>
      </c>
      <c r="C253" s="1481"/>
      <c r="D253" s="1481"/>
      <c r="E253" s="1501"/>
      <c r="F253" s="1501"/>
      <c r="G253" s="1501"/>
    </row>
    <row r="254" spans="1:8" ht="12.75" customHeight="1">
      <c r="A254" s="72"/>
      <c r="B254" s="1495" t="s">
        <v>937</v>
      </c>
      <c r="C254" s="1496"/>
      <c r="D254" s="994">
        <v>6.0900000000000003E-2</v>
      </c>
      <c r="E254" s="904" t="s">
        <v>1733</v>
      </c>
      <c r="F254" s="991" t="s">
        <v>2854</v>
      </c>
      <c r="G254" s="571"/>
    </row>
    <row r="255" spans="1:8" ht="12.75" customHeight="1">
      <c r="A255" s="72" t="s">
        <v>946</v>
      </c>
      <c r="B255" s="1480" t="s">
        <v>2028</v>
      </c>
      <c r="C255" s="1481"/>
      <c r="D255" s="1481"/>
      <c r="E255" s="1501"/>
      <c r="F255" s="1501"/>
      <c r="G255" s="1501"/>
      <c r="H255" s="1501"/>
    </row>
    <row r="256" spans="1:8" ht="12.75" customHeight="1">
      <c r="A256" s="72" t="s">
        <v>947</v>
      </c>
      <c r="B256" s="1480" t="s">
        <v>2029</v>
      </c>
      <c r="C256" s="1481"/>
      <c r="D256" s="1481"/>
      <c r="E256" s="1501"/>
      <c r="F256" s="1501"/>
      <c r="G256" s="1501"/>
    </row>
    <row r="257" spans="1:7" ht="27" customHeight="1">
      <c r="A257" s="549" t="s">
        <v>1664</v>
      </c>
      <c r="B257" s="1480" t="s">
        <v>1749</v>
      </c>
      <c r="C257" s="1481"/>
      <c r="D257" s="1481"/>
      <c r="E257" s="1482"/>
      <c r="F257" s="1482"/>
      <c r="G257" s="309"/>
    </row>
    <row r="258" spans="1:7">
      <c r="A258" s="549" t="s">
        <v>1735</v>
      </c>
      <c r="B258" s="536" t="s">
        <v>1775</v>
      </c>
      <c r="C258" s="41"/>
      <c r="E258" s="41"/>
      <c r="F258" s="41"/>
      <c r="G258" s="309"/>
    </row>
    <row r="259" spans="1:7">
      <c r="A259" s="549" t="s">
        <v>1754</v>
      </c>
      <c r="B259" s="536" t="s">
        <v>1798</v>
      </c>
      <c r="C259" s="41"/>
      <c r="E259" s="309"/>
      <c r="F259" s="309"/>
      <c r="G259" s="309"/>
    </row>
    <row r="260" spans="1:7">
      <c r="A260" s="41"/>
      <c r="B260" s="536" t="s">
        <v>1799</v>
      </c>
      <c r="C260" s="41"/>
      <c r="E260" s="309"/>
      <c r="F260" s="309"/>
      <c r="G260" s="309"/>
    </row>
    <row r="261" spans="1:7">
      <c r="A261" s="41"/>
      <c r="B261" s="536" t="s">
        <v>1800</v>
      </c>
      <c r="C261" s="41"/>
      <c r="E261" s="309"/>
      <c r="F261" s="309"/>
      <c r="G261" s="309"/>
    </row>
    <row r="262" spans="1:7">
      <c r="A262" s="41"/>
      <c r="B262" s="536" t="s">
        <v>1801</v>
      </c>
      <c r="C262" s="41"/>
      <c r="E262" s="309"/>
      <c r="F262" s="309"/>
      <c r="G262" s="309"/>
    </row>
  </sheetData>
  <autoFilter ref="A1:O262" xr:uid="{00000000-0009-0000-0000-00001A000000}"/>
  <mergeCells count="45">
    <mergeCell ref="B255:H255"/>
    <mergeCell ref="B256:G256"/>
    <mergeCell ref="B136:D136"/>
    <mergeCell ref="B251:F251"/>
    <mergeCell ref="B252:F252"/>
    <mergeCell ref="B254:C254"/>
    <mergeCell ref="B253:G253"/>
    <mergeCell ref="B169:D169"/>
    <mergeCell ref="B204:D204"/>
    <mergeCell ref="B174:D174"/>
    <mergeCell ref="B240:D240"/>
    <mergeCell ref="B168:D168"/>
    <mergeCell ref="B163:D163"/>
    <mergeCell ref="B248:C248"/>
    <mergeCell ref="B246:F247"/>
    <mergeCell ref="B250:F250"/>
    <mergeCell ref="B241:F241"/>
    <mergeCell ref="B209:C209"/>
    <mergeCell ref="B210:C210"/>
    <mergeCell ref="B212:C212"/>
    <mergeCell ref="B216:D216"/>
    <mergeCell ref="B218:D218"/>
    <mergeCell ref="B217:D217"/>
    <mergeCell ref="B211:C211"/>
    <mergeCell ref="B242:F242"/>
    <mergeCell ref="B243:F243"/>
    <mergeCell ref="B245:F245"/>
    <mergeCell ref="B244:F244"/>
    <mergeCell ref="B249:F249"/>
    <mergeCell ref="B257:F257"/>
    <mergeCell ref="J2:M2"/>
    <mergeCell ref="G2:I2"/>
    <mergeCell ref="B206:D206"/>
    <mergeCell ref="B164:D164"/>
    <mergeCell ref="B71:D71"/>
    <mergeCell ref="B38:D38"/>
    <mergeCell ref="B33:D33"/>
    <mergeCell ref="B205:D205"/>
    <mergeCell ref="B173:D173"/>
    <mergeCell ref="B8:D8"/>
    <mergeCell ref="B9:D9"/>
    <mergeCell ref="B37:D37"/>
    <mergeCell ref="B32:D32"/>
    <mergeCell ref="B70:D70"/>
    <mergeCell ref="B137:D137"/>
  </mergeCells>
  <conditionalFormatting sqref="A244:A245 C170:C172 D76 C165:C167 C259:C65568 A249:A250 A252:A255 C237:C239 C220:C234 A257:A258 C132:C135 C162 C2:C7 C34:C36 C39:C63 C72:C122 C138:C155 C174:C181 C10:C31 C69">
    <cfRule type="cellIs" dxfId="9" priority="11" stopIfTrue="1" operator="between">
      <formula>4990000</formula>
      <formula>4999999</formula>
    </cfRule>
  </conditionalFormatting>
  <conditionalFormatting sqref="A256">
    <cfRule type="cellIs" dxfId="8" priority="10" stopIfTrue="1" operator="between">
      <formula>4990000</formula>
      <formula>4999999</formula>
    </cfRule>
  </conditionalFormatting>
  <conditionalFormatting sqref="A246:A248">
    <cfRule type="cellIs" dxfId="7" priority="9" stopIfTrue="1" operator="between">
      <formula>4990000</formula>
      <formula>4999999</formula>
    </cfRule>
  </conditionalFormatting>
  <conditionalFormatting sqref="K235:K236 Q235:Q236 Y235:Y236 AG235:AG236 AO235:AO236 AW235:AW236 BE235:BE236 BM235:BM236 BU235:BU236 CC235:CC236 CK235:CK236 CS235:CS236 DA235:DA236 DI235:DI236 DQ235:DQ236 DY235:DY236 EG235:EG236 EO235:EO236 EW235:EW236 FE235:FE236 FM235:FM236 FU235:FU236 GC235:GC236 GK235:GK236 GS235:GS236 HA235:HA236 HI235:HI236 HQ235:HQ236 HY235:HY236 IG235:IG236 IO235:IO236">
    <cfRule type="cellIs" dxfId="6" priority="8" stopIfTrue="1" operator="between">
      <formula>4990000</formula>
      <formula>4999999</formula>
    </cfRule>
  </conditionalFormatting>
  <conditionalFormatting sqref="C235:C236">
    <cfRule type="cellIs" dxfId="5" priority="7" stopIfTrue="1" operator="between">
      <formula>4990000</formula>
      <formula>4999999</formula>
    </cfRule>
  </conditionalFormatting>
  <conditionalFormatting sqref="A259">
    <cfRule type="cellIs" dxfId="4" priority="6" stopIfTrue="1" operator="between">
      <formula>4990000</formula>
      <formula>4999999</formula>
    </cfRule>
  </conditionalFormatting>
  <conditionalFormatting sqref="C64:C66">
    <cfRule type="cellIs" dxfId="3" priority="5" stopIfTrue="1" operator="between">
      <formula>4990000</formula>
      <formula>4999999</formula>
    </cfRule>
  </conditionalFormatting>
  <conditionalFormatting sqref="C123:C129">
    <cfRule type="cellIs" dxfId="2" priority="4" stopIfTrue="1" operator="between">
      <formula>4990000</formula>
      <formula>4999999</formula>
    </cfRule>
  </conditionalFormatting>
  <conditionalFormatting sqref="C156:C157">
    <cfRule type="cellIs" dxfId="1" priority="3" stopIfTrue="1" operator="between">
      <formula>4990000</formula>
      <formula>4999999</formula>
    </cfRule>
  </conditionalFormatting>
  <conditionalFormatting sqref="C158 C161">
    <cfRule type="cellIs" dxfId="0" priority="2"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&amp;RTO2021 Draft Annual Update 
Attachment 1</oddHeader>
    <oddFooter>&amp;R21-RevenueCredits</oddFooter>
  </headerFooter>
  <rowBreaks count="3" manualBreakCount="3">
    <brk id="71" max="16383" man="1"/>
    <brk id="137" max="16383" man="1"/>
    <brk id="206" max="16383" man="1"/>
  </rowBreaks>
  <ignoredErrors>
    <ignoredError sqref="G126" formula="1"/>
    <ignoredError sqref="C145"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heetViews>
  <sheetFormatPr defaultColWidth="9.453125" defaultRowHeight="12.5"/>
  <cols>
    <col min="1" max="1" width="4.54296875" style="468" customWidth="1"/>
    <col min="2" max="2" width="14" style="467" customWidth="1"/>
    <col min="3" max="3" width="26.54296875" style="467" customWidth="1"/>
    <col min="4" max="4" width="28.54296875" style="467" customWidth="1"/>
    <col min="5" max="5" width="16.453125" style="467" bestFit="1" customWidth="1"/>
    <col min="6" max="6" width="20.54296875" style="1124" customWidth="1"/>
    <col min="7" max="7" width="9.54296875" style="467" customWidth="1"/>
    <col min="8" max="16384" width="9.453125" style="467"/>
  </cols>
  <sheetData>
    <row r="1" spans="1:8" ht="13">
      <c r="A1" s="83" t="s">
        <v>1068</v>
      </c>
      <c r="C1" s="83"/>
      <c r="D1" s="83"/>
      <c r="E1" s="83"/>
    </row>
    <row r="2" spans="1:8" ht="13">
      <c r="A2" s="83"/>
      <c r="C2" s="68" t="s">
        <v>2537</v>
      </c>
      <c r="D2" s="515" t="s">
        <v>2657</v>
      </c>
      <c r="E2" s="865" t="s">
        <v>1715</v>
      </c>
      <c r="F2" s="975">
        <v>2019</v>
      </c>
    </row>
    <row r="3" spans="1:8" ht="13">
      <c r="B3" s="83" t="s">
        <v>1100</v>
      </c>
      <c r="C3" s="83"/>
      <c r="D3" s="1264"/>
      <c r="E3" s="83"/>
    </row>
    <row r="4" spans="1:8" ht="13">
      <c r="A4" s="51" t="s">
        <v>329</v>
      </c>
      <c r="C4" s="1271"/>
      <c r="D4" s="1264"/>
      <c r="E4" s="3" t="s">
        <v>959</v>
      </c>
      <c r="F4" s="1134" t="s">
        <v>168</v>
      </c>
    </row>
    <row r="5" spans="1:8" ht="13">
      <c r="A5" s="231">
        <v>1</v>
      </c>
      <c r="B5" s="537" t="s">
        <v>1069</v>
      </c>
      <c r="C5" s="537"/>
      <c r="E5" s="716">
        <v>64560040.576577909</v>
      </c>
      <c r="F5" s="1051" t="s">
        <v>212</v>
      </c>
    </row>
    <row r="6" spans="1:8" ht="13">
      <c r="A6" s="231">
        <v>2</v>
      </c>
      <c r="B6" s="467" t="s">
        <v>1070</v>
      </c>
      <c r="E6" s="512">
        <f>E7-E5</f>
        <v>110833276.4234221</v>
      </c>
      <c r="F6" s="1051" t="s">
        <v>2275</v>
      </c>
      <c r="H6" s="1051"/>
    </row>
    <row r="7" spans="1:8" ht="13">
      <c r="A7" s="231">
        <v>3</v>
      </c>
      <c r="B7" s="467" t="s">
        <v>2345</v>
      </c>
      <c r="C7" s="537"/>
      <c r="D7" s="537"/>
      <c r="E7" s="399">
        <v>175393317</v>
      </c>
      <c r="F7" s="471" t="s">
        <v>1218</v>
      </c>
      <c r="H7" s="1051"/>
    </row>
    <row r="8" spans="1:8" ht="14">
      <c r="A8" s="1135"/>
      <c r="B8" s="1125"/>
      <c r="C8" s="1126"/>
      <c r="D8" s="1126"/>
      <c r="E8" s="1122"/>
      <c r="F8" s="1127"/>
      <c r="G8" s="1128"/>
    </row>
    <row r="9" spans="1:8" ht="14">
      <c r="A9" s="1135"/>
      <c r="B9" s="83" t="s">
        <v>1101</v>
      </c>
      <c r="C9" s="1126"/>
      <c r="D9" s="1126"/>
      <c r="E9" s="1122"/>
      <c r="F9" s="1129"/>
      <c r="G9" s="1128"/>
    </row>
    <row r="10" spans="1:8" ht="14">
      <c r="A10" s="553"/>
      <c r="B10" s="537"/>
      <c r="C10" s="537"/>
      <c r="D10" s="537"/>
      <c r="E10" s="1123"/>
      <c r="F10" s="1129"/>
      <c r="G10" s="1128"/>
    </row>
    <row r="11" spans="1:8" ht="14">
      <c r="A11" s="553">
        <v>4</v>
      </c>
      <c r="B11" s="537" t="s">
        <v>1069</v>
      </c>
      <c r="C11" s="537"/>
      <c r="D11" s="537"/>
      <c r="E11" s="966">
        <v>36762569.307422847</v>
      </c>
      <c r="F11" s="1051" t="s">
        <v>281</v>
      </c>
      <c r="G11" s="1128"/>
    </row>
    <row r="12" spans="1:8" ht="14">
      <c r="A12" s="553">
        <v>5</v>
      </c>
      <c r="B12" s="537" t="s">
        <v>1070</v>
      </c>
      <c r="C12" s="537"/>
      <c r="D12" s="537"/>
      <c r="E12" s="512">
        <f>E13-E11</f>
        <v>144313293.69257715</v>
      </c>
      <c r="F12" s="1051" t="s">
        <v>2276</v>
      </c>
      <c r="G12" s="1128"/>
    </row>
    <row r="13" spans="1:8" ht="14">
      <c r="A13" s="553">
        <v>6</v>
      </c>
      <c r="B13" s="467" t="s">
        <v>2345</v>
      </c>
      <c r="C13" s="537"/>
      <c r="D13" s="537"/>
      <c r="E13" s="399">
        <v>181075863</v>
      </c>
      <c r="F13" s="471" t="s">
        <v>1071</v>
      </c>
      <c r="G13" s="1128"/>
    </row>
    <row r="14" spans="1:8" ht="13">
      <c r="A14" s="231"/>
      <c r="B14" s="537"/>
      <c r="C14" s="537"/>
      <c r="D14" s="537"/>
      <c r="E14" s="1123"/>
      <c r="F14" s="1051"/>
    </row>
    <row r="15" spans="1:8" ht="13">
      <c r="A15" s="231">
        <v>7</v>
      </c>
      <c r="B15" s="537" t="s">
        <v>1072</v>
      </c>
      <c r="C15" s="537"/>
      <c r="D15" s="537"/>
      <c r="E15" s="1123">
        <f>(E5+E11)/2</f>
        <v>50661304.942000374</v>
      </c>
      <c r="F15" s="471" t="str">
        <f>"(Line "&amp;A5&amp;" + Line "&amp;A11&amp;") / 2"</f>
        <v>(Line 1 + Line 4) / 2</v>
      </c>
      <c r="G15" s="665"/>
    </row>
    <row r="16" spans="1:8" ht="13">
      <c r="A16" s="231"/>
      <c r="C16" s="1130"/>
      <c r="D16" s="374"/>
      <c r="E16" s="1123"/>
      <c r="F16" s="1051"/>
    </row>
    <row r="17" spans="1:6" ht="13">
      <c r="A17" s="231">
        <v>8</v>
      </c>
      <c r="B17" s="467" t="s">
        <v>1073</v>
      </c>
      <c r="C17" s="1130"/>
      <c r="D17" s="1130"/>
      <c r="E17" s="1133">
        <v>4075483.5901751588</v>
      </c>
      <c r="F17" s="1051" t="s">
        <v>953</v>
      </c>
    </row>
    <row r="18" spans="1:6" ht="13">
      <c r="A18" s="231">
        <v>9</v>
      </c>
      <c r="B18" s="467" t="s">
        <v>1074</v>
      </c>
      <c r="C18" s="1130"/>
      <c r="D18" s="1130"/>
      <c r="E18" s="512">
        <f>E19-E17</f>
        <v>728407325.40982485</v>
      </c>
      <c r="F18" s="1051" t="s">
        <v>2277</v>
      </c>
    </row>
    <row r="19" spans="1:6" ht="13">
      <c r="A19" s="231">
        <v>10</v>
      </c>
      <c r="B19" s="467" t="s">
        <v>2344</v>
      </c>
      <c r="C19" s="1130"/>
      <c r="D19" s="1130"/>
      <c r="E19" s="399">
        <v>732482809</v>
      </c>
      <c r="F19" s="471" t="s">
        <v>1075</v>
      </c>
    </row>
    <row r="20" spans="1:6">
      <c r="C20" s="1130"/>
      <c r="D20" s="1130"/>
    </row>
    <row r="21" spans="1:6">
      <c r="C21" s="1130"/>
      <c r="D21" s="1130"/>
    </row>
    <row r="22" spans="1:6" ht="13">
      <c r="A22" s="51" t="s">
        <v>230</v>
      </c>
    </row>
    <row r="23" spans="1:6">
      <c r="A23" s="468">
        <v>1</v>
      </c>
      <c r="B23" s="467" t="s">
        <v>1099</v>
      </c>
    </row>
    <row r="24" spans="1:6">
      <c r="A24" s="468">
        <v>2</v>
      </c>
      <c r="B24" s="467" t="s">
        <v>1102</v>
      </c>
    </row>
    <row r="25" spans="1:6">
      <c r="A25" s="468">
        <v>3</v>
      </c>
      <c r="B25" s="467" t="s">
        <v>1661</v>
      </c>
    </row>
    <row r="26" spans="1:6">
      <c r="A26" s="468">
        <v>4</v>
      </c>
      <c r="B26" s="467" t="s">
        <v>1980</v>
      </c>
      <c r="E26" s="1131"/>
    </row>
    <row r="27" spans="1:6">
      <c r="B27" s="467" t="s">
        <v>1979</v>
      </c>
      <c r="E27" s="1131"/>
    </row>
    <row r="28" spans="1:6">
      <c r="E28" s="1131"/>
    </row>
    <row r="29" spans="1:6">
      <c r="A29" s="467"/>
      <c r="E29" s="1131"/>
    </row>
    <row r="30" spans="1:6">
      <c r="A30" s="467"/>
      <c r="E30" s="1131"/>
    </row>
    <row r="31" spans="1:6">
      <c r="A31" s="467"/>
      <c r="E31" s="1131"/>
    </row>
    <row r="32" spans="1:6">
      <c r="A32" s="467"/>
      <c r="E32" s="1131"/>
    </row>
    <row r="36" spans="1:5">
      <c r="A36" s="467"/>
      <c r="C36" s="1132"/>
      <c r="D36" s="1132"/>
      <c r="E36" s="1132"/>
    </row>
    <row r="37" spans="1:5">
      <c r="A37" s="467"/>
      <c r="C37" s="1132"/>
      <c r="D37" s="1132"/>
      <c r="E37" s="1132"/>
    </row>
    <row r="38" spans="1:5">
      <c r="A38" s="467"/>
      <c r="C38" s="1132"/>
      <c r="D38" s="1132"/>
      <c r="E38" s="1132"/>
    </row>
    <row r="39" spans="1:5">
      <c r="A39" s="467"/>
      <c r="C39" s="1132"/>
      <c r="D39" s="1132"/>
      <c r="E39" s="1132"/>
    </row>
    <row r="40" spans="1:5">
      <c r="A40" s="467"/>
      <c r="C40" s="1132"/>
      <c r="D40" s="1132"/>
      <c r="E40" s="1132"/>
    </row>
    <row r="41" spans="1:5">
      <c r="A41" s="467"/>
      <c r="C41" s="1132"/>
      <c r="D41" s="1132"/>
      <c r="E41" s="1132"/>
    </row>
    <row r="42" spans="1:5">
      <c r="A42" s="467"/>
      <c r="C42" s="1132"/>
      <c r="D42" s="1132"/>
      <c r="E42" s="1132"/>
    </row>
    <row r="43" spans="1:5">
      <c r="A43" s="467"/>
      <c r="C43" s="1132"/>
      <c r="D43" s="1132"/>
      <c r="E43" s="1132"/>
    </row>
    <row r="44" spans="1:5">
      <c r="A44" s="467"/>
      <c r="C44" s="1132"/>
      <c r="D44" s="1132"/>
      <c r="E44" s="1132"/>
    </row>
    <row r="45" spans="1:5">
      <c r="A45" s="467"/>
      <c r="C45" s="1132"/>
      <c r="D45" s="1132"/>
      <c r="E45" s="1132"/>
    </row>
    <row r="46" spans="1:5">
      <c r="A46" s="467"/>
      <c r="C46" s="1132"/>
      <c r="D46" s="1132"/>
      <c r="E46" s="1132"/>
    </row>
    <row r="47" spans="1:5">
      <c r="A47" s="467"/>
      <c r="C47" s="1132"/>
      <c r="D47" s="1132"/>
      <c r="E47" s="1132"/>
    </row>
    <row r="48" spans="1:5">
      <c r="A48" s="467"/>
      <c r="C48" s="1132"/>
      <c r="D48" s="1132"/>
      <c r="E48" s="1132"/>
    </row>
    <row r="51" spans="1:5">
      <c r="A51" s="467"/>
      <c r="E51" s="1132"/>
    </row>
  </sheetData>
  <pageMargins left="0.7" right="0.7" top="0.75" bottom="0.75" header="0.3" footer="0.3"/>
  <pageSetup scale="75" orientation="portrait" cellComments="asDisplayed" r:id="rId1"/>
  <headerFooter>
    <oddHeader>&amp;CSchedule 22
Network Upgrade Credits and Interest Expense
&amp;RTO2021 Draft Annual Update 
Attachment 1</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9"/>
  <sheetViews>
    <sheetView zoomScaleNormal="100" workbookViewId="0"/>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11" ht="13">
      <c r="A1" s="673" t="s">
        <v>1700</v>
      </c>
      <c r="B1" s="674"/>
      <c r="C1" s="674"/>
      <c r="D1" s="674"/>
      <c r="E1" s="674"/>
      <c r="F1" s="674"/>
      <c r="G1" s="674"/>
      <c r="H1" s="14"/>
      <c r="I1" s="14"/>
      <c r="J1" s="14"/>
      <c r="K1" s="14"/>
    </row>
    <row r="2" spans="1:11">
      <c r="A2" s="14"/>
      <c r="B2" s="14"/>
      <c r="C2" s="14"/>
      <c r="D2" s="14"/>
      <c r="E2" s="14"/>
      <c r="F2" s="14"/>
      <c r="G2" s="14"/>
      <c r="H2" s="14"/>
      <c r="I2" s="14"/>
      <c r="J2" s="14"/>
      <c r="K2" s="14"/>
    </row>
    <row r="3" spans="1:11" ht="13">
      <c r="A3" s="675" t="s">
        <v>329</v>
      </c>
      <c r="B3" s="674"/>
      <c r="C3" s="674"/>
      <c r="D3" s="674"/>
      <c r="E3" s="674"/>
      <c r="F3" s="674"/>
      <c r="G3" s="674"/>
      <c r="H3" s="14"/>
      <c r="I3" s="14"/>
      <c r="J3" s="14"/>
      <c r="K3" s="14"/>
    </row>
    <row r="4" spans="1:11" ht="13">
      <c r="A4" s="676">
        <v>1</v>
      </c>
      <c r="B4" s="569" t="s">
        <v>1689</v>
      </c>
      <c r="C4" s="674"/>
      <c r="D4" s="674"/>
      <c r="E4" s="674"/>
      <c r="F4" s="674"/>
      <c r="G4" s="674"/>
      <c r="H4" s="14"/>
      <c r="I4" s="14"/>
      <c r="J4" s="14"/>
      <c r="K4" s="14"/>
    </row>
    <row r="5" spans="1:11" ht="13">
      <c r="A5" s="676">
        <v>2</v>
      </c>
      <c r="B5" s="569" t="s">
        <v>1690</v>
      </c>
      <c r="C5" s="674"/>
      <c r="D5" s="674"/>
      <c r="E5" s="674"/>
      <c r="F5" s="674"/>
      <c r="G5" s="674"/>
      <c r="H5" s="14"/>
      <c r="I5" s="14"/>
      <c r="J5" s="14"/>
      <c r="K5" s="14"/>
    </row>
    <row r="6" spans="1:11" ht="13">
      <c r="A6" s="676">
        <v>3</v>
      </c>
      <c r="B6" s="569" t="s">
        <v>1691</v>
      </c>
      <c r="C6" s="674"/>
      <c r="D6" s="674"/>
      <c r="E6" s="674"/>
      <c r="F6" s="674"/>
      <c r="G6" s="674"/>
      <c r="H6" s="14"/>
      <c r="I6" s="14"/>
      <c r="J6" s="14"/>
      <c r="K6" s="14"/>
    </row>
    <row r="7" spans="1:11" ht="13">
      <c r="A7" s="676">
        <v>4</v>
      </c>
      <c r="B7" s="674"/>
      <c r="C7" s="674"/>
      <c r="D7" s="674"/>
      <c r="E7" s="674"/>
      <c r="F7" s="674"/>
      <c r="G7" s="674"/>
      <c r="H7" s="14"/>
      <c r="I7" s="14"/>
      <c r="J7" s="14"/>
      <c r="K7" s="14"/>
    </row>
    <row r="8" spans="1:11" ht="13">
      <c r="A8" s="676">
        <v>5</v>
      </c>
      <c r="B8" s="569" t="s">
        <v>408</v>
      </c>
      <c r="C8" s="674"/>
      <c r="D8" s="674"/>
      <c r="E8" s="674"/>
      <c r="F8" s="674"/>
      <c r="G8" s="674"/>
      <c r="H8" s="14"/>
      <c r="I8" s="14"/>
      <c r="J8" s="14"/>
      <c r="K8" s="14"/>
    </row>
    <row r="9" spans="1:11" ht="13">
      <c r="A9" s="676">
        <v>6</v>
      </c>
      <c r="B9" s="569" t="s">
        <v>407</v>
      </c>
      <c r="C9" s="674"/>
      <c r="D9" s="674"/>
      <c r="E9" s="674"/>
      <c r="F9" s="674"/>
      <c r="G9" s="674"/>
      <c r="H9" s="14"/>
      <c r="I9" s="14"/>
      <c r="J9" s="14"/>
      <c r="K9" s="14"/>
    </row>
    <row r="10" spans="1:11" ht="13">
      <c r="A10" s="676">
        <v>7</v>
      </c>
      <c r="B10" s="674"/>
      <c r="C10" s="674"/>
      <c r="D10" s="674"/>
      <c r="E10" s="674"/>
      <c r="F10" s="674"/>
      <c r="G10" s="674"/>
      <c r="H10" s="14"/>
      <c r="I10" s="14"/>
      <c r="J10" s="14"/>
      <c r="K10" s="14"/>
    </row>
    <row r="11" spans="1:11" ht="13">
      <c r="A11" s="676">
        <v>8</v>
      </c>
      <c r="B11" s="569" t="s">
        <v>1692</v>
      </c>
      <c r="C11" s="674"/>
      <c r="D11" s="674"/>
      <c r="E11" s="674"/>
      <c r="F11" s="674"/>
      <c r="G11" s="674"/>
      <c r="H11" s="14"/>
      <c r="I11" s="14"/>
      <c r="J11" s="14"/>
      <c r="K11" s="14"/>
    </row>
    <row r="12" spans="1:11" ht="13">
      <c r="A12" s="676">
        <v>9</v>
      </c>
      <c r="B12" s="569" t="s">
        <v>1693</v>
      </c>
      <c r="C12" s="674"/>
      <c r="D12" s="674"/>
      <c r="E12" s="674"/>
      <c r="F12" s="674"/>
      <c r="G12" s="674"/>
      <c r="H12" s="14"/>
      <c r="I12" s="14"/>
      <c r="J12" s="14"/>
      <c r="K12" s="14"/>
    </row>
    <row r="13" spans="1:11" ht="13">
      <c r="A13" s="676">
        <v>10</v>
      </c>
      <c r="B13" s="569" t="s">
        <v>1694</v>
      </c>
      <c r="C13" s="674"/>
      <c r="D13" s="674"/>
      <c r="E13" s="674"/>
      <c r="F13" s="674"/>
      <c r="G13" s="674"/>
      <c r="H13" s="14"/>
      <c r="I13" s="14"/>
      <c r="J13" s="14"/>
      <c r="K13" s="14"/>
    </row>
    <row r="14" spans="1:11" ht="13">
      <c r="A14" s="676">
        <v>11</v>
      </c>
      <c r="B14" s="674"/>
      <c r="C14" s="674"/>
      <c r="D14" s="674"/>
      <c r="E14" s="674"/>
      <c r="F14" s="674"/>
      <c r="G14" s="674"/>
      <c r="H14" s="14"/>
      <c r="I14" s="14"/>
      <c r="J14" s="14"/>
      <c r="K14" s="14"/>
    </row>
    <row r="15" spans="1:11" ht="13">
      <c r="A15" s="676">
        <v>12</v>
      </c>
      <c r="B15" s="569"/>
      <c r="C15" s="674"/>
      <c r="D15" s="674"/>
      <c r="E15" s="676" t="s">
        <v>63</v>
      </c>
      <c r="F15" s="674"/>
      <c r="G15" s="674"/>
      <c r="H15" s="14"/>
      <c r="I15" s="14"/>
      <c r="J15" s="14"/>
      <c r="K15" s="14"/>
    </row>
    <row r="16" spans="1:11" ht="13">
      <c r="A16" s="676">
        <v>13</v>
      </c>
      <c r="B16" s="674"/>
      <c r="C16" s="674"/>
      <c r="D16" s="674"/>
      <c r="E16" s="905" t="s">
        <v>175</v>
      </c>
      <c r="F16" s="674"/>
      <c r="G16" s="906" t="s">
        <v>1859</v>
      </c>
      <c r="H16" s="14"/>
      <c r="I16" s="14"/>
      <c r="J16" s="14"/>
      <c r="K16" s="14"/>
    </row>
    <row r="17" spans="1:11" ht="13">
      <c r="A17" s="676">
        <v>14</v>
      </c>
      <c r="B17" s="569" t="s">
        <v>409</v>
      </c>
      <c r="C17" s="674"/>
      <c r="D17" s="674"/>
      <c r="E17" s="564">
        <f>D29</f>
        <v>0</v>
      </c>
      <c r="F17" s="674"/>
      <c r="G17" s="569" t="s">
        <v>498</v>
      </c>
      <c r="H17" s="14"/>
      <c r="I17" s="14"/>
      <c r="J17" s="14"/>
      <c r="K17" s="14"/>
    </row>
    <row r="18" spans="1:11" ht="13">
      <c r="A18" s="676">
        <v>15</v>
      </c>
      <c r="B18" s="569" t="s">
        <v>1614</v>
      </c>
      <c r="C18" s="674"/>
      <c r="D18" s="674"/>
      <c r="E18" s="564">
        <f>(C29+D29)/2</f>
        <v>0</v>
      </c>
      <c r="F18" s="674"/>
      <c r="G18" s="569" t="s">
        <v>1860</v>
      </c>
      <c r="H18" s="14"/>
      <c r="I18" s="14"/>
      <c r="J18" s="14"/>
      <c r="K18" s="14"/>
    </row>
    <row r="19" spans="1:11" ht="13">
      <c r="A19" s="676">
        <v>16</v>
      </c>
      <c r="B19" s="569" t="s">
        <v>1695</v>
      </c>
      <c r="C19" s="674"/>
      <c r="D19" s="674"/>
      <c r="E19" s="564">
        <f>E29</f>
        <v>0</v>
      </c>
      <c r="F19" s="674"/>
      <c r="G19" s="569" t="s">
        <v>1861</v>
      </c>
      <c r="H19" s="14"/>
      <c r="I19" s="14"/>
      <c r="J19" s="14"/>
      <c r="K19" s="14"/>
    </row>
    <row r="20" spans="1:11" ht="13">
      <c r="A20" s="676"/>
      <c r="B20" s="569"/>
      <c r="C20" s="674"/>
      <c r="D20" s="674"/>
      <c r="E20" s="564"/>
      <c r="F20" s="674"/>
      <c r="G20" s="674"/>
      <c r="H20" s="14"/>
      <c r="I20" s="14"/>
      <c r="J20" s="14"/>
      <c r="K20" s="14"/>
    </row>
    <row r="21" spans="1:11" ht="13">
      <c r="A21" s="676"/>
      <c r="B21" s="674"/>
      <c r="C21" s="682" t="s">
        <v>358</v>
      </c>
      <c r="D21" s="682" t="s">
        <v>342</v>
      </c>
      <c r="E21" s="682" t="s">
        <v>343</v>
      </c>
      <c r="F21" s="674"/>
      <c r="G21" s="674"/>
      <c r="H21" s="14"/>
      <c r="I21" s="14"/>
      <c r="J21" s="14"/>
      <c r="K21" s="14"/>
    </row>
    <row r="22" spans="1:11" ht="13">
      <c r="A22" s="676"/>
      <c r="B22" s="674"/>
      <c r="C22" s="676" t="s">
        <v>63</v>
      </c>
      <c r="D22" s="676" t="s">
        <v>63</v>
      </c>
      <c r="E22" s="676" t="s">
        <v>63</v>
      </c>
      <c r="F22" s="674"/>
      <c r="G22" s="674"/>
      <c r="H22" s="14"/>
      <c r="I22" s="14"/>
      <c r="J22" s="14"/>
      <c r="K22" s="14"/>
    </row>
    <row r="23" spans="1:11" ht="14.5">
      <c r="A23" s="676"/>
      <c r="B23" s="676" t="s">
        <v>410</v>
      </c>
      <c r="C23" s="676" t="s">
        <v>380</v>
      </c>
      <c r="D23" s="676" t="s">
        <v>299</v>
      </c>
      <c r="E23" s="907" t="s">
        <v>1696</v>
      </c>
      <c r="F23" s="674"/>
      <c r="G23" s="908" t="s">
        <v>1862</v>
      </c>
      <c r="H23" s="860"/>
      <c r="I23" s="14"/>
      <c r="J23" s="14"/>
      <c r="K23" s="14"/>
    </row>
    <row r="24" spans="1:11" ht="13">
      <c r="A24" s="676"/>
      <c r="B24" s="676" t="s">
        <v>411</v>
      </c>
      <c r="C24" s="676" t="s">
        <v>413</v>
      </c>
      <c r="D24" s="676" t="s">
        <v>413</v>
      </c>
      <c r="E24" s="676" t="s">
        <v>414</v>
      </c>
      <c r="F24" s="674"/>
      <c r="G24" s="908" t="s">
        <v>1863</v>
      </c>
      <c r="H24" s="860"/>
      <c r="I24" s="14"/>
      <c r="J24" s="14"/>
      <c r="K24" s="14"/>
    </row>
    <row r="25" spans="1:11" ht="13">
      <c r="A25" s="676"/>
      <c r="B25" s="905" t="s">
        <v>412</v>
      </c>
      <c r="C25" s="905" t="s">
        <v>412</v>
      </c>
      <c r="D25" s="905" t="s">
        <v>412</v>
      </c>
      <c r="E25" s="905" t="s">
        <v>1697</v>
      </c>
      <c r="F25" s="674"/>
      <c r="G25" s="909" t="s">
        <v>1864</v>
      </c>
      <c r="H25" s="860"/>
      <c r="I25" s="14"/>
      <c r="J25" s="14"/>
      <c r="K25" s="14"/>
    </row>
    <row r="26" spans="1:11" ht="13">
      <c r="A26" s="560">
        <v>17</v>
      </c>
      <c r="B26" s="565"/>
      <c r="C26" s="566"/>
      <c r="D26" s="566"/>
      <c r="E26" s="566"/>
      <c r="F26" s="558"/>
      <c r="G26" s="580"/>
      <c r="H26" s="97"/>
    </row>
    <row r="27" spans="1:11" ht="13">
      <c r="A27" s="560">
        <v>18</v>
      </c>
      <c r="B27" s="565"/>
      <c r="C27" s="566"/>
      <c r="D27" s="566"/>
      <c r="E27" s="566"/>
      <c r="F27" s="558"/>
      <c r="G27" s="580"/>
      <c r="H27" s="97"/>
    </row>
    <row r="28" spans="1:11" ht="13">
      <c r="A28" s="560">
        <v>19</v>
      </c>
      <c r="B28" s="565"/>
      <c r="C28" s="567"/>
      <c r="D28" s="567"/>
      <c r="E28" s="567"/>
      <c r="F28" s="558"/>
      <c r="G28" s="580"/>
      <c r="H28" s="97"/>
    </row>
    <row r="29" spans="1:11" ht="13">
      <c r="A29" s="560">
        <v>20</v>
      </c>
      <c r="B29" s="561" t="s">
        <v>197</v>
      </c>
      <c r="C29" s="568">
        <f>SUM(C26:C28)</f>
        <v>0</v>
      </c>
      <c r="D29" s="568">
        <f>SUM(D26:D28)</f>
        <v>0</v>
      </c>
      <c r="E29" s="568">
        <f>SUM(E26:E28)</f>
        <v>0</v>
      </c>
      <c r="F29" s="558"/>
      <c r="G29" s="561" t="s">
        <v>325</v>
      </c>
    </row>
    <row r="30" spans="1:11" ht="13">
      <c r="A30" s="560"/>
      <c r="B30" s="558"/>
      <c r="C30" s="558"/>
      <c r="D30" s="558"/>
      <c r="E30" s="558"/>
      <c r="F30" s="558"/>
      <c r="G30" s="558"/>
    </row>
    <row r="31" spans="1:11" ht="13">
      <c r="A31" s="560"/>
      <c r="B31" s="557" t="s">
        <v>377</v>
      </c>
      <c r="C31" s="558"/>
      <c r="D31" s="558"/>
      <c r="E31" s="558"/>
      <c r="F31" s="558"/>
      <c r="G31" s="558"/>
    </row>
    <row r="32" spans="1:11" ht="13">
      <c r="A32" s="560"/>
      <c r="B32" s="569" t="s">
        <v>1698</v>
      </c>
      <c r="C32" s="674"/>
      <c r="D32" s="674"/>
      <c r="E32" s="674"/>
      <c r="F32" s="674"/>
      <c r="G32" s="674"/>
      <c r="H32" s="14"/>
    </row>
    <row r="33" spans="1:8" ht="13">
      <c r="A33" s="560"/>
      <c r="B33" s="569" t="s">
        <v>415</v>
      </c>
      <c r="C33" s="14"/>
      <c r="D33" s="14"/>
      <c r="E33" s="14"/>
      <c r="F33" s="14"/>
      <c r="G33" s="14"/>
      <c r="H33" s="14"/>
    </row>
    <row r="34" spans="1:8" ht="13">
      <c r="A34" s="560"/>
      <c r="B34" s="910" t="s">
        <v>499</v>
      </c>
      <c r="C34" s="14"/>
      <c r="D34" s="14"/>
      <c r="E34" s="14"/>
      <c r="F34" s="14"/>
      <c r="G34" s="14"/>
      <c r="H34" s="14"/>
    </row>
    <row r="35" spans="1:8" ht="13">
      <c r="A35" s="560"/>
      <c r="B35" s="910" t="s">
        <v>500</v>
      </c>
      <c r="C35" s="14"/>
      <c r="D35" s="14"/>
      <c r="E35" s="860"/>
      <c r="F35" s="14"/>
      <c r="G35" s="14"/>
      <c r="H35" s="14"/>
    </row>
    <row r="36" spans="1:8" ht="13">
      <c r="A36" s="560"/>
      <c r="B36" s="569" t="s">
        <v>416</v>
      </c>
      <c r="C36" s="14"/>
      <c r="D36" s="14"/>
      <c r="E36" s="14"/>
      <c r="F36" s="14"/>
      <c r="G36" s="14"/>
      <c r="H36" s="14"/>
    </row>
    <row r="37" spans="1:8" ht="13">
      <c r="A37" s="560"/>
    </row>
    <row r="38" spans="1:8" ht="13">
      <c r="A38" s="560"/>
      <c r="B38" s="558"/>
    </row>
    <row r="39" spans="1:8" ht="13">
      <c r="A39" s="560"/>
      <c r="B39" s="558"/>
    </row>
  </sheetData>
  <pageMargins left="0.7" right="0.7" top="0.75" bottom="0.75" header="0.3" footer="0.3"/>
  <pageSetup orientation="landscape" cellComments="asDisplayed" r:id="rId1"/>
  <headerFooter>
    <oddHeader>&amp;CSchedule 23
Regulatory Assets and Liabilities
&amp;RTO2021 Draft Annual Update 
Attachment 1</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3"/>
  <sheetViews>
    <sheetView zoomScaleNormal="100" workbookViewId="0"/>
  </sheetViews>
  <sheetFormatPr defaultRowHeight="12.5"/>
  <cols>
    <col min="1" max="1" width="3.54296875" customWidth="1"/>
    <col min="2" max="2" width="45.54296875" customWidth="1"/>
    <col min="3" max="3" width="13.54296875" bestFit="1" customWidth="1"/>
  </cols>
  <sheetData>
    <row r="1" spans="1:6" ht="13">
      <c r="A1" s="1" t="s">
        <v>1419</v>
      </c>
    </row>
    <row r="3" spans="1:6">
      <c r="A3" s="467" t="s">
        <v>1636</v>
      </c>
    </row>
    <row r="5" spans="1:6" ht="13">
      <c r="B5" s="3" t="s">
        <v>174</v>
      </c>
      <c r="C5" s="3" t="s">
        <v>175</v>
      </c>
    </row>
    <row r="6" spans="1:6">
      <c r="B6" t="s">
        <v>95</v>
      </c>
      <c r="C6" s="7">
        <f>'1-BaseTRR'!K144</f>
        <v>1046101329.8604616</v>
      </c>
    </row>
    <row r="7" spans="1:6">
      <c r="B7" t="s">
        <v>318</v>
      </c>
      <c r="C7" s="7">
        <f>'1-BaseTRR'!K150</f>
        <v>99229917.350079104</v>
      </c>
    </row>
    <row r="8" spans="1:6" ht="13">
      <c r="B8" t="s">
        <v>96</v>
      </c>
      <c r="C8" s="101">
        <f>'1-BaseTRR'!K151</f>
        <v>-59288736.506845497</v>
      </c>
      <c r="E8" s="1"/>
    </row>
    <row r="9" spans="1:6" ht="13">
      <c r="B9" s="469" t="s">
        <v>1871</v>
      </c>
      <c r="C9" s="91">
        <f>'1-BaseTRR'!K152</f>
        <v>0</v>
      </c>
      <c r="E9" s="1"/>
    </row>
    <row r="10" spans="1:6">
      <c r="B10" t="s">
        <v>1637</v>
      </c>
      <c r="C10" s="7">
        <f>SUM(C6:C9)</f>
        <v>1086042510.7036953</v>
      </c>
    </row>
    <row r="12" spans="1:6">
      <c r="A12" t="s">
        <v>544</v>
      </c>
    </row>
    <row r="14" spans="1:6">
      <c r="B14" t="s">
        <v>203</v>
      </c>
    </row>
    <row r="15" spans="1:6">
      <c r="B15" s="471" t="s">
        <v>1770</v>
      </c>
      <c r="E15" s="14"/>
      <c r="F15" s="14"/>
    </row>
    <row r="16" spans="1:6">
      <c r="B16" s="16"/>
    </row>
    <row r="17" spans="2:2">
      <c r="B17" t="s">
        <v>543</v>
      </c>
    </row>
    <row r="18" spans="2:2">
      <c r="B18" s="469" t="s">
        <v>1771</v>
      </c>
    </row>
    <row r="19" spans="2:2">
      <c r="B19" s="16"/>
    </row>
    <row r="20" spans="2:2">
      <c r="B20" s="65" t="s">
        <v>1197</v>
      </c>
    </row>
    <row r="21" spans="2:2">
      <c r="B21" s="466" t="s">
        <v>1772</v>
      </c>
    </row>
    <row r="23" spans="2:2">
      <c r="B23" s="469" t="s">
        <v>1872</v>
      </c>
    </row>
  </sheetData>
  <phoneticPr fontId="23" type="noConversion"/>
  <pageMargins left="0.75" right="0.75" top="1.25" bottom="1" header="0.5" footer="0.5"/>
  <pageSetup orientation="landscape" r:id="rId1"/>
  <headerFooter alignWithMargins="0">
    <oddHeader>&amp;COverview
&amp;RTO2021 Draft Annual Update 
Attachment 1</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96"/>
  <sheetViews>
    <sheetView zoomScaleNormal="100" workbookViewId="0"/>
  </sheetViews>
  <sheetFormatPr defaultRowHeight="12.5"/>
  <cols>
    <col min="1" max="2" width="4.54296875" customWidth="1"/>
    <col min="3" max="3" width="28.54296875" customWidth="1"/>
    <col min="4" max="8" width="14.54296875" customWidth="1"/>
  </cols>
  <sheetData>
    <row r="1" spans="1:9" ht="14.5">
      <c r="A1" s="1" t="s">
        <v>1233</v>
      </c>
      <c r="I1" s="364"/>
    </row>
    <row r="3" spans="1:9" ht="13">
      <c r="B3" s="1" t="s">
        <v>1495</v>
      </c>
    </row>
    <row r="4" spans="1:9" ht="13">
      <c r="B4" s="1"/>
    </row>
    <row r="5" spans="1:9" ht="13">
      <c r="B5" s="1"/>
      <c r="C5" s="1" t="s">
        <v>1384</v>
      </c>
      <c r="D5" s="84" t="s">
        <v>358</v>
      </c>
      <c r="E5" s="84" t="s">
        <v>342</v>
      </c>
      <c r="F5" s="84" t="s">
        <v>343</v>
      </c>
    </row>
    <row r="6" spans="1:9" ht="14.5">
      <c r="D6" s="238" t="s">
        <v>63</v>
      </c>
      <c r="E6" s="238" t="s">
        <v>63</v>
      </c>
      <c r="F6" s="238" t="s">
        <v>198</v>
      </c>
    </row>
    <row r="7" spans="1:9" ht="14.5">
      <c r="C7" s="1"/>
      <c r="D7" s="238" t="s">
        <v>299</v>
      </c>
      <c r="E7" s="238" t="s">
        <v>229</v>
      </c>
      <c r="F7" s="238" t="s">
        <v>199</v>
      </c>
    </row>
    <row r="8" spans="1:9" ht="13">
      <c r="A8" s="3" t="s">
        <v>329</v>
      </c>
      <c r="C8" s="3" t="s">
        <v>224</v>
      </c>
      <c r="D8" s="3" t="s">
        <v>175</v>
      </c>
      <c r="E8" s="3" t="s">
        <v>175</v>
      </c>
      <c r="F8" s="3" t="s">
        <v>175</v>
      </c>
      <c r="G8" s="3" t="s">
        <v>179</v>
      </c>
    </row>
    <row r="9" spans="1:9" ht="13">
      <c r="A9" s="2">
        <v>1</v>
      </c>
      <c r="C9" s="94" t="s">
        <v>1246</v>
      </c>
      <c r="D9" s="63">
        <f>'10-CWIP'!E25</f>
        <v>157682.99</v>
      </c>
      <c r="E9" s="63">
        <f>'10-CWIP'!E26</f>
        <v>156779.51307692306</v>
      </c>
      <c r="F9" s="63">
        <f>'10-CWIP'!K113</f>
        <v>-157682.99000000002</v>
      </c>
      <c r="G9" s="46" t="str">
        <f>"10-CWIP, Lines "&amp;'10-CWIP'!A25&amp;", "&amp;'10-CWIP'!A26&amp;", "&amp;'10-CWIP'!A113&amp;""</f>
        <v>10-CWIP, Lines 13, 14, 80</v>
      </c>
    </row>
    <row r="10" spans="1:9" ht="13">
      <c r="A10" s="2">
        <f>A9+1</f>
        <v>2</v>
      </c>
      <c r="C10" s="94" t="s">
        <v>1247</v>
      </c>
      <c r="D10" s="63">
        <f>'10-CWIP'!F25</f>
        <v>0</v>
      </c>
      <c r="E10" s="63">
        <f>'10-CWIP'!F26</f>
        <v>0</v>
      </c>
      <c r="F10" s="63">
        <f>'10-CWIP'!K146</f>
        <v>0</v>
      </c>
      <c r="G10" s="46" t="str">
        <f>"10-CWIP, Lines "&amp;'10-CWIP'!A25&amp;", "&amp;'10-CWIP'!A26&amp;", "&amp;'10-CWIP'!A146&amp;""</f>
        <v>10-CWIP, Lines 13, 14, 106</v>
      </c>
    </row>
    <row r="11" spans="1:9" ht="13">
      <c r="A11" s="2">
        <f t="shared" ref="A11:A20" si="0">A10+1</f>
        <v>3</v>
      </c>
      <c r="C11" s="465" t="s">
        <v>1251</v>
      </c>
      <c r="D11" s="63">
        <f>'10-CWIP'!G25</f>
        <v>5584199.04</v>
      </c>
      <c r="E11" s="63">
        <f>'10-CWIP'!G26</f>
        <v>5454201.1723076934</v>
      </c>
      <c r="F11" s="63">
        <f>'10-CWIP'!K179</f>
        <v>21500</v>
      </c>
      <c r="G11" s="46" t="str">
        <f>"10-CWIP, Lines "&amp;'10-CWIP'!A25&amp;", "&amp;'10-CWIP'!A26&amp;", "&amp;'10-CWIP'!A179&amp;""</f>
        <v>10-CWIP, Lines 13, 14, 132</v>
      </c>
    </row>
    <row r="12" spans="1:9" ht="13">
      <c r="A12" s="2">
        <f t="shared" si="0"/>
        <v>4</v>
      </c>
      <c r="C12" s="465" t="s">
        <v>1252</v>
      </c>
      <c r="D12" s="63">
        <f>'10-CWIP'!H25</f>
        <v>468121962.68000001</v>
      </c>
      <c r="E12" s="63">
        <f>'10-CWIP'!H26</f>
        <v>355612330.7961539</v>
      </c>
      <c r="F12" s="63">
        <f>'10-CWIP'!K212</f>
        <v>-419183167.20692325</v>
      </c>
      <c r="G12" s="46" t="str">
        <f>"10-CWIP, Lines "&amp;'10-CWIP'!A25&amp;", "&amp;'10-CWIP'!A26&amp;", "&amp;'10-CWIP'!A212&amp;""</f>
        <v>10-CWIP, Lines 13, 14, 158</v>
      </c>
    </row>
    <row r="13" spans="1:9" ht="13">
      <c r="A13" s="2">
        <f t="shared" si="0"/>
        <v>5</v>
      </c>
      <c r="C13" s="94" t="s">
        <v>1248</v>
      </c>
      <c r="D13" s="63">
        <f>'10-CWIP'!I25</f>
        <v>0</v>
      </c>
      <c r="E13" s="63">
        <f>'10-CWIP'!I26</f>
        <v>0</v>
      </c>
      <c r="F13" s="63">
        <f>'10-CWIP'!K245</f>
        <v>0</v>
      </c>
      <c r="G13" s="46" t="str">
        <f>"10-CWIP, Lines "&amp;'10-CWIP'!A25&amp;", "&amp;'10-CWIP'!A26&amp;", "&amp;'10-CWIP'!A245&amp;""</f>
        <v>10-CWIP, Lines 13, 14, 184</v>
      </c>
    </row>
    <row r="14" spans="1:9" ht="13">
      <c r="A14" s="2">
        <f t="shared" si="0"/>
        <v>6</v>
      </c>
      <c r="C14" s="94" t="s">
        <v>1249</v>
      </c>
      <c r="D14" s="63">
        <f>'10-CWIP'!D45</f>
        <v>0</v>
      </c>
      <c r="E14" s="63">
        <f>'10-CWIP'!D46</f>
        <v>0</v>
      </c>
      <c r="F14" s="63">
        <f>'10-CWIP'!K278</f>
        <v>0</v>
      </c>
      <c r="G14" s="46" t="str">
        <f>"10-CWIP, Lines "&amp;'10-CWIP'!A45&amp;", "&amp;'10-CWIP'!A46&amp;", "&amp;'10-CWIP'!A278&amp;""</f>
        <v>10-CWIP, Lines 27, 28, 210</v>
      </c>
    </row>
    <row r="15" spans="1:9" ht="13">
      <c r="A15" s="2">
        <f t="shared" si="0"/>
        <v>7</v>
      </c>
      <c r="C15" s="94" t="s">
        <v>1250</v>
      </c>
      <c r="D15" s="63">
        <f>'10-CWIP'!E45</f>
        <v>301246.76</v>
      </c>
      <c r="E15" s="63">
        <f>'10-CWIP'!E46</f>
        <v>88742.059230769228</v>
      </c>
      <c r="F15" s="63">
        <f>'10-CWIP'!K311</f>
        <v>4760153.9834615383</v>
      </c>
      <c r="G15" s="46" t="str">
        <f>"10-CWIP, Lines "&amp;'10-CWIP'!A45&amp;", "&amp;'10-CWIP'!A46&amp;", "&amp;'10-CWIP'!A311&amp;""</f>
        <v>10-CWIP, Lines 27, 28, 236</v>
      </c>
    </row>
    <row r="16" spans="1:9" ht="13">
      <c r="A16" s="2">
        <f t="shared" si="0"/>
        <v>8</v>
      </c>
      <c r="C16" s="849" t="s">
        <v>2430</v>
      </c>
      <c r="D16" s="63">
        <f>'10-CWIP'!F45</f>
        <v>49845413.409999996</v>
      </c>
      <c r="E16" s="63">
        <f>'10-CWIP'!F46</f>
        <v>143742844.59846157</v>
      </c>
      <c r="F16" s="63">
        <f>'10-CWIP'!K344</f>
        <v>50282477.689230785</v>
      </c>
      <c r="G16" s="46" t="str">
        <f>"10-CWIP, Lines "&amp;'10-CWIP'!A45&amp;", "&amp;'10-CWIP'!A46&amp;", "&amp;'10-CWIP'!A344&amp;""</f>
        <v>10-CWIP, Lines 27, 28, 262</v>
      </c>
    </row>
    <row r="17" spans="1:7" ht="13">
      <c r="A17" s="2">
        <f t="shared" si="0"/>
        <v>9</v>
      </c>
      <c r="C17" s="849" t="s">
        <v>2431</v>
      </c>
      <c r="D17" s="63">
        <f>'10-CWIP'!G45</f>
        <v>21762814.390000001</v>
      </c>
      <c r="E17" s="63">
        <f>'10-CWIP'!G46</f>
        <v>20834671.990000002</v>
      </c>
      <c r="F17" s="63">
        <f>'10-CWIP'!K377</f>
        <v>831534.66580000147</v>
      </c>
      <c r="G17" s="46" t="str">
        <f>"10-CWIP, Lines "&amp;'10-CWIP'!A45&amp;", "&amp;'10-CWIP'!A46&amp;", "&amp;'10-CWIP'!A377&amp;""</f>
        <v>10-CWIP, Lines 27, 28, 288</v>
      </c>
    </row>
    <row r="18" spans="1:7" ht="13">
      <c r="A18" s="2">
        <f t="shared" si="0"/>
        <v>10</v>
      </c>
      <c r="C18" s="849" t="s">
        <v>2432</v>
      </c>
      <c r="D18" s="878">
        <f>'10-CWIP'!H45</f>
        <v>101708198.75</v>
      </c>
      <c r="E18" s="878">
        <f>'10-CWIP'!H46</f>
        <v>75591749.700000003</v>
      </c>
      <c r="F18" s="878">
        <f>'10-CWIP'!K410</f>
        <v>-8452843.93307692</v>
      </c>
      <c r="G18" s="46" t="str">
        <f>"10-CWIP, Lines "&amp;'10-CWIP'!A45&amp;", "&amp;'10-CWIP'!A46&amp;", "&amp;'10-CWIP'!A410&amp;""</f>
        <v>10-CWIP, Lines 27, 28, 314</v>
      </c>
    </row>
    <row r="19" spans="1:7" ht="13">
      <c r="A19" s="2">
        <f t="shared" si="0"/>
        <v>11</v>
      </c>
      <c r="C19" s="400"/>
      <c r="D19" s="358">
        <f>'10-CWIP'!I45</f>
        <v>0</v>
      </c>
      <c r="E19" s="358" t="str">
        <f>'10-CWIP'!I46</f>
        <v>---</v>
      </c>
      <c r="F19" s="58">
        <f>'10-CWIP'!K443</f>
        <v>0</v>
      </c>
      <c r="G19" s="46" t="str">
        <f>"10-CWIP, Lines "&amp;'10-CWIP'!A45&amp;", "&amp;'10-CWIP'!A46&amp;", 340"</f>
        <v>10-CWIP, Lines 27, 28, 340</v>
      </c>
    </row>
    <row r="20" spans="1:7" ht="13">
      <c r="A20" s="2">
        <f t="shared" si="0"/>
        <v>12</v>
      </c>
      <c r="C20" s="94" t="s">
        <v>197</v>
      </c>
      <c r="D20" s="63">
        <f>SUM(D9:D19)</f>
        <v>647481518.01999998</v>
      </c>
      <c r="E20" s="63">
        <f>SUM(E9:E19)</f>
        <v>601481319.8292309</v>
      </c>
      <c r="F20" s="63">
        <f>SUM(F9:F19)</f>
        <v>-371898027.79150784</v>
      </c>
      <c r="G20" s="13" t="str">
        <f>"Sum of Lines "&amp;A9&amp;" to "&amp;A19&amp;""</f>
        <v>Sum of Lines 1 to 11</v>
      </c>
    </row>
    <row r="21" spans="1:7" ht="13">
      <c r="A21" s="2"/>
      <c r="C21" s="1"/>
    </row>
    <row r="22" spans="1:7" ht="14.5">
      <c r="A22" s="2"/>
      <c r="C22" s="1" t="s">
        <v>1245</v>
      </c>
      <c r="D22" s="238" t="s">
        <v>299</v>
      </c>
      <c r="E22" s="238" t="s">
        <v>229</v>
      </c>
      <c r="F22" s="13"/>
    </row>
    <row r="23" spans="1:7" ht="13">
      <c r="D23" s="3" t="s">
        <v>175</v>
      </c>
      <c r="E23" s="3" t="s">
        <v>175</v>
      </c>
      <c r="F23" s="3" t="s">
        <v>179</v>
      </c>
    </row>
    <row r="24" spans="1:7" ht="13">
      <c r="A24" s="2">
        <f>A20+1</f>
        <v>13</v>
      </c>
      <c r="C24" s="94" t="s">
        <v>1385</v>
      </c>
      <c r="D24" s="7">
        <f>D20</f>
        <v>647481518.01999998</v>
      </c>
      <c r="E24" s="7">
        <f>E20</f>
        <v>601481319.8292309</v>
      </c>
      <c r="F24" s="113" t="str">
        <f>"Line "&amp;A20&amp;""</f>
        <v>Line 12</v>
      </c>
      <c r="G24" s="14"/>
    </row>
    <row r="25" spans="1:7" ht="13">
      <c r="A25" s="2">
        <f>A24+1</f>
        <v>14</v>
      </c>
      <c r="C25" s="94" t="s">
        <v>1234</v>
      </c>
      <c r="D25" s="8">
        <f>'1-BaseTRR'!K93</f>
        <v>7.3723929842257674E-2</v>
      </c>
      <c r="E25" s="8">
        <f>'1-BaseTRR'!K93</f>
        <v>7.3723929842257674E-2</v>
      </c>
      <c r="F25" s="113" t="str">
        <f>"1-BaseTRR, Line "&amp;'1-BaseTRR'!A93&amp;""</f>
        <v>1-BaseTRR, Line 54</v>
      </c>
      <c r="G25" s="14"/>
    </row>
    <row r="26" spans="1:7" ht="13">
      <c r="A26" s="2">
        <f>A25+1</f>
        <v>15</v>
      </c>
      <c r="C26" s="37" t="s">
        <v>1386</v>
      </c>
      <c r="D26" s="7">
        <f>D24*D25</f>
        <v>47734882.008664973</v>
      </c>
      <c r="E26" s="7">
        <f>E24*E25</f>
        <v>44343566.624518767</v>
      </c>
      <c r="F26" s="113" t="str">
        <f>"Line "&amp;A24&amp;" * Line "&amp;A25&amp;""</f>
        <v>Line 13 * Line 14</v>
      </c>
      <c r="G26" s="14"/>
    </row>
    <row r="27" spans="1:7">
      <c r="F27" s="14"/>
    </row>
    <row r="28" spans="1:7" ht="13">
      <c r="C28" s="1" t="s">
        <v>86</v>
      </c>
      <c r="F28" s="14"/>
    </row>
    <row r="29" spans="1:7" ht="14.5">
      <c r="D29" s="238" t="s">
        <v>299</v>
      </c>
      <c r="E29" s="238" t="s">
        <v>229</v>
      </c>
      <c r="F29" s="14"/>
    </row>
    <row r="30" spans="1:7" ht="13">
      <c r="D30" s="3" t="s">
        <v>175</v>
      </c>
      <c r="E30" s="3" t="s">
        <v>175</v>
      </c>
      <c r="F30" s="123" t="s">
        <v>179</v>
      </c>
    </row>
    <row r="31" spans="1:7" ht="14.5">
      <c r="A31" s="238">
        <f>A26+1</f>
        <v>16</v>
      </c>
      <c r="C31" s="94" t="s">
        <v>1385</v>
      </c>
      <c r="D31" s="7">
        <f>D20</f>
        <v>647481518.01999998</v>
      </c>
      <c r="E31" s="7">
        <f>E20</f>
        <v>601481319.8292309</v>
      </c>
      <c r="F31" s="113" t="str">
        <f>"Line "&amp;A20&amp;""</f>
        <v>Line 12</v>
      </c>
      <c r="G31" s="14"/>
    </row>
    <row r="32" spans="1:7" ht="13">
      <c r="A32" s="2">
        <f t="shared" ref="A32:A38" si="1">A31+1</f>
        <v>17</v>
      </c>
      <c r="C32" s="357" t="s">
        <v>1387</v>
      </c>
      <c r="D32" s="8">
        <f>'1-BaseTRR'!K95</f>
        <v>5.3103269910318773E-2</v>
      </c>
      <c r="E32" s="8">
        <f>'1-BaseTRR'!K95</f>
        <v>5.3103269910318773E-2</v>
      </c>
      <c r="F32" s="113" t="str">
        <f>"1-BaseTRR, Line "&amp;'1-BaseTRR'!A95&amp;""</f>
        <v>1-BaseTRR, Line 55</v>
      </c>
      <c r="G32" s="14"/>
    </row>
    <row r="33" spans="1:7" ht="13">
      <c r="A33" s="2">
        <f t="shared" si="1"/>
        <v>18</v>
      </c>
      <c r="C33" s="357" t="s">
        <v>1042</v>
      </c>
      <c r="D33" s="8">
        <f>'1-BaseTRR'!K104</f>
        <v>0.27983599999999997</v>
      </c>
      <c r="E33" s="8">
        <f>'1-BaseTRR'!K104</f>
        <v>0.27983599999999997</v>
      </c>
      <c r="F33" s="113" t="str">
        <f>"1-BaseTRR, Line "&amp;'1-BaseTRR'!A104&amp;""</f>
        <v>1-BaseTRR, Line 59</v>
      </c>
      <c r="G33" s="14"/>
    </row>
    <row r="34" spans="1:7" ht="13">
      <c r="A34" s="2">
        <f t="shared" si="1"/>
        <v>19</v>
      </c>
      <c r="C34" s="357" t="s">
        <v>262</v>
      </c>
      <c r="D34" s="63">
        <f>((D24*D32)*(D33/(1-D33)))</f>
        <v>13360441.722256491</v>
      </c>
      <c r="E34" s="63">
        <f>((E24*E32)*(E33/(1-E33)))</f>
        <v>12411251.745345004</v>
      </c>
      <c r="F34" s="466" t="str">
        <f>"Formula on Line "&amp;A36&amp;""</f>
        <v>Formula on Line 21</v>
      </c>
      <c r="G34" s="14"/>
    </row>
    <row r="35" spans="1:7" ht="13">
      <c r="A35" s="2">
        <f t="shared" si="1"/>
        <v>20</v>
      </c>
      <c r="C35" s="14"/>
      <c r="D35" s="14"/>
      <c r="E35" s="14"/>
      <c r="F35" s="14"/>
      <c r="G35" s="14"/>
    </row>
    <row r="36" spans="1:7" ht="13">
      <c r="A36" s="2">
        <f t="shared" si="1"/>
        <v>21</v>
      </c>
      <c r="C36" s="46" t="str">
        <f>"Income Taxes = [(RB * ER) * (CTR/(1 – CTR)], or [(L"&amp;A24&amp;" * L"&amp;A32&amp;") * (L"&amp;A33&amp;" / (1 - L"&amp;A33&amp;")]"</f>
        <v>Income Taxes = [(RB * ER) * (CTR/(1 – CTR)], or [(L13 * L17) * (L18 / (1 - L18)]</v>
      </c>
      <c r="D36" s="14"/>
      <c r="E36" s="63"/>
      <c r="F36" s="15"/>
      <c r="G36" s="14"/>
    </row>
    <row r="37" spans="1:7" ht="13">
      <c r="A37" s="2">
        <f t="shared" si="1"/>
        <v>22</v>
      </c>
      <c r="C37" s="466" t="s">
        <v>1761</v>
      </c>
      <c r="D37" s="14"/>
      <c r="E37" s="63"/>
      <c r="F37" s="15"/>
      <c r="G37" s="14"/>
    </row>
    <row r="38" spans="1:7" ht="13">
      <c r="A38" s="2">
        <f t="shared" si="1"/>
        <v>23</v>
      </c>
      <c r="D38" s="13"/>
      <c r="E38" s="7"/>
      <c r="F38" s="12"/>
      <c r="G38" s="13"/>
    </row>
    <row r="39" spans="1:7" ht="13">
      <c r="C39" s="1" t="s">
        <v>1242</v>
      </c>
    </row>
    <row r="40" spans="1:7" ht="13">
      <c r="D40" s="3" t="s">
        <v>171</v>
      </c>
      <c r="E40" s="3" t="s">
        <v>179</v>
      </c>
    </row>
    <row r="41" spans="1:7" ht="13">
      <c r="A41" s="2">
        <f>A38+1</f>
        <v>24</v>
      </c>
      <c r="C41" s="357" t="s">
        <v>489</v>
      </c>
      <c r="D41" s="63">
        <f>'15-IncentiveAdder'!G17</f>
        <v>6595.7198638087975</v>
      </c>
      <c r="E41" s="113" t="str">
        <f>"15-IncentiveAdder, Line "&amp;'15-IncentiveAdder'!A17&amp;""</f>
        <v>15-IncentiveAdder, Line 3</v>
      </c>
      <c r="F41" s="14"/>
      <c r="G41" s="14"/>
    </row>
    <row r="42" spans="1:7">
      <c r="C42" s="14"/>
      <c r="D42" s="14"/>
      <c r="E42" s="14"/>
      <c r="F42" s="14"/>
      <c r="G42" s="14"/>
    </row>
    <row r="43" spans="1:7" ht="13">
      <c r="C43" s="911" t="s">
        <v>336</v>
      </c>
      <c r="D43" s="14"/>
      <c r="E43" s="14"/>
      <c r="F43" s="14"/>
      <c r="G43" s="14"/>
    </row>
    <row r="44" spans="1:7" ht="14.5">
      <c r="C44" s="14"/>
      <c r="D44" s="912" t="s">
        <v>299</v>
      </c>
      <c r="E44" s="912" t="s">
        <v>229</v>
      </c>
      <c r="F44" s="14"/>
      <c r="G44" s="14"/>
    </row>
    <row r="45" spans="1:7" ht="13">
      <c r="C45" s="14"/>
      <c r="D45" s="123" t="s">
        <v>175</v>
      </c>
      <c r="E45" s="123" t="s">
        <v>175</v>
      </c>
      <c r="F45" s="14"/>
      <c r="G45" s="14"/>
    </row>
    <row r="46" spans="1:7" ht="13">
      <c r="A46" s="2">
        <f>A41+1</f>
        <v>25</v>
      </c>
      <c r="C46" s="357" t="s">
        <v>1388</v>
      </c>
      <c r="D46" s="63">
        <f>D9</f>
        <v>157682.99</v>
      </c>
      <c r="E46" s="63">
        <f>E9</f>
        <v>156779.51307692306</v>
      </c>
      <c r="F46" s="113" t="str">
        <f>"Line "&amp;A9&amp;""</f>
        <v>Line 1</v>
      </c>
      <c r="G46" s="14"/>
    </row>
    <row r="47" spans="1:7" ht="13">
      <c r="A47" s="2">
        <f>A46+1</f>
        <v>26</v>
      </c>
      <c r="C47" s="357" t="s">
        <v>1236</v>
      </c>
      <c r="D47" s="78">
        <f>'15-IncentiveAdder'!E26</f>
        <v>1.2500000000000001E-2</v>
      </c>
      <c r="E47" s="78">
        <f>'15-IncentiveAdder'!E26</f>
        <v>1.2500000000000001E-2</v>
      </c>
      <c r="F47" s="113" t="str">
        <f>"15-IncentiveAdder, Line "&amp;'15-IncentiveAdder'!A26&amp;""</f>
        <v>15-IncentiveAdder, Line 5</v>
      </c>
      <c r="G47" s="14"/>
    </row>
    <row r="48" spans="1:7" ht="13">
      <c r="A48" s="2">
        <f>A47+1</f>
        <v>27</v>
      </c>
      <c r="C48" s="357" t="s">
        <v>1389</v>
      </c>
      <c r="D48" s="63">
        <f>(D46/1000000)*($D$41*(D47/0.01))</f>
        <v>1300.041036659705</v>
      </c>
      <c r="E48" s="63">
        <f>(E46/1000000)*($D$41*(E47/0.01))</f>
        <v>1292.5921857996659</v>
      </c>
      <c r="F48" s="466" t="str">
        <f>"Formula on Line "&amp;A57&amp;""</f>
        <v>Formula on Line 32</v>
      </c>
      <c r="G48" s="14"/>
    </row>
    <row r="49" spans="1:7">
      <c r="C49" s="369"/>
      <c r="D49" s="14"/>
      <c r="E49" s="14"/>
      <c r="F49" s="14"/>
      <c r="G49" s="14"/>
    </row>
    <row r="50" spans="1:7" ht="13">
      <c r="C50" s="911" t="s">
        <v>1243</v>
      </c>
      <c r="D50" s="14"/>
      <c r="E50" s="123"/>
      <c r="F50" s="123"/>
      <c r="G50" s="14"/>
    </row>
    <row r="51" spans="1:7" ht="14.5">
      <c r="C51" s="14"/>
      <c r="D51" s="912" t="s">
        <v>299</v>
      </c>
      <c r="E51" s="912" t="s">
        <v>229</v>
      </c>
      <c r="F51" s="14"/>
      <c r="G51" s="14"/>
    </row>
    <row r="52" spans="1:7" ht="13">
      <c r="C52" s="14"/>
      <c r="D52" s="123" t="s">
        <v>175</v>
      </c>
      <c r="E52" s="123" t="s">
        <v>175</v>
      </c>
      <c r="F52" s="14"/>
      <c r="G52" s="14"/>
    </row>
    <row r="53" spans="1:7" ht="13">
      <c r="A53" s="2">
        <f>A48+1</f>
        <v>28</v>
      </c>
      <c r="C53" s="849" t="s">
        <v>1410</v>
      </c>
      <c r="D53" s="63">
        <f>D10</f>
        <v>0</v>
      </c>
      <c r="E53" s="63">
        <f>E10</f>
        <v>0</v>
      </c>
      <c r="F53" s="113" t="str">
        <f>"Line "&amp;A10&amp;""</f>
        <v>Line 2</v>
      </c>
      <c r="G53" s="14"/>
    </row>
    <row r="54" spans="1:7" ht="13">
      <c r="A54" s="2">
        <f>A53+1</f>
        <v>29</v>
      </c>
      <c r="C54" s="357" t="s">
        <v>1236</v>
      </c>
      <c r="D54" s="78">
        <f>'15-IncentiveAdder'!E27</f>
        <v>0.01</v>
      </c>
      <c r="E54" s="78">
        <f>'15-IncentiveAdder'!E27</f>
        <v>0.01</v>
      </c>
      <c r="F54" s="113" t="str">
        <f>"15-IncentiveAdder, Line "&amp;'15-IncentiveAdder'!A27&amp;""</f>
        <v>15-IncentiveAdder, Line 6</v>
      </c>
      <c r="G54" s="14"/>
    </row>
    <row r="55" spans="1:7" ht="13">
      <c r="A55" s="2">
        <f>A54+1</f>
        <v>30</v>
      </c>
      <c r="C55" s="357" t="s">
        <v>1389</v>
      </c>
      <c r="D55" s="63">
        <f>(D53/1000000)*($D$41*(D54/0.01))</f>
        <v>0</v>
      </c>
      <c r="E55" s="63">
        <f>(E53/1000000)*($D$41*(E54/0.01))</f>
        <v>0</v>
      </c>
      <c r="F55" s="466" t="str">
        <f>"Formula on Line "&amp;A57&amp;""</f>
        <v>Formula on Line 32</v>
      </c>
      <c r="G55" s="14"/>
    </row>
    <row r="56" spans="1:7" ht="13">
      <c r="A56" s="2">
        <f>A55+1</f>
        <v>31</v>
      </c>
      <c r="C56" s="14"/>
      <c r="D56" s="109"/>
      <c r="E56" s="63"/>
      <c r="F56" s="46"/>
      <c r="G56" s="14"/>
    </row>
    <row r="57" spans="1:7" ht="13">
      <c r="A57" s="2">
        <f>A56+1</f>
        <v>32</v>
      </c>
      <c r="C57" s="848" t="s">
        <v>1837</v>
      </c>
      <c r="D57" s="63"/>
      <c r="E57" s="46"/>
      <c r="F57" s="14"/>
      <c r="G57" s="14"/>
    </row>
    <row r="59" spans="1:7" ht="13">
      <c r="C59" s="1" t="s">
        <v>1496</v>
      </c>
    </row>
    <row r="60" spans="1:7" ht="13">
      <c r="C60" s="1"/>
    </row>
    <row r="61" spans="1:7" ht="14.5">
      <c r="C61" s="1"/>
      <c r="E61" s="238" t="s">
        <v>279</v>
      </c>
    </row>
    <row r="62" spans="1:7" ht="14.5">
      <c r="C62" s="1"/>
      <c r="D62" s="238" t="s">
        <v>1391</v>
      </c>
      <c r="E62" s="238" t="s">
        <v>957</v>
      </c>
    </row>
    <row r="63" spans="1:7" ht="13">
      <c r="D63" s="3" t="s">
        <v>175</v>
      </c>
      <c r="E63" s="3" t="s">
        <v>175</v>
      </c>
      <c r="F63" s="3" t="s">
        <v>179</v>
      </c>
    </row>
    <row r="64" spans="1:7" ht="13">
      <c r="A64" s="2">
        <f>A57+1</f>
        <v>33</v>
      </c>
      <c r="C64" s="94" t="s">
        <v>1235</v>
      </c>
      <c r="D64" s="7">
        <f>D26</f>
        <v>47734882.008664973</v>
      </c>
      <c r="E64" s="7">
        <f>E26</f>
        <v>44343566.624518767</v>
      </c>
      <c r="F64" s="113" t="str">
        <f>"Line "&amp;A26&amp;""</f>
        <v>Line 15</v>
      </c>
      <c r="G64" s="14"/>
    </row>
    <row r="65" spans="1:10" ht="13">
      <c r="A65" s="2">
        <f>A64+1</f>
        <v>34</v>
      </c>
      <c r="C65" s="94" t="s">
        <v>262</v>
      </c>
      <c r="D65" s="7">
        <f>D34</f>
        <v>13360441.722256491</v>
      </c>
      <c r="E65" s="7">
        <f>E34</f>
        <v>12411251.745345004</v>
      </c>
      <c r="F65" s="113" t="str">
        <f>"Line "&amp;A34&amp;""</f>
        <v>Line 19</v>
      </c>
      <c r="G65" s="14"/>
    </row>
    <row r="66" spans="1:10" ht="13">
      <c r="A66" s="2">
        <f>A65+1</f>
        <v>35</v>
      </c>
      <c r="C66" s="94" t="s">
        <v>1237</v>
      </c>
      <c r="D66" s="7">
        <f>D48</f>
        <v>1300.041036659705</v>
      </c>
      <c r="E66" s="7">
        <f>E48</f>
        <v>1292.5921857996659</v>
      </c>
      <c r="F66" s="113" t="str">
        <f>"Line "&amp;A48&amp;""</f>
        <v>Line 27</v>
      </c>
      <c r="G66" s="14"/>
    </row>
    <row r="67" spans="1:10" ht="13">
      <c r="A67" s="2">
        <f>A66+1</f>
        <v>36</v>
      </c>
      <c r="C67" s="94" t="s">
        <v>1238</v>
      </c>
      <c r="D67" s="101">
        <f>D55</f>
        <v>0</v>
      </c>
      <c r="E67" s="230">
        <f>E55</f>
        <v>0</v>
      </c>
      <c r="F67" s="113" t="str">
        <f>"Line "&amp;A55&amp;""</f>
        <v>Line 30</v>
      </c>
      <c r="G67" s="14"/>
    </row>
    <row r="68" spans="1:10" ht="13">
      <c r="A68" s="460">
        <f t="shared" ref="A68:A69" si="2">A67+1</f>
        <v>37</v>
      </c>
      <c r="C68" s="94" t="s">
        <v>1437</v>
      </c>
      <c r="D68" s="91">
        <f>SUM(D64:D67)*('28-FFU'!D22+'28-FFU'!E22)</f>
        <v>695406.99270286039</v>
      </c>
      <c r="E68" s="91">
        <f>SUM(E64:E67)*('28-FFU'!D22)</f>
        <v>524884.93368062307</v>
      </c>
      <c r="F68" s="46" t="s">
        <v>359</v>
      </c>
      <c r="G68" s="14"/>
    </row>
    <row r="69" spans="1:10" ht="13">
      <c r="A69" s="460">
        <f t="shared" si="2"/>
        <v>38</v>
      </c>
      <c r="C69" s="94" t="s">
        <v>4</v>
      </c>
      <c r="D69" s="7">
        <f>SUM(D64:D68)</f>
        <v>61792030.764660984</v>
      </c>
      <c r="E69" s="7">
        <f>SUM(E64:E68)</f>
        <v>57280995.895730197</v>
      </c>
      <c r="F69" s="46" t="str">
        <f>"Sum Lines "&amp;A64&amp;" to "&amp;A68&amp;""</f>
        <v>Sum Lines 33 to 37</v>
      </c>
      <c r="G69" s="14"/>
    </row>
    <row r="70" spans="1:10" ht="13">
      <c r="A70" s="2"/>
      <c r="D70" s="94"/>
      <c r="E70" s="7"/>
      <c r="F70" s="13"/>
    </row>
    <row r="71" spans="1:10" ht="12.75" customHeight="1">
      <c r="A71" s="2"/>
      <c r="C71" s="364" t="s">
        <v>1497</v>
      </c>
      <c r="D71" s="94"/>
      <c r="E71" s="7"/>
      <c r="F71" s="13"/>
    </row>
    <row r="72" spans="1:10" ht="13">
      <c r="A72" s="2"/>
      <c r="D72" s="94"/>
      <c r="E72" s="7"/>
      <c r="F72" s="13"/>
    </row>
    <row r="73" spans="1:10" ht="12.75" customHeight="1">
      <c r="A73" s="2"/>
      <c r="C73" s="364" t="s">
        <v>1392</v>
      </c>
      <c r="D73" s="94"/>
      <c r="E73" s="7"/>
      <c r="F73" s="13"/>
    </row>
    <row r="74" spans="1:10" ht="14.5">
      <c r="A74" s="2"/>
      <c r="C74" s="364"/>
      <c r="D74" s="84" t="s">
        <v>358</v>
      </c>
      <c r="E74" s="84" t="s">
        <v>342</v>
      </c>
      <c r="F74" s="84" t="s">
        <v>343</v>
      </c>
      <c r="G74" s="84" t="s">
        <v>344</v>
      </c>
      <c r="H74" s="84" t="s">
        <v>345</v>
      </c>
    </row>
    <row r="75" spans="1:10" ht="14.5">
      <c r="A75" s="2"/>
      <c r="C75" s="364"/>
      <c r="D75" s="2" t="s">
        <v>1393</v>
      </c>
      <c r="E75" s="456" t="s">
        <v>1394</v>
      </c>
      <c r="F75" s="2"/>
      <c r="H75" s="96" t="s">
        <v>1443</v>
      </c>
    </row>
    <row r="76" spans="1:10" ht="14.5">
      <c r="A76" s="2"/>
      <c r="C76" s="3" t="s">
        <v>224</v>
      </c>
      <c r="D76" s="3" t="s">
        <v>1395</v>
      </c>
      <c r="E76" s="392" t="s">
        <v>1396</v>
      </c>
      <c r="F76" s="3" t="s">
        <v>9</v>
      </c>
      <c r="G76" s="3" t="s">
        <v>1400</v>
      </c>
      <c r="H76" s="3" t="s">
        <v>196</v>
      </c>
      <c r="I76" s="3" t="s">
        <v>179</v>
      </c>
    </row>
    <row r="77" spans="1:10" ht="13">
      <c r="A77" s="2">
        <f>A69+1</f>
        <v>39</v>
      </c>
      <c r="C77" s="94" t="s">
        <v>1246</v>
      </c>
      <c r="D77" s="1118">
        <f>$D$26*(D9/$D$20)</f>
        <v>11625.009692077418</v>
      </c>
      <c r="E77" s="1118">
        <f t="shared" ref="E77:E86" si="3">$D$34*(D9/$D$20)</f>
        <v>3253.7058431080636</v>
      </c>
      <c r="F77" s="1118">
        <f>D48</f>
        <v>1300.041036659705</v>
      </c>
      <c r="G77" s="63">
        <f>(D77+E77+F77)*('28-FFU'!$D$22+'28-FFU'!$E$22)</f>
        <v>184.14798983478946</v>
      </c>
      <c r="H77" s="462">
        <f>SUM(D77:G77)</f>
        <v>16362.904561679976</v>
      </c>
      <c r="I77" s="46" t="s">
        <v>360</v>
      </c>
      <c r="J77" s="14"/>
    </row>
    <row r="78" spans="1:10" ht="13">
      <c r="A78" s="2">
        <f t="shared" ref="A78:A88" si="4">A77+1</f>
        <v>40</v>
      </c>
      <c r="C78" s="94" t="s">
        <v>1247</v>
      </c>
      <c r="D78" s="1118">
        <f t="shared" ref="D78:D86" si="5">$D$26*(D10/$D$20)</f>
        <v>0</v>
      </c>
      <c r="E78" s="1118">
        <f t="shared" si="3"/>
        <v>0</v>
      </c>
      <c r="F78" s="1118">
        <f>D55</f>
        <v>0</v>
      </c>
      <c r="G78" s="63">
        <f>(D78+E78+F78)*('28-FFU'!$D$22+'28-FFU'!$E$22)</f>
        <v>0</v>
      </c>
      <c r="H78" s="462">
        <f t="shared" ref="H78:H86" si="6">SUM(D78:G78)</f>
        <v>0</v>
      </c>
      <c r="I78" s="46" t="s">
        <v>360</v>
      </c>
      <c r="J78" s="14"/>
    </row>
    <row r="79" spans="1:10" ht="13">
      <c r="A79" s="2">
        <f t="shared" si="4"/>
        <v>41</v>
      </c>
      <c r="C79" s="465" t="s">
        <v>1251</v>
      </c>
      <c r="D79" s="1118">
        <f t="shared" si="5"/>
        <v>411689.09825016261</v>
      </c>
      <c r="E79" s="1118">
        <f t="shared" si="3"/>
        <v>115227.02001989205</v>
      </c>
      <c r="F79" s="1118">
        <v>0</v>
      </c>
      <c r="G79" s="63">
        <f>(D79+E79+F79)*('28-FFU'!$D$22+'28-FFU'!$E$22)</f>
        <v>5997.404285063325</v>
      </c>
      <c r="H79" s="462">
        <f t="shared" si="6"/>
        <v>532913.52255511796</v>
      </c>
      <c r="I79" s="46" t="s">
        <v>360</v>
      </c>
      <c r="J79" s="14"/>
    </row>
    <row r="80" spans="1:10" ht="13">
      <c r="A80" s="2">
        <f t="shared" si="4"/>
        <v>42</v>
      </c>
      <c r="C80" s="465" t="s">
        <v>1252</v>
      </c>
      <c r="D80" s="1118">
        <f t="shared" si="5"/>
        <v>34511790.734240286</v>
      </c>
      <c r="E80" s="1118">
        <f t="shared" si="3"/>
        <v>9659451.3159544412</v>
      </c>
      <c r="F80" s="1118">
        <v>0</v>
      </c>
      <c r="G80" s="63">
        <f>(D80+E80+F80)*('28-FFU'!$D$22+'28-FFU'!$E$22)</f>
        <v>502760.85160984629</v>
      </c>
      <c r="H80" s="462">
        <f t="shared" si="6"/>
        <v>44674002.901804574</v>
      </c>
      <c r="I80" s="46" t="s">
        <v>360</v>
      </c>
      <c r="J80" s="14"/>
    </row>
    <row r="81" spans="1:10" ht="13">
      <c r="A81" s="2">
        <f t="shared" si="4"/>
        <v>43</v>
      </c>
      <c r="C81" s="94" t="s">
        <v>1248</v>
      </c>
      <c r="D81" s="1118">
        <f t="shared" si="5"/>
        <v>0</v>
      </c>
      <c r="E81" s="1118">
        <f t="shared" si="3"/>
        <v>0</v>
      </c>
      <c r="F81" s="1118">
        <v>0</v>
      </c>
      <c r="G81" s="63">
        <f>(D81+E81+F81)*('28-FFU'!$D$22+'28-FFU'!$E$22)</f>
        <v>0</v>
      </c>
      <c r="H81" s="462">
        <f t="shared" si="6"/>
        <v>0</v>
      </c>
      <c r="I81" s="46" t="s">
        <v>360</v>
      </c>
      <c r="J81" s="14"/>
    </row>
    <row r="82" spans="1:10" ht="13">
      <c r="A82" s="2">
        <f t="shared" si="4"/>
        <v>44</v>
      </c>
      <c r="C82" s="94" t="s">
        <v>1249</v>
      </c>
      <c r="D82" s="1118">
        <f t="shared" si="5"/>
        <v>0</v>
      </c>
      <c r="E82" s="1118">
        <f t="shared" si="3"/>
        <v>0</v>
      </c>
      <c r="F82" s="1118">
        <v>0</v>
      </c>
      <c r="G82" s="63">
        <f>(D82+E82+F82)*('28-FFU'!$D$22+'28-FFU'!$E$22)</f>
        <v>0</v>
      </c>
      <c r="H82" s="462">
        <f t="shared" si="6"/>
        <v>0</v>
      </c>
      <c r="I82" s="46" t="s">
        <v>360</v>
      </c>
      <c r="J82" s="14"/>
    </row>
    <row r="83" spans="1:10" ht="13">
      <c r="A83" s="2">
        <f t="shared" si="4"/>
        <v>45</v>
      </c>
      <c r="C83" s="94" t="s">
        <v>1250</v>
      </c>
      <c r="D83" s="1118">
        <f t="shared" si="5"/>
        <v>22209.094999447436</v>
      </c>
      <c r="E83" s="1118">
        <f t="shared" si="3"/>
        <v>6216.0689826427861</v>
      </c>
      <c r="F83" s="1118">
        <v>0</v>
      </c>
      <c r="G83" s="63">
        <f>(D83+E83+F83)*('28-FFU'!$D$22+'28-FFU'!$E$22)</f>
        <v>323.53764547859726</v>
      </c>
      <c r="H83" s="462">
        <f t="shared" si="6"/>
        <v>28748.701627568818</v>
      </c>
      <c r="I83" s="46" t="s">
        <v>360</v>
      </c>
      <c r="J83" s="14"/>
    </row>
    <row r="84" spans="1:10" ht="13">
      <c r="A84" s="2">
        <f t="shared" si="4"/>
        <v>46</v>
      </c>
      <c r="C84" s="849" t="s">
        <v>2422</v>
      </c>
      <c r="D84" s="1118">
        <f t="shared" si="5"/>
        <v>3674799.7611971693</v>
      </c>
      <c r="E84" s="1118">
        <f t="shared" si="3"/>
        <v>1028533.9773443795</v>
      </c>
      <c r="F84" s="1118">
        <v>0</v>
      </c>
      <c r="G84" s="63">
        <f>(D84+E84+F84)*('28-FFU'!$D$22+'28-FFU'!$E$22)</f>
        <v>53533.746529186559</v>
      </c>
      <c r="H84" s="462">
        <f t="shared" si="6"/>
        <v>4756867.4850707352</v>
      </c>
      <c r="I84" s="46" t="s">
        <v>360</v>
      </c>
      <c r="J84" s="14"/>
    </row>
    <row r="85" spans="1:10" ht="13">
      <c r="A85" s="2">
        <f t="shared" si="4"/>
        <v>47</v>
      </c>
      <c r="C85" s="849" t="s">
        <v>2423</v>
      </c>
      <c r="D85" s="1118">
        <f t="shared" si="5"/>
        <v>1604440.2012584356</v>
      </c>
      <c r="E85" s="1118">
        <f t="shared" si="3"/>
        <v>449064.2671300135</v>
      </c>
      <c r="F85" s="1118">
        <v>0</v>
      </c>
      <c r="G85" s="63">
        <f>(D85+E85+F85)*('28-FFU'!$D$22+'28-FFU'!$E$22)</f>
        <v>23373.163338680668</v>
      </c>
      <c r="H85" s="462">
        <f t="shared" si="6"/>
        <v>2076877.6317271299</v>
      </c>
      <c r="I85" s="46" t="s">
        <v>360</v>
      </c>
      <c r="J85" s="14"/>
    </row>
    <row r="86" spans="1:10" ht="13">
      <c r="A86" s="2">
        <f t="shared" si="4"/>
        <v>48</v>
      </c>
      <c r="C86" s="849" t="s">
        <v>2427</v>
      </c>
      <c r="D86" s="1118">
        <f t="shared" si="5"/>
        <v>7498328.1090273997</v>
      </c>
      <c r="E86" s="1118">
        <f t="shared" si="3"/>
        <v>2098695.3669820144</v>
      </c>
      <c r="F86" s="1118">
        <v>0</v>
      </c>
      <c r="G86" s="63">
        <f>(D86+E86+F86)*('28-FFU'!$D$22+'28-FFU'!$E$22)</f>
        <v>109234.14130477024</v>
      </c>
      <c r="H86" s="462">
        <f t="shared" si="6"/>
        <v>9706257.6173141841</v>
      </c>
      <c r="I86" s="46" t="s">
        <v>360</v>
      </c>
      <c r="J86" s="14"/>
    </row>
    <row r="87" spans="1:10" ht="13">
      <c r="A87" s="2">
        <f t="shared" si="4"/>
        <v>49</v>
      </c>
      <c r="C87" s="400"/>
      <c r="D87" s="1178" t="s">
        <v>76</v>
      </c>
      <c r="E87" s="1178" t="s">
        <v>76</v>
      </c>
      <c r="F87" s="1178" t="s">
        <v>76</v>
      </c>
      <c r="G87" s="1178" t="s">
        <v>76</v>
      </c>
      <c r="H87" s="1178" t="s">
        <v>76</v>
      </c>
      <c r="I87" s="46" t="s">
        <v>360</v>
      </c>
      <c r="J87" s="14"/>
    </row>
    <row r="88" spans="1:10" ht="13">
      <c r="A88" s="2">
        <f t="shared" si="4"/>
        <v>50</v>
      </c>
      <c r="C88" s="94" t="s">
        <v>197</v>
      </c>
      <c r="D88" s="105">
        <f>SUM(D77:D87)</f>
        <v>47734882.008664981</v>
      </c>
      <c r="E88" s="105">
        <f>SUM(E77:E87)</f>
        <v>13360441.722256491</v>
      </c>
      <c r="F88" s="105">
        <f>SUM(F77:F87)</f>
        <v>1300.041036659705</v>
      </c>
      <c r="G88" s="105">
        <f>SUM(G77:G87)</f>
        <v>695406.9927028605</v>
      </c>
      <c r="H88" s="105">
        <f>SUM(H77:H87)</f>
        <v>61792030.764660984</v>
      </c>
      <c r="I88" s="46" t="str">
        <f>"Sum L "&amp;A77&amp;" to L "&amp;A87&amp;""</f>
        <v>Sum L 39 to L 49</v>
      </c>
      <c r="J88" s="14"/>
    </row>
    <row r="89" spans="1:10" ht="13">
      <c r="A89" s="2"/>
      <c r="C89" s="94"/>
      <c r="D89" s="94"/>
      <c r="E89" s="7"/>
      <c r="F89" s="13"/>
    </row>
    <row r="90" spans="1:10" ht="14.5">
      <c r="A90" s="2"/>
      <c r="C90" s="364" t="s">
        <v>1498</v>
      </c>
      <c r="D90" s="94"/>
      <c r="E90" s="7"/>
      <c r="F90" s="13"/>
    </row>
    <row r="91" spans="1:10" ht="14.5">
      <c r="A91" s="2"/>
      <c r="C91" s="364"/>
      <c r="D91" s="84" t="s">
        <v>358</v>
      </c>
      <c r="E91" s="84" t="s">
        <v>342</v>
      </c>
      <c r="F91" s="84" t="s">
        <v>343</v>
      </c>
      <c r="G91" s="84" t="s">
        <v>344</v>
      </c>
      <c r="H91" s="84" t="s">
        <v>345</v>
      </c>
    </row>
    <row r="92" spans="1:10" ht="14.5">
      <c r="A92" s="2"/>
      <c r="C92" s="364"/>
      <c r="D92" s="110" t="s">
        <v>1393</v>
      </c>
      <c r="E92" s="1176" t="s">
        <v>1394</v>
      </c>
      <c r="F92" s="110"/>
      <c r="G92" s="14"/>
      <c r="H92" s="356" t="s">
        <v>1443</v>
      </c>
      <c r="I92" s="14"/>
      <c r="J92" s="14"/>
    </row>
    <row r="93" spans="1:10" ht="14.5">
      <c r="A93" s="2"/>
      <c r="C93" s="3" t="s">
        <v>224</v>
      </c>
      <c r="D93" s="123" t="s">
        <v>1395</v>
      </c>
      <c r="E93" s="1177" t="s">
        <v>1396</v>
      </c>
      <c r="F93" s="123" t="s">
        <v>9</v>
      </c>
      <c r="G93" s="123" t="s">
        <v>1400</v>
      </c>
      <c r="H93" s="123" t="s">
        <v>196</v>
      </c>
      <c r="I93" s="123" t="s">
        <v>179</v>
      </c>
      <c r="J93" s="14"/>
    </row>
    <row r="94" spans="1:10" ht="13">
      <c r="A94" s="2">
        <f>A88+1</f>
        <v>51</v>
      </c>
      <c r="C94" s="94" t="s">
        <v>1246</v>
      </c>
      <c r="D94" s="105">
        <f t="shared" ref="D94:D102" si="7">$E$26*(E9/$E$20)</f>
        <v>11558.401822786396</v>
      </c>
      <c r="E94" s="105">
        <f t="shared" ref="E94:E103" si="8">$E$34*(E9/$E$20)</f>
        <v>3235.0630703921947</v>
      </c>
      <c r="F94" s="1119">
        <f>E48</f>
        <v>1292.5921857996659</v>
      </c>
      <c r="G94" s="63">
        <f>(D94+E94+F94)*('28-FFU'!$D$22+'28-FFU'!$E$22)</f>
        <v>183.09287628546662</v>
      </c>
      <c r="H94" s="878">
        <f>SUM(D94:G94)</f>
        <v>16269.149955263723</v>
      </c>
      <c r="I94" s="46" t="s">
        <v>1153</v>
      </c>
      <c r="J94" s="14"/>
    </row>
    <row r="95" spans="1:10" ht="13">
      <c r="A95" s="2">
        <f t="shared" ref="A95:A105" si="9">A94+1</f>
        <v>52</v>
      </c>
      <c r="C95" s="94" t="s">
        <v>1247</v>
      </c>
      <c r="D95" s="105">
        <f t="shared" si="7"/>
        <v>0</v>
      </c>
      <c r="E95" s="105">
        <f t="shared" si="8"/>
        <v>0</v>
      </c>
      <c r="F95" s="1119">
        <f>E55</f>
        <v>0</v>
      </c>
      <c r="G95" s="63">
        <f>(D95+E95+F95)*('28-FFU'!$D$22+'28-FFU'!$E$22)</f>
        <v>0</v>
      </c>
      <c r="H95" s="878">
        <f t="shared" ref="H95:H102" si="10">SUM(D95:G95)</f>
        <v>0</v>
      </c>
      <c r="I95" s="46" t="s">
        <v>1153</v>
      </c>
      <c r="J95" s="14"/>
    </row>
    <row r="96" spans="1:10" ht="13">
      <c r="A96" s="2">
        <f t="shared" si="9"/>
        <v>53</v>
      </c>
      <c r="C96" s="465" t="s">
        <v>1251</v>
      </c>
      <c r="D96" s="105">
        <f t="shared" si="7"/>
        <v>402105.14457277191</v>
      </c>
      <c r="E96" s="105">
        <f t="shared" si="8"/>
        <v>112544.58216339248</v>
      </c>
      <c r="F96" s="1119">
        <v>0</v>
      </c>
      <c r="G96" s="63">
        <f>(D96+E96+F96)*('28-FFU'!$D$22+'28-FFU'!$E$22)</f>
        <v>5857.7871684164702</v>
      </c>
      <c r="H96" s="878">
        <f t="shared" si="10"/>
        <v>520507.5139045809</v>
      </c>
      <c r="I96" s="46" t="s">
        <v>1153</v>
      </c>
      <c r="J96" s="14"/>
    </row>
    <row r="97" spans="1:10" ht="13">
      <c r="A97" s="2">
        <f t="shared" si="9"/>
        <v>54</v>
      </c>
      <c r="C97" s="465" t="s">
        <v>1252</v>
      </c>
      <c r="D97" s="105">
        <f t="shared" si="7"/>
        <v>26217138.52665738</v>
      </c>
      <c r="E97" s="105">
        <f t="shared" si="8"/>
        <v>7337874.0382378828</v>
      </c>
      <c r="F97" s="1119">
        <v>0</v>
      </c>
      <c r="G97" s="63">
        <f>(D97+E97+F97)*('28-FFU'!$D$22+'28-FFU'!$E$22)</f>
        <v>381926.02041244763</v>
      </c>
      <c r="H97" s="878">
        <f t="shared" si="10"/>
        <v>33936938.58530771</v>
      </c>
      <c r="I97" s="46" t="s">
        <v>1153</v>
      </c>
      <c r="J97" s="14"/>
    </row>
    <row r="98" spans="1:10" ht="13">
      <c r="A98" s="2">
        <f t="shared" si="9"/>
        <v>55</v>
      </c>
      <c r="C98" s="94" t="s">
        <v>1248</v>
      </c>
      <c r="D98" s="105">
        <f t="shared" si="7"/>
        <v>0</v>
      </c>
      <c r="E98" s="105">
        <f t="shared" si="8"/>
        <v>0</v>
      </c>
      <c r="F98" s="1119">
        <v>0</v>
      </c>
      <c r="G98" s="63">
        <f>(D98+E98+F98)*('28-FFU'!$D$22+'28-FFU'!$E$22)</f>
        <v>0</v>
      </c>
      <c r="H98" s="878">
        <f t="shared" si="10"/>
        <v>0</v>
      </c>
      <c r="I98" s="46" t="s">
        <v>1153</v>
      </c>
      <c r="J98" s="14"/>
    </row>
    <row r="99" spans="1:10" ht="13">
      <c r="A99" s="2">
        <f t="shared" si="9"/>
        <v>56</v>
      </c>
      <c r="C99" s="94" t="s">
        <v>1249</v>
      </c>
      <c r="D99" s="105">
        <f t="shared" si="7"/>
        <v>0</v>
      </c>
      <c r="E99" s="105">
        <f t="shared" si="8"/>
        <v>0</v>
      </c>
      <c r="F99" s="1119">
        <v>0</v>
      </c>
      <c r="G99" s="63">
        <f>(D99+E99+F99)*('28-FFU'!$D$22+'28-FFU'!$E$22)</f>
        <v>0</v>
      </c>
      <c r="H99" s="878">
        <f t="shared" si="10"/>
        <v>0</v>
      </c>
      <c r="I99" s="46" t="s">
        <v>1153</v>
      </c>
      <c r="J99" s="14"/>
    </row>
    <row r="100" spans="1:10" ht="13">
      <c r="A100" s="2">
        <f t="shared" si="9"/>
        <v>57</v>
      </c>
      <c r="C100" s="94" t="s">
        <v>1250</v>
      </c>
      <c r="D100" s="105">
        <f t="shared" si="7"/>
        <v>6542.4133487867057</v>
      </c>
      <c r="E100" s="105">
        <f t="shared" si="8"/>
        <v>1831.1458746983155</v>
      </c>
      <c r="F100" s="1119">
        <v>0</v>
      </c>
      <c r="G100" s="63">
        <f>(D100+E100+F100)*('28-FFU'!$D$22+'28-FFU'!$E$22)</f>
        <v>95.308566633032981</v>
      </c>
      <c r="H100" s="878">
        <f t="shared" si="10"/>
        <v>8468.8677901180545</v>
      </c>
      <c r="I100" s="46" t="s">
        <v>1153</v>
      </c>
      <c r="J100" s="14"/>
    </row>
    <row r="101" spans="1:10" ht="13">
      <c r="A101" s="2">
        <f t="shared" si="9"/>
        <v>58</v>
      </c>
      <c r="C101" s="849" t="s">
        <v>2422</v>
      </c>
      <c r="D101" s="105">
        <f t="shared" si="7"/>
        <v>10597287.390503528</v>
      </c>
      <c r="E101" s="105">
        <f t="shared" si="8"/>
        <v>2966058.2500052084</v>
      </c>
      <c r="F101" s="1119">
        <v>0</v>
      </c>
      <c r="G101" s="63">
        <f>(D101+E101+F101)*('28-FFU'!$D$22+'28-FFU'!$E$22)</f>
        <v>154379.15911786788</v>
      </c>
      <c r="H101" s="878">
        <f t="shared" si="10"/>
        <v>13717724.799626604</v>
      </c>
      <c r="I101" s="46" t="s">
        <v>1153</v>
      </c>
      <c r="J101" s="14"/>
    </row>
    <row r="102" spans="1:10" ht="13">
      <c r="A102" s="2">
        <f t="shared" si="9"/>
        <v>59</v>
      </c>
      <c r="C102" s="849" t="s">
        <v>2423</v>
      </c>
      <c r="D102" s="105">
        <f t="shared" si="7"/>
        <v>1536013.8960772112</v>
      </c>
      <c r="E102" s="105">
        <f t="shared" si="8"/>
        <v>429912.53522718541</v>
      </c>
      <c r="F102" s="1119">
        <v>0</v>
      </c>
      <c r="G102" s="63">
        <f>(D102+E102+F102)*('28-FFU'!$D$22+'28-FFU'!$E$22)</f>
        <v>22376.342636725723</v>
      </c>
      <c r="H102" s="878">
        <f t="shared" si="10"/>
        <v>1988302.7739411222</v>
      </c>
      <c r="I102" s="46" t="s">
        <v>1153</v>
      </c>
      <c r="J102" s="14"/>
    </row>
    <row r="103" spans="1:10" ht="13">
      <c r="A103" s="2">
        <f t="shared" si="9"/>
        <v>60</v>
      </c>
      <c r="C103" s="849" t="s">
        <v>2427</v>
      </c>
      <c r="D103" s="105">
        <f t="shared" ref="D103" si="11">$E$26*(E18/$E$20)</f>
        <v>5572920.8515363019</v>
      </c>
      <c r="E103" s="105">
        <f t="shared" si="8"/>
        <v>1559796.1307662432</v>
      </c>
      <c r="F103" s="1119">
        <v>0</v>
      </c>
      <c r="G103" s="63">
        <f>(D103+E103+F103)*('28-FFU'!$D$22+'28-FFU'!$E$22)</f>
        <v>81185.194209376583</v>
      </c>
      <c r="H103" s="878">
        <f t="shared" ref="H103" si="12">SUM(D103:G103)</f>
        <v>7213902.176511921</v>
      </c>
      <c r="I103" s="46" t="s">
        <v>1153</v>
      </c>
      <c r="J103" s="14"/>
    </row>
    <row r="104" spans="1:10" ht="13">
      <c r="A104" s="2">
        <f t="shared" si="9"/>
        <v>61</v>
      </c>
      <c r="C104" s="400"/>
      <c r="D104" s="1178" t="s">
        <v>76</v>
      </c>
      <c r="E104" s="1178" t="s">
        <v>76</v>
      </c>
      <c r="F104" s="1178" t="s">
        <v>76</v>
      </c>
      <c r="G104" s="1178" t="s">
        <v>76</v>
      </c>
      <c r="H104" s="1178" t="s">
        <v>76</v>
      </c>
      <c r="I104" s="46" t="s">
        <v>1153</v>
      </c>
      <c r="J104" s="14"/>
    </row>
    <row r="105" spans="1:10" ht="13">
      <c r="A105" s="2">
        <f t="shared" si="9"/>
        <v>62</v>
      </c>
      <c r="C105" s="94" t="s">
        <v>197</v>
      </c>
      <c r="D105" s="63">
        <f>SUM(D94:D104)</f>
        <v>44343566.624518767</v>
      </c>
      <c r="E105" s="63">
        <f>SUM(E94:E104)</f>
        <v>12411251.745345002</v>
      </c>
      <c r="F105" s="63">
        <f>SUM(F94:F104)</f>
        <v>1292.5921857996659</v>
      </c>
      <c r="G105" s="105">
        <f>SUM(G94:G104)</f>
        <v>646002.90498775279</v>
      </c>
      <c r="H105" s="63">
        <f>SUM(H94:H104)</f>
        <v>57402113.867037319</v>
      </c>
      <c r="I105" s="46" t="str">
        <f>"Sum of L "&amp;A94&amp;" to "&amp;A104&amp;""</f>
        <v>Sum of L 51 to 61</v>
      </c>
      <c r="J105" s="14"/>
    </row>
    <row r="106" spans="1:10">
      <c r="C106" s="94"/>
    </row>
    <row r="107" spans="1:10" ht="13">
      <c r="B107" s="1" t="s">
        <v>1244</v>
      </c>
    </row>
    <row r="108" spans="1:10" ht="13">
      <c r="B108" s="1"/>
    </row>
    <row r="109" spans="1:10" ht="14.5">
      <c r="B109" s="1"/>
      <c r="C109" s="364" t="s">
        <v>1397</v>
      </c>
    </row>
    <row r="110" spans="1:10" ht="13">
      <c r="E110" s="3" t="s">
        <v>171</v>
      </c>
      <c r="F110" s="3" t="s">
        <v>179</v>
      </c>
    </row>
    <row r="111" spans="1:10" ht="13">
      <c r="A111" s="2">
        <f>A105+1</f>
        <v>63</v>
      </c>
      <c r="D111" s="94" t="s">
        <v>353</v>
      </c>
      <c r="E111" s="7">
        <f>F20</f>
        <v>-371898027.79150784</v>
      </c>
      <c r="F111" s="113" t="str">
        <f>"Line "&amp;A20&amp;", Col 3"</f>
        <v>Line 12, Col 3</v>
      </c>
      <c r="G111" s="14"/>
      <c r="H111" s="14"/>
    </row>
    <row r="112" spans="1:10" ht="13">
      <c r="A112" s="2">
        <f>A111+1</f>
        <v>64</v>
      </c>
      <c r="D112" s="94" t="s">
        <v>351</v>
      </c>
      <c r="E112" s="372">
        <f>'2-IFPTRR'!D25</f>
        <v>9.4358405654189348E-2</v>
      </c>
      <c r="F112" s="46" t="str">
        <f>"2-IFPTRR, Line "&amp;'2-IFPTRR'!A25&amp;""</f>
        <v>2-IFPTRR, Line 16</v>
      </c>
      <c r="G112" s="14"/>
      <c r="H112" s="14"/>
    </row>
    <row r="113" spans="1:8" ht="13">
      <c r="A113" s="2">
        <f>A112+1</f>
        <v>65</v>
      </c>
      <c r="D113" s="94" t="s">
        <v>1438</v>
      </c>
      <c r="E113" s="7">
        <f>E111*E112</f>
        <v>-35091704.968344077</v>
      </c>
      <c r="F113" s="113" t="str">
        <f>"Line "&amp;A111&amp;" * Line "&amp;A112&amp;""</f>
        <v>Line 63 * Line 64</v>
      </c>
      <c r="G113" s="14"/>
      <c r="H113" s="14"/>
    </row>
    <row r="114" spans="1:8" ht="13">
      <c r="A114" s="460">
        <f>A113+1</f>
        <v>66</v>
      </c>
      <c r="D114" s="94" t="s">
        <v>1437</v>
      </c>
      <c r="E114" s="91">
        <f>E113*('28-FFU'!D22+'28-FFU'!E22)</f>
        <v>-399416.78466450016</v>
      </c>
      <c r="F114" s="466" t="str">
        <f>"Line "&amp;A113&amp;" * (28-FFU, L"&amp;'28-FFU'!A22&amp;" FF Factor + U Factor)"</f>
        <v>Line 65 * (28-FFU, L5 FF Factor + U Factor)</v>
      </c>
      <c r="G114" s="14"/>
      <c r="H114" s="14"/>
    </row>
    <row r="115" spans="1:8" ht="13">
      <c r="A115" s="463">
        <f>A114+1</f>
        <v>67</v>
      </c>
      <c r="D115" s="94" t="s">
        <v>1439</v>
      </c>
      <c r="E115" s="7">
        <f>SUM(E113:E114)</f>
        <v>-35491121.753008574</v>
      </c>
      <c r="F115" s="113" t="str">
        <f>"Line "&amp;A113&amp;" + Line "&amp;A114&amp;""</f>
        <v>Line 65 + Line 66</v>
      </c>
      <c r="G115" s="14"/>
      <c r="H115" s="14"/>
    </row>
    <row r="116" spans="1:8" ht="13">
      <c r="A116" s="460"/>
      <c r="D116" s="94"/>
      <c r="E116" s="7"/>
    </row>
    <row r="117" spans="1:8" ht="14.5">
      <c r="A117" s="2"/>
      <c r="C117" s="364" t="s">
        <v>1398</v>
      </c>
      <c r="D117" s="94"/>
      <c r="E117" s="7"/>
      <c r="F117" s="16"/>
    </row>
    <row r="118" spans="1:8" ht="13">
      <c r="A118" s="2"/>
      <c r="D118" s="485" t="s">
        <v>175</v>
      </c>
      <c r="E118" s="485" t="s">
        <v>175</v>
      </c>
    </row>
    <row r="119" spans="1:8" ht="13">
      <c r="A119" s="2"/>
      <c r="C119" s="3" t="s">
        <v>224</v>
      </c>
      <c r="D119" s="3" t="s">
        <v>1468</v>
      </c>
      <c r="E119" s="3" t="s">
        <v>1469</v>
      </c>
      <c r="F119" s="3" t="s">
        <v>179</v>
      </c>
    </row>
    <row r="120" spans="1:8" ht="13">
      <c r="A120" s="2">
        <f>A115+1</f>
        <v>68</v>
      </c>
      <c r="C120" s="94" t="s">
        <v>1246</v>
      </c>
      <c r="D120" s="59">
        <f>$E$113*(F9/$F$20)</f>
        <v>-14878.715535185482</v>
      </c>
      <c r="E120" s="59">
        <f>$E$115*(F9/$F$20)</f>
        <v>-15048.066346847738</v>
      </c>
      <c r="F120" s="46" t="s">
        <v>1168</v>
      </c>
      <c r="G120" s="14"/>
    </row>
    <row r="121" spans="1:8" ht="13">
      <c r="A121" s="2">
        <f t="shared" ref="A121:A131" si="13">A120+1</f>
        <v>69</v>
      </c>
      <c r="C121" s="94" t="s">
        <v>1247</v>
      </c>
      <c r="D121" s="59">
        <f t="shared" ref="D121:D128" si="14">$E$113*(F10/$F$20)</f>
        <v>0</v>
      </c>
      <c r="E121" s="59">
        <f t="shared" ref="E121:E128" si="15">$E$115*(F10/$F$20)</f>
        <v>0</v>
      </c>
      <c r="F121" s="46" t="s">
        <v>1168</v>
      </c>
      <c r="G121" s="14"/>
    </row>
    <row r="122" spans="1:8" ht="13">
      <c r="A122" s="2">
        <f t="shared" si="13"/>
        <v>70</v>
      </c>
      <c r="C122" s="465" t="s">
        <v>1251</v>
      </c>
      <c r="D122" s="59">
        <f t="shared" si="14"/>
        <v>2028.7057215650707</v>
      </c>
      <c r="E122" s="59">
        <f t="shared" si="15"/>
        <v>2051.7966234482637</v>
      </c>
      <c r="F122" s="46" t="s">
        <v>1168</v>
      </c>
      <c r="G122" s="14"/>
    </row>
    <row r="123" spans="1:8" ht="13">
      <c r="A123" s="2">
        <f t="shared" si="13"/>
        <v>71</v>
      </c>
      <c r="C123" s="465" t="s">
        <v>1252</v>
      </c>
      <c r="D123" s="59">
        <f t="shared" si="14"/>
        <v>-39553455.334718741</v>
      </c>
      <c r="E123" s="59">
        <f t="shared" si="15"/>
        <v>-40003656.143326238</v>
      </c>
      <c r="F123" s="46" t="s">
        <v>1168</v>
      </c>
      <c r="G123" s="14"/>
    </row>
    <row r="124" spans="1:8" ht="13">
      <c r="A124" s="2">
        <f t="shared" si="13"/>
        <v>72</v>
      </c>
      <c r="C124" s="94" t="s">
        <v>1248</v>
      </c>
      <c r="D124" s="59">
        <f t="shared" si="14"/>
        <v>0</v>
      </c>
      <c r="E124" s="59">
        <f t="shared" si="15"/>
        <v>0</v>
      </c>
      <c r="F124" s="46" t="s">
        <v>1168</v>
      </c>
      <c r="G124" s="14"/>
    </row>
    <row r="125" spans="1:8" ht="13">
      <c r="A125" s="2">
        <f t="shared" si="13"/>
        <v>73</v>
      </c>
      <c r="C125" s="94" t="s">
        <v>1249</v>
      </c>
      <c r="D125" s="59">
        <f t="shared" si="14"/>
        <v>0</v>
      </c>
      <c r="E125" s="59">
        <f t="shared" si="15"/>
        <v>0</v>
      </c>
      <c r="F125" s="46" t="s">
        <v>1168</v>
      </c>
      <c r="G125" s="14"/>
    </row>
    <row r="126" spans="1:8" ht="13">
      <c r="A126" s="2">
        <f t="shared" si="13"/>
        <v>74</v>
      </c>
      <c r="C126" s="94" t="s">
        <v>1250</v>
      </c>
      <c r="D126" s="59">
        <f t="shared" si="14"/>
        <v>449160.54054786911</v>
      </c>
      <c r="E126" s="59">
        <f t="shared" si="15"/>
        <v>454272.92420279939</v>
      </c>
      <c r="F126" s="46" t="s">
        <v>1168</v>
      </c>
      <c r="G126" s="14"/>
    </row>
    <row r="127" spans="1:8" ht="13">
      <c r="A127" s="2">
        <f t="shared" si="13"/>
        <v>75</v>
      </c>
      <c r="C127" s="849" t="s">
        <v>2422</v>
      </c>
      <c r="D127" s="59">
        <f t="shared" si="14"/>
        <v>4744574.4270981634</v>
      </c>
      <c r="E127" s="59">
        <f t="shared" si="15"/>
        <v>4798577.5786686689</v>
      </c>
      <c r="F127" s="46" t="s">
        <v>1168</v>
      </c>
      <c r="G127" s="14"/>
    </row>
    <row r="128" spans="1:8" ht="13">
      <c r="A128" s="2">
        <f t="shared" si="13"/>
        <v>76</v>
      </c>
      <c r="C128" s="849" t="s">
        <v>2423</v>
      </c>
      <c r="D128" s="59">
        <f t="shared" si="14"/>
        <v>78462.285311077299</v>
      </c>
      <c r="E128" s="59">
        <f t="shared" si="15"/>
        <v>79355.349747377826</v>
      </c>
      <c r="F128" s="46" t="s">
        <v>1168</v>
      </c>
      <c r="G128" s="14"/>
    </row>
    <row r="129" spans="1:8" ht="13">
      <c r="A129" s="2">
        <f t="shared" si="13"/>
        <v>77</v>
      </c>
      <c r="C129" s="849" t="s">
        <v>2427</v>
      </c>
      <c r="D129" s="105">
        <f t="shared" ref="D129" si="16">$E$113*(F18/$F$20)</f>
        <v>-797596.87676882523</v>
      </c>
      <c r="E129" s="105">
        <f t="shared" ref="E129" si="17">$E$115*(F18/$F$20)</f>
        <v>-806675.19257778442</v>
      </c>
      <c r="F129" s="46" t="s">
        <v>1168</v>
      </c>
      <c r="G129" s="14"/>
    </row>
    <row r="130" spans="1:8" ht="13">
      <c r="A130" s="2">
        <f t="shared" si="13"/>
        <v>78</v>
      </c>
      <c r="C130" s="400"/>
      <c r="D130" s="455" t="s">
        <v>76</v>
      </c>
      <c r="E130" s="455" t="s">
        <v>76</v>
      </c>
      <c r="F130" s="46" t="s">
        <v>1168</v>
      </c>
      <c r="G130" s="14"/>
    </row>
    <row r="131" spans="1:8" ht="13">
      <c r="A131" s="2">
        <f t="shared" si="13"/>
        <v>79</v>
      </c>
      <c r="C131" s="94" t="s">
        <v>197</v>
      </c>
      <c r="D131" s="7">
        <f>SUM(D120:D130)</f>
        <v>-35091704.968344077</v>
      </c>
      <c r="E131" s="7">
        <f>SUM(E120:E130)</f>
        <v>-35491121.753008582</v>
      </c>
      <c r="F131" s="46" t="str">
        <f>"Sum of Lines "&amp;A120&amp;" to "&amp;A130&amp;""</f>
        <v>Sum of Lines 68 to 78</v>
      </c>
      <c r="G131" s="14"/>
    </row>
    <row r="133" spans="1:8" ht="13">
      <c r="B133" s="1" t="s">
        <v>1474</v>
      </c>
    </row>
    <row r="134" spans="1:8" ht="13">
      <c r="B134" s="1"/>
    </row>
    <row r="135" spans="1:8" ht="14.5">
      <c r="C135" s="364" t="s">
        <v>1397</v>
      </c>
    </row>
    <row r="136" spans="1:8" ht="13">
      <c r="E136" s="3" t="s">
        <v>171</v>
      </c>
      <c r="F136" s="3" t="s">
        <v>179</v>
      </c>
      <c r="H136" s="1"/>
    </row>
    <row r="137" spans="1:8" ht="13">
      <c r="A137" s="2">
        <f>A131+1</f>
        <v>80</v>
      </c>
      <c r="D137" s="94" t="s">
        <v>1253</v>
      </c>
      <c r="E137" s="7">
        <f>SUM(D64:D67)</f>
        <v>61096623.77195812</v>
      </c>
      <c r="F137" s="113" t="str">
        <f>"Sum Line "&amp;A64&amp;" to "&amp;A67&amp;""</f>
        <v>Sum Line 33 to 36</v>
      </c>
      <c r="G137" s="14"/>
    </row>
    <row r="138" spans="1:8" ht="13">
      <c r="A138" s="2">
        <f t="shared" ref="A138:A145" si="18">A137+1</f>
        <v>81</v>
      </c>
      <c r="D138" s="465" t="s">
        <v>1466</v>
      </c>
      <c r="E138" s="7">
        <f>E113</f>
        <v>-35091704.968344077</v>
      </c>
      <c r="F138" s="113" t="str">
        <f>"Line "&amp;A113&amp;""</f>
        <v>Line 65</v>
      </c>
      <c r="G138" s="14"/>
    </row>
    <row r="139" spans="1:8" ht="13">
      <c r="A139" s="2">
        <f t="shared" si="18"/>
        <v>82</v>
      </c>
      <c r="D139" s="94" t="s">
        <v>1254</v>
      </c>
      <c r="E139" s="7">
        <f>SUM(E137:E138)</f>
        <v>26004918.803614043</v>
      </c>
      <c r="F139" s="113" t="str">
        <f>"Line "&amp;A137&amp;" + Line "&amp;A138&amp;""</f>
        <v>Line 80 + Line 81</v>
      </c>
      <c r="G139" s="14"/>
    </row>
    <row r="140" spans="1:8" ht="13">
      <c r="A140" s="2">
        <f t="shared" si="18"/>
        <v>83</v>
      </c>
      <c r="D140" s="94" t="s">
        <v>1239</v>
      </c>
      <c r="E140" s="8">
        <f>'28-FFU'!D22</f>
        <v>9.2480778683301876E-3</v>
      </c>
      <c r="F140" s="46" t="str">
        <f>"28-FFU, Line "&amp;'28-FFU'!A22&amp;""</f>
        <v>28-FFU, Line 5</v>
      </c>
      <c r="G140" s="14"/>
    </row>
    <row r="141" spans="1:8" ht="13">
      <c r="A141" s="2">
        <f t="shared" si="18"/>
        <v>84</v>
      </c>
      <c r="D141" s="94" t="s">
        <v>1240</v>
      </c>
      <c r="E141" s="8">
        <f>'28-FFU'!E22</f>
        <v>2.134007585335019E-3</v>
      </c>
      <c r="F141" s="46" t="str">
        <f>"28-FFU, Line "&amp;'28-FFU'!A22&amp;""</f>
        <v>28-FFU, Line 5</v>
      </c>
      <c r="G141" s="14"/>
    </row>
    <row r="142" spans="1:8" ht="13">
      <c r="A142" s="2">
        <f t="shared" si="18"/>
        <v>85</v>
      </c>
      <c r="D142" s="465" t="s">
        <v>1472</v>
      </c>
      <c r="E142" s="7">
        <f>E139*E140</f>
        <v>240495.51405542658</v>
      </c>
      <c r="F142" s="113" t="str">
        <f>"Line "&amp;A139&amp;" * Line "&amp;A140&amp;""</f>
        <v>Line 82 * Line 83</v>
      </c>
      <c r="G142" s="14"/>
    </row>
    <row r="143" spans="1:8" ht="13">
      <c r="A143" s="486">
        <f t="shared" si="18"/>
        <v>86</v>
      </c>
      <c r="D143" s="465" t="s">
        <v>1473</v>
      </c>
      <c r="E143" s="7">
        <f>E139*E141</f>
        <v>55494.693982933633</v>
      </c>
      <c r="F143" s="113" t="str">
        <f>"Line "&amp;A139&amp;" * Line "&amp;A141&amp;""</f>
        <v>Line 82 * Line 84</v>
      </c>
      <c r="G143" s="14"/>
    </row>
    <row r="144" spans="1:8" ht="13">
      <c r="A144" s="486">
        <f t="shared" si="18"/>
        <v>87</v>
      </c>
      <c r="D144" s="94" t="s">
        <v>1255</v>
      </c>
      <c r="E144" s="7">
        <f>E139+E142+E143</f>
        <v>26300909.011652403</v>
      </c>
      <c r="F144" s="46" t="str">
        <f>"Line "&amp;A139&amp;" + Line "&amp;A142&amp;" + Line "&amp;A143&amp;""</f>
        <v>Line 82 + Line 85 + Line 86</v>
      </c>
      <c r="G144" s="14"/>
    </row>
    <row r="145" spans="1:8" ht="13">
      <c r="A145" s="486">
        <f t="shared" si="18"/>
        <v>88</v>
      </c>
      <c r="D145" s="465" t="s">
        <v>1471</v>
      </c>
      <c r="E145" s="7">
        <f>E139+E142</f>
        <v>26245414.31766947</v>
      </c>
      <c r="F145" s="46" t="str">
        <f>"Line "&amp;A139&amp;" + Line "&amp;A142&amp;""</f>
        <v>Line 82 + Line 85</v>
      </c>
      <c r="G145" s="14"/>
    </row>
    <row r="147" spans="1:8" ht="14.5">
      <c r="C147" s="364" t="s">
        <v>1399</v>
      </c>
    </row>
    <row r="148" spans="1:8" ht="14.5">
      <c r="C148" s="364"/>
      <c r="D148" s="84" t="s">
        <v>358</v>
      </c>
      <c r="E148" s="84" t="s">
        <v>342</v>
      </c>
      <c r="F148" s="84" t="s">
        <v>343</v>
      </c>
      <c r="G148" s="84" t="s">
        <v>344</v>
      </c>
    </row>
    <row r="149" spans="1:8" ht="12.75" customHeight="1">
      <c r="D149" s="238" t="s">
        <v>1391</v>
      </c>
      <c r="E149" s="238" t="s">
        <v>1091</v>
      </c>
    </row>
    <row r="150" spans="1:8" ht="12.75" customHeight="1">
      <c r="D150" s="3" t="s">
        <v>1468</v>
      </c>
      <c r="E150" s="3" t="s">
        <v>1468</v>
      </c>
      <c r="F150" s="3" t="s">
        <v>1400</v>
      </c>
      <c r="G150" s="239" t="s">
        <v>196</v>
      </c>
      <c r="H150" s="3" t="s">
        <v>179</v>
      </c>
    </row>
    <row r="151" spans="1:8" ht="13">
      <c r="A151" s="486">
        <f>A145+1</f>
        <v>89</v>
      </c>
      <c r="C151" s="94" t="s">
        <v>1246</v>
      </c>
      <c r="D151" s="63">
        <f t="shared" ref="D151:D159" si="19">D77+E77+F77</f>
        <v>16178.756571845186</v>
      </c>
      <c r="E151" s="63">
        <f t="shared" ref="E151:E159" si="20">D120</f>
        <v>-14878.715535185482</v>
      </c>
      <c r="F151" s="63">
        <f>(D151+E151)*('28-FFU'!$D$22+'28-FFU'!$E$22)</f>
        <v>14.797178172532256</v>
      </c>
      <c r="G151" s="63">
        <f>SUM(D151:F151)</f>
        <v>1314.8382148322366</v>
      </c>
      <c r="H151" s="46" t="s">
        <v>1170</v>
      </c>
    </row>
    <row r="152" spans="1:8" ht="13">
      <c r="A152" s="486">
        <f t="shared" ref="A152:A162" si="21">A151+1</f>
        <v>90</v>
      </c>
      <c r="C152" s="94" t="s">
        <v>1247</v>
      </c>
      <c r="D152" s="63">
        <f t="shared" si="19"/>
        <v>0</v>
      </c>
      <c r="E152" s="63">
        <f t="shared" si="20"/>
        <v>0</v>
      </c>
      <c r="F152" s="63">
        <f>(D152+E152)*('28-FFU'!$D$22+'28-FFU'!$E$22)</f>
        <v>0</v>
      </c>
      <c r="G152" s="63">
        <f t="shared" ref="G152:G159" si="22">SUM(D152:F152)</f>
        <v>0</v>
      </c>
      <c r="H152" s="46" t="s">
        <v>1170</v>
      </c>
    </row>
    <row r="153" spans="1:8" ht="13">
      <c r="A153" s="486">
        <f t="shared" si="21"/>
        <v>91</v>
      </c>
      <c r="C153" s="465" t="s">
        <v>1251</v>
      </c>
      <c r="D153" s="63">
        <f t="shared" si="19"/>
        <v>526916.11827005469</v>
      </c>
      <c r="E153" s="63">
        <f t="shared" si="20"/>
        <v>2028.7057215650707</v>
      </c>
      <c r="F153" s="63">
        <f>(D153+E153)*('28-FFU'!$D$22+'28-FFU'!$E$22)</f>
        <v>6020.4951869465176</v>
      </c>
      <c r="G153" s="63">
        <f t="shared" si="22"/>
        <v>534965.31917856622</v>
      </c>
      <c r="H153" s="46" t="s">
        <v>1170</v>
      </c>
    </row>
    <row r="154" spans="1:8" ht="13">
      <c r="A154" s="486">
        <f t="shared" si="21"/>
        <v>92</v>
      </c>
      <c r="C154" s="465" t="s">
        <v>1252</v>
      </c>
      <c r="D154" s="63">
        <f t="shared" si="19"/>
        <v>44171242.050194725</v>
      </c>
      <c r="E154" s="63">
        <f t="shared" si="20"/>
        <v>-39553455.334718741</v>
      </c>
      <c r="F154" s="63">
        <f>(D154+E154)*('28-FFU'!$D$22+'28-FFU'!$E$22)</f>
        <v>52560.043002347629</v>
      </c>
      <c r="G154" s="63">
        <f t="shared" si="22"/>
        <v>4670346.7584783314</v>
      </c>
      <c r="H154" s="46" t="s">
        <v>1170</v>
      </c>
    </row>
    <row r="155" spans="1:8" ht="13">
      <c r="A155" s="486">
        <f t="shared" si="21"/>
        <v>93</v>
      </c>
      <c r="C155" s="94" t="s">
        <v>1248</v>
      </c>
      <c r="D155" s="63">
        <f t="shared" si="19"/>
        <v>0</v>
      </c>
      <c r="E155" s="63">
        <f t="shared" si="20"/>
        <v>0</v>
      </c>
      <c r="F155" s="63">
        <f>(D155+E155)*('28-FFU'!$D$22+'28-FFU'!$E$22)</f>
        <v>0</v>
      </c>
      <c r="G155" s="63">
        <f t="shared" si="22"/>
        <v>0</v>
      </c>
      <c r="H155" s="46" t="s">
        <v>1170</v>
      </c>
    </row>
    <row r="156" spans="1:8" ht="13">
      <c r="A156" s="486">
        <f t="shared" si="21"/>
        <v>94</v>
      </c>
      <c r="C156" s="94" t="s">
        <v>1249</v>
      </c>
      <c r="D156" s="63">
        <f t="shared" si="19"/>
        <v>0</v>
      </c>
      <c r="E156" s="63">
        <f t="shared" si="20"/>
        <v>0</v>
      </c>
      <c r="F156" s="63">
        <f>(D156+E156)*('28-FFU'!$D$22+'28-FFU'!$E$22)</f>
        <v>0</v>
      </c>
      <c r="G156" s="63">
        <f t="shared" si="22"/>
        <v>0</v>
      </c>
      <c r="H156" s="46" t="s">
        <v>1170</v>
      </c>
    </row>
    <row r="157" spans="1:8" ht="13">
      <c r="A157" s="486">
        <f t="shared" si="21"/>
        <v>95</v>
      </c>
      <c r="C157" s="94" t="s">
        <v>1250</v>
      </c>
      <c r="D157" s="63">
        <f t="shared" si="19"/>
        <v>28425.16398209022</v>
      </c>
      <c r="E157" s="63">
        <f t="shared" si="20"/>
        <v>449160.54054786911</v>
      </c>
      <c r="F157" s="63">
        <f>(D157+E157)*('28-FFU'!$D$22+'28-FFU'!$E$22)</f>
        <v>5435.9213004088997</v>
      </c>
      <c r="G157" s="63">
        <f t="shared" si="22"/>
        <v>483021.62583036826</v>
      </c>
      <c r="H157" s="46" t="s">
        <v>1170</v>
      </c>
    </row>
    <row r="158" spans="1:8" ht="13">
      <c r="A158" s="486">
        <f t="shared" si="21"/>
        <v>96</v>
      </c>
      <c r="C158" s="849" t="s">
        <v>2422</v>
      </c>
      <c r="D158" s="63">
        <f t="shared" si="19"/>
        <v>4703333.7385415491</v>
      </c>
      <c r="E158" s="63">
        <f t="shared" si="20"/>
        <v>4744574.4270981634</v>
      </c>
      <c r="F158" s="63">
        <f>(D158+E158)*('28-FFU'!$D$22+'28-FFU'!$E$22)</f>
        <v>107536.89809969251</v>
      </c>
      <c r="G158" s="63">
        <f t="shared" si="22"/>
        <v>9555445.0637394059</v>
      </c>
      <c r="H158" s="46" t="s">
        <v>1170</v>
      </c>
    </row>
    <row r="159" spans="1:8" ht="13">
      <c r="A159" s="486">
        <f t="shared" si="21"/>
        <v>97</v>
      </c>
      <c r="C159" s="849" t="s">
        <v>2423</v>
      </c>
      <c r="D159" s="63">
        <f t="shared" si="19"/>
        <v>2053504.4683884492</v>
      </c>
      <c r="E159" s="63">
        <f t="shared" si="20"/>
        <v>78462.285311077299</v>
      </c>
      <c r="F159" s="63">
        <f>(D159+E159)*('28-FFU'!$D$22+'28-FFU'!$E$22)</f>
        <v>24266.227774981213</v>
      </c>
      <c r="G159" s="63">
        <f t="shared" si="22"/>
        <v>2156232.9814745081</v>
      </c>
      <c r="H159" s="46" t="s">
        <v>1170</v>
      </c>
    </row>
    <row r="160" spans="1:8" ht="13">
      <c r="A160" s="486">
        <f t="shared" si="21"/>
        <v>98</v>
      </c>
      <c r="C160" s="849" t="s">
        <v>2427</v>
      </c>
      <c r="D160" s="63">
        <f t="shared" ref="D160" si="23">D86+E86+F86</f>
        <v>9597023.4760094136</v>
      </c>
      <c r="E160" s="63">
        <f t="shared" ref="E160" si="24">D129</f>
        <v>-797596.87676882523</v>
      </c>
      <c r="F160" s="63">
        <f>(D160+E160)*('28-FFU'!$D$22+'28-FFU'!$E$22)</f>
        <v>100155.82549581099</v>
      </c>
      <c r="G160" s="63">
        <f t="shared" ref="G160" si="25">SUM(D160:F160)</f>
        <v>8899582.4247363992</v>
      </c>
      <c r="H160" s="46" t="s">
        <v>1170</v>
      </c>
    </row>
    <row r="161" spans="1:8" ht="13">
      <c r="A161" s="486">
        <f t="shared" si="21"/>
        <v>99</v>
      </c>
      <c r="C161" s="400"/>
      <c r="D161" s="1175" t="s">
        <v>76</v>
      </c>
      <c r="E161" s="1175" t="s">
        <v>76</v>
      </c>
      <c r="F161" s="1175" t="s">
        <v>76</v>
      </c>
      <c r="G161" s="1175" t="s">
        <v>76</v>
      </c>
      <c r="H161" s="46" t="s">
        <v>1170</v>
      </c>
    </row>
    <row r="162" spans="1:8" ht="13">
      <c r="A162" s="486">
        <f t="shared" si="21"/>
        <v>100</v>
      </c>
      <c r="C162" s="94" t="s">
        <v>197</v>
      </c>
      <c r="D162" s="63">
        <f>SUM(D151:D161)</f>
        <v>61096623.771958128</v>
      </c>
      <c r="E162" s="63">
        <f>SUM(E151:E161)</f>
        <v>-35091704.968344077</v>
      </c>
      <c r="F162" s="63">
        <f>SUM(F151:F161)</f>
        <v>295990.20803836029</v>
      </c>
      <c r="G162" s="63">
        <f>SUM(G151:G161)</f>
        <v>26300909.01165241</v>
      </c>
      <c r="H162" s="14"/>
    </row>
    <row r="164" spans="1:8" ht="14.5">
      <c r="C164" s="364" t="s">
        <v>1467</v>
      </c>
    </row>
    <row r="165" spans="1:8" ht="14.5">
      <c r="C165" s="364"/>
    </row>
    <row r="166" spans="1:8" ht="13">
      <c r="D166" s="84" t="s">
        <v>358</v>
      </c>
      <c r="E166" s="84" t="s">
        <v>342</v>
      </c>
      <c r="F166" s="84" t="s">
        <v>343</v>
      </c>
      <c r="G166" s="84" t="s">
        <v>344</v>
      </c>
    </row>
    <row r="167" spans="1:8" ht="12.75" customHeight="1">
      <c r="D167" s="238" t="s">
        <v>1391</v>
      </c>
      <c r="E167" s="238" t="s">
        <v>1091</v>
      </c>
      <c r="F167" s="84"/>
      <c r="G167" s="84"/>
    </row>
    <row r="168" spans="1:8" ht="12.75" customHeight="1">
      <c r="D168" s="3" t="s">
        <v>1468</v>
      </c>
      <c r="E168" s="3" t="s">
        <v>1468</v>
      </c>
      <c r="F168" s="3" t="s">
        <v>1442</v>
      </c>
      <c r="G168" s="239" t="s">
        <v>196</v>
      </c>
      <c r="H168" s="3" t="s">
        <v>179</v>
      </c>
    </row>
    <row r="169" spans="1:8" ht="13">
      <c r="A169" s="486">
        <f>A162+1</f>
        <v>101</v>
      </c>
      <c r="C169" s="94" t="s">
        <v>1246</v>
      </c>
      <c r="D169" s="63">
        <f>D77+E77+F77</f>
        <v>16178.756571845186</v>
      </c>
      <c r="E169" s="63">
        <f t="shared" ref="E169:E177" si="26">D120</f>
        <v>-14878.715535185482</v>
      </c>
      <c r="F169" s="63">
        <f>(D169+E169)*('28-FFU'!$D$22)</f>
        <v>12.022880739053646</v>
      </c>
      <c r="G169" s="63">
        <f>SUM(D169:F169)</f>
        <v>1312.0639173987579</v>
      </c>
      <c r="H169" s="471" t="s">
        <v>1171</v>
      </c>
    </row>
    <row r="170" spans="1:8" ht="13">
      <c r="A170" s="486">
        <f t="shared" ref="A170:A180" si="27">A169+1</f>
        <v>102</v>
      </c>
      <c r="C170" s="94" t="s">
        <v>1247</v>
      </c>
      <c r="D170" s="63">
        <f t="shared" ref="D170:D177" si="28">D78+E78+F78</f>
        <v>0</v>
      </c>
      <c r="E170" s="63">
        <f t="shared" si="26"/>
        <v>0</v>
      </c>
      <c r="F170" s="63">
        <f>(D170+E170)*('28-FFU'!$D$22)</f>
        <v>0</v>
      </c>
      <c r="G170" s="63">
        <f t="shared" ref="G170:G177" si="29">SUM(D170:F170)</f>
        <v>0</v>
      </c>
      <c r="H170" s="471" t="s">
        <v>1171</v>
      </c>
    </row>
    <row r="171" spans="1:8" ht="13">
      <c r="A171" s="486">
        <f t="shared" si="27"/>
        <v>103</v>
      </c>
      <c r="C171" s="465" t="s">
        <v>1251</v>
      </c>
      <c r="D171" s="63">
        <f t="shared" si="28"/>
        <v>526916.11827005469</v>
      </c>
      <c r="E171" s="63">
        <f t="shared" si="26"/>
        <v>2028.7057215650707</v>
      </c>
      <c r="F171" s="63">
        <f>(D171+E171)*('28-FFU'!$D$22)</f>
        <v>4891.7229203247052</v>
      </c>
      <c r="G171" s="63">
        <f t="shared" si="29"/>
        <v>533836.5469119444</v>
      </c>
      <c r="H171" s="471" t="s">
        <v>1171</v>
      </c>
    </row>
    <row r="172" spans="1:8" ht="13">
      <c r="A172" s="486">
        <f t="shared" si="27"/>
        <v>104</v>
      </c>
      <c r="C172" s="465" t="s">
        <v>1252</v>
      </c>
      <c r="D172" s="63">
        <f t="shared" si="28"/>
        <v>44171242.050194725</v>
      </c>
      <c r="E172" s="63">
        <f t="shared" si="26"/>
        <v>-39553455.334718741</v>
      </c>
      <c r="F172" s="63">
        <f>(D172+E172)*('28-FFU'!$D$22)</f>
        <v>42705.651124062599</v>
      </c>
      <c r="G172" s="63">
        <f t="shared" si="29"/>
        <v>4660492.3666000469</v>
      </c>
      <c r="H172" s="471" t="s">
        <v>1171</v>
      </c>
    </row>
    <row r="173" spans="1:8" ht="13">
      <c r="A173" s="486">
        <f t="shared" si="27"/>
        <v>105</v>
      </c>
      <c r="C173" s="94" t="s">
        <v>1248</v>
      </c>
      <c r="D173" s="63">
        <f t="shared" si="28"/>
        <v>0</v>
      </c>
      <c r="E173" s="63">
        <f t="shared" si="26"/>
        <v>0</v>
      </c>
      <c r="F173" s="63">
        <f>(D173+E173)*('28-FFU'!$D$22)</f>
        <v>0</v>
      </c>
      <c r="G173" s="63">
        <f t="shared" si="29"/>
        <v>0</v>
      </c>
      <c r="H173" s="471" t="s">
        <v>1171</v>
      </c>
    </row>
    <row r="174" spans="1:8" ht="13">
      <c r="A174" s="486">
        <f t="shared" si="27"/>
        <v>106</v>
      </c>
      <c r="C174" s="94" t="s">
        <v>1249</v>
      </c>
      <c r="D174" s="63">
        <f t="shared" si="28"/>
        <v>0</v>
      </c>
      <c r="E174" s="63">
        <f t="shared" si="26"/>
        <v>0</v>
      </c>
      <c r="F174" s="63">
        <f>(D174+E174)*('28-FFU'!$D$22)</f>
        <v>0</v>
      </c>
      <c r="G174" s="63">
        <f t="shared" si="29"/>
        <v>0</v>
      </c>
      <c r="H174" s="471" t="s">
        <v>1171</v>
      </c>
    </row>
    <row r="175" spans="1:8" ht="13">
      <c r="A175" s="486">
        <f t="shared" si="27"/>
        <v>107</v>
      </c>
      <c r="C175" s="94" t="s">
        <v>1250</v>
      </c>
      <c r="D175" s="63">
        <f t="shared" si="28"/>
        <v>28425.16398209022</v>
      </c>
      <c r="E175" s="63">
        <f t="shared" si="26"/>
        <v>449160.54054786911</v>
      </c>
      <c r="F175" s="63">
        <f>(D175+E175)*('28-FFU'!$D$22)</f>
        <v>4416.7497842943976</v>
      </c>
      <c r="G175" s="63">
        <f t="shared" si="29"/>
        <v>482002.45431425376</v>
      </c>
      <c r="H175" s="471" t="s">
        <v>1171</v>
      </c>
    </row>
    <row r="176" spans="1:8" ht="13">
      <c r="A176" s="486">
        <f t="shared" si="27"/>
        <v>108</v>
      </c>
      <c r="C176" s="849" t="s">
        <v>2422</v>
      </c>
      <c r="D176" s="63">
        <f t="shared" si="28"/>
        <v>4703333.7385415491</v>
      </c>
      <c r="E176" s="63">
        <f t="shared" si="26"/>
        <v>4744574.4270981634</v>
      </c>
      <c r="F176" s="63">
        <f>(D176+E176)*('28-FFU'!$D$22)</f>
        <v>87374.990408668687</v>
      </c>
      <c r="G176" s="63">
        <f t="shared" si="29"/>
        <v>9535283.1560483817</v>
      </c>
      <c r="H176" s="471" t="s">
        <v>1171</v>
      </c>
    </row>
    <row r="177" spans="1:11" ht="13">
      <c r="A177" s="486">
        <f t="shared" si="27"/>
        <v>109</v>
      </c>
      <c r="C177" s="849" t="s">
        <v>2423</v>
      </c>
      <c r="D177" s="63">
        <f t="shared" si="28"/>
        <v>2053504.4683884492</v>
      </c>
      <c r="E177" s="63">
        <f t="shared" si="26"/>
        <v>78462.285311077299</v>
      </c>
      <c r="F177" s="63">
        <f>(D177+E177)*('28-FFU'!$D$22)</f>
        <v>19716.594550904349</v>
      </c>
      <c r="G177" s="63">
        <f t="shared" si="29"/>
        <v>2151683.348250431</v>
      </c>
      <c r="H177" s="471" t="s">
        <v>1171</v>
      </c>
    </row>
    <row r="178" spans="1:11" ht="13">
      <c r="A178" s="486">
        <f t="shared" si="27"/>
        <v>110</v>
      </c>
      <c r="C178" s="849" t="s">
        <v>2427</v>
      </c>
      <c r="D178" s="63">
        <f t="shared" ref="D178" si="30">D86+E86+F86</f>
        <v>9597023.4760094136</v>
      </c>
      <c r="E178" s="63">
        <f t="shared" ref="E178" si="31">D129</f>
        <v>-797596.87676882523</v>
      </c>
      <c r="F178" s="63">
        <f>(D178+E178)*('28-FFU'!$D$22)</f>
        <v>81377.782386432853</v>
      </c>
      <c r="G178" s="63">
        <f t="shared" ref="G178" si="32">SUM(D178:F178)</f>
        <v>8880804.3816270214</v>
      </c>
      <c r="H178" s="471" t="s">
        <v>1171</v>
      </c>
    </row>
    <row r="179" spans="1:11" ht="13">
      <c r="A179" s="486">
        <f t="shared" si="27"/>
        <v>111</v>
      </c>
      <c r="C179" s="400"/>
      <c r="D179" s="1175" t="s">
        <v>76</v>
      </c>
      <c r="E179" s="1175" t="s">
        <v>76</v>
      </c>
      <c r="F179" s="1175" t="s">
        <v>76</v>
      </c>
      <c r="G179" s="1175" t="s">
        <v>76</v>
      </c>
      <c r="H179" s="471" t="s">
        <v>1171</v>
      </c>
    </row>
    <row r="180" spans="1:11" ht="13">
      <c r="A180" s="486">
        <f t="shared" si="27"/>
        <v>112</v>
      </c>
      <c r="C180" s="94" t="s">
        <v>197</v>
      </c>
      <c r="D180" s="63">
        <f>SUM(D169:D179)</f>
        <v>61096623.771958128</v>
      </c>
      <c r="E180" s="63">
        <f>SUM(E169:E179)</f>
        <v>-35091704.968344077</v>
      </c>
      <c r="F180" s="63">
        <f>SUM(F169:F179)</f>
        <v>240495.51405542664</v>
      </c>
      <c r="G180" s="63">
        <f>SUM(G169:G179)</f>
        <v>26245414.317669481</v>
      </c>
    </row>
    <row r="182" spans="1:11" ht="13">
      <c r="B182" s="1" t="s">
        <v>230</v>
      </c>
    </row>
    <row r="183" spans="1:11">
      <c r="B183" s="109"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6" t="str">
        <f>"(Sum Lines "&amp;A64&amp;" to "&amp;A67&amp;") * (FF Factor from 28-FFU) for True Up TRR"</f>
        <v>(Sum Lines 33 to 36)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6"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13"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6"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13" t="str">
        <f>"ROE Adder is from Lines "&amp;A66&amp;" and "&amp;A67&amp;".  FF&amp;U Expenses are based on FF&amp;U Factors on 28-FFU."</f>
        <v>ROE Adder is from Lines 35 and 36.  FF&amp;U Expenses are based on FF&amp;U Factors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6" t="str">
        <f>"Column 2 is from Lines "&amp;A120&amp;" to "&amp;A130&amp;" (no FF&amp;U)."</f>
        <v>Column 2 is from Lines 68 to 78 (no FF&amp;U).</v>
      </c>
      <c r="C193" s="14"/>
      <c r="D193" s="14"/>
      <c r="E193" s="14"/>
      <c r="F193" s="14"/>
      <c r="G193" s="14"/>
      <c r="H193" s="14"/>
      <c r="I193" s="14"/>
      <c r="J193" s="14"/>
      <c r="K193" s="14"/>
    </row>
    <row r="194" spans="2:11">
      <c r="B194" s="466"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469" t="s">
        <v>1470</v>
      </c>
      <c r="C195" s="14"/>
      <c r="D195" s="14"/>
      <c r="E195" s="14"/>
      <c r="F195" s="14"/>
      <c r="G195" s="14"/>
      <c r="H195" s="14"/>
    </row>
    <row r="196" spans="2:11">
      <c r="B196" s="14"/>
      <c r="C196" s="14"/>
      <c r="D196" s="14"/>
      <c r="E196" s="14"/>
      <c r="F196" s="14"/>
      <c r="G196" s="14"/>
      <c r="H196" s="14"/>
    </row>
  </sheetData>
  <pageMargins left="0.7" right="0.7" top="0.75" bottom="0.75" header="0.3" footer="0.3"/>
  <pageSetup scale="70" orientation="portrait" cellComments="asDisplayed" r:id="rId1"/>
  <headerFooter>
    <oddHeader>&amp;CSchedule 24
CWIP TRR
&amp;RTO2021 Draft Annual Update 
Attachment 1</oddHeader>
    <oddFooter>&amp;R24-CWIPTRR</oddFooter>
  </headerFooter>
  <rowBreaks count="2" manualBreakCount="2">
    <brk id="70"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zoomScaleNormal="100" workbookViewId="0"/>
  </sheetViews>
  <sheetFormatPr defaultRowHeight="12.5"/>
  <cols>
    <col min="1" max="1" width="4.54296875" customWidth="1"/>
    <col min="6" max="6" width="17.81640625" customWidth="1"/>
    <col min="7" max="7" width="21.54296875" customWidth="1"/>
    <col min="8" max="8" width="15.54296875" customWidth="1"/>
    <col min="9" max="9" width="14.54296875" customWidth="1"/>
  </cols>
  <sheetData>
    <row r="1" spans="1:12" ht="13">
      <c r="A1" s="1" t="s">
        <v>1320</v>
      </c>
      <c r="B1" s="228"/>
      <c r="C1" s="228"/>
      <c r="D1" s="228"/>
      <c r="E1" s="228"/>
      <c r="F1" s="228"/>
      <c r="G1" s="228"/>
      <c r="H1" s="228"/>
      <c r="I1" s="228"/>
      <c r="J1" s="228"/>
      <c r="K1" s="228"/>
      <c r="L1" s="228"/>
    </row>
    <row r="2" spans="1:12" ht="13">
      <c r="A2" s="1"/>
      <c r="B2" s="228"/>
      <c r="C2" s="1287" t="s">
        <v>2537</v>
      </c>
      <c r="D2" s="515" t="s">
        <v>2861</v>
      </c>
      <c r="E2" s="975"/>
      <c r="F2" s="975"/>
      <c r="G2" s="236"/>
      <c r="H2" s="441" t="s">
        <v>17</v>
      </c>
      <c r="I2" s="387"/>
      <c r="J2" s="228"/>
      <c r="K2" s="228"/>
      <c r="L2" s="228"/>
    </row>
    <row r="3" spans="1:12" ht="13">
      <c r="A3" s="1"/>
      <c r="B3" s="228" t="s">
        <v>1321</v>
      </c>
      <c r="C3" s="228"/>
      <c r="D3" s="228"/>
      <c r="E3" s="228"/>
      <c r="F3" s="228"/>
      <c r="G3" s="228"/>
      <c r="H3" s="236"/>
      <c r="I3" s="236"/>
      <c r="J3" s="228"/>
      <c r="K3" s="228"/>
      <c r="L3" s="228"/>
    </row>
    <row r="4" spans="1:12" ht="13">
      <c r="A4" s="1"/>
      <c r="B4" s="236" t="s">
        <v>1810</v>
      </c>
      <c r="C4" s="236"/>
      <c r="D4" s="236"/>
      <c r="E4" s="236"/>
      <c r="F4" s="236"/>
      <c r="G4" s="236"/>
      <c r="H4" s="236"/>
      <c r="I4" s="236"/>
      <c r="J4" s="228"/>
      <c r="K4" s="228"/>
      <c r="L4" s="228"/>
    </row>
    <row r="5" spans="1:12" ht="13">
      <c r="A5" s="1"/>
      <c r="B5" s="236" t="s">
        <v>1724</v>
      </c>
      <c r="C5" s="236"/>
      <c r="D5" s="236"/>
      <c r="E5" s="236"/>
      <c r="F5" s="236"/>
      <c r="G5" s="236"/>
      <c r="H5" s="236"/>
      <c r="I5" s="236"/>
      <c r="J5" s="228"/>
      <c r="K5" s="228"/>
      <c r="L5" s="228"/>
    </row>
    <row r="6" spans="1:12" ht="13">
      <c r="A6" s="1"/>
      <c r="B6" s="236"/>
      <c r="C6" s="236"/>
      <c r="D6" s="236"/>
      <c r="E6" s="236"/>
      <c r="F6" s="236"/>
      <c r="G6" s="236"/>
      <c r="H6" s="236"/>
      <c r="I6" s="236"/>
      <c r="J6" s="228"/>
      <c r="K6" s="228"/>
      <c r="L6" s="228"/>
    </row>
    <row r="7" spans="1:12" ht="13">
      <c r="A7" s="1"/>
      <c r="B7" s="236" t="s">
        <v>1811</v>
      </c>
      <c r="C7" s="236"/>
      <c r="D7" s="236"/>
      <c r="E7" s="236"/>
      <c r="F7" s="236"/>
      <c r="G7" s="236"/>
      <c r="H7" s="236"/>
      <c r="I7" s="236"/>
      <c r="J7" s="228"/>
      <c r="K7" s="228"/>
      <c r="L7" s="228"/>
    </row>
    <row r="8" spans="1:12" ht="13">
      <c r="A8" s="1"/>
      <c r="B8" s="236" t="s">
        <v>1322</v>
      </c>
      <c r="C8" s="236"/>
      <c r="D8" s="236"/>
      <c r="E8" s="236"/>
      <c r="F8" s="236"/>
      <c r="G8" s="236"/>
      <c r="H8" s="236"/>
      <c r="I8" s="236"/>
      <c r="J8" s="228"/>
      <c r="K8" s="228"/>
      <c r="L8" s="228"/>
    </row>
    <row r="9" spans="1:12" ht="13">
      <c r="A9" s="1"/>
      <c r="B9" s="236" t="s">
        <v>1323</v>
      </c>
      <c r="C9" s="236"/>
      <c r="D9" s="236"/>
      <c r="E9" s="236"/>
      <c r="F9" s="236"/>
      <c r="G9" s="236"/>
      <c r="H9" s="236"/>
      <c r="I9" s="236"/>
      <c r="J9" s="228"/>
      <c r="K9" s="228"/>
      <c r="L9" s="228"/>
    </row>
    <row r="10" spans="1:12" ht="13">
      <c r="A10" s="1"/>
      <c r="B10" s="236"/>
      <c r="C10" s="236"/>
      <c r="D10" s="236"/>
      <c r="E10" s="236"/>
      <c r="F10" s="236"/>
      <c r="G10" s="236"/>
      <c r="H10" s="442" t="s">
        <v>1324</v>
      </c>
      <c r="I10" s="236"/>
      <c r="J10" s="228"/>
      <c r="K10" s="228"/>
      <c r="L10" s="228"/>
    </row>
    <row r="11" spans="1:12" ht="14.5">
      <c r="A11" s="1"/>
      <c r="B11" s="236"/>
      <c r="C11" s="236"/>
      <c r="D11" s="236"/>
      <c r="E11" s="236"/>
      <c r="F11" s="236"/>
      <c r="G11" s="442" t="s">
        <v>173</v>
      </c>
      <c r="H11" s="912" t="s">
        <v>1325</v>
      </c>
      <c r="I11" s="442" t="s">
        <v>323</v>
      </c>
      <c r="J11" s="228"/>
      <c r="K11" s="228"/>
      <c r="L11" s="228"/>
    </row>
    <row r="12" spans="1:12" ht="13">
      <c r="A12" s="51" t="s">
        <v>329</v>
      </c>
      <c r="B12" s="236"/>
      <c r="C12" s="236"/>
      <c r="D12" s="236"/>
      <c r="E12" s="236"/>
      <c r="F12" s="236"/>
      <c r="G12" s="443" t="s">
        <v>287</v>
      </c>
      <c r="H12" s="443" t="s">
        <v>287</v>
      </c>
      <c r="I12" s="443" t="s">
        <v>1326</v>
      </c>
      <c r="J12" s="228"/>
      <c r="K12" s="228"/>
      <c r="L12" s="228"/>
    </row>
    <row r="13" spans="1:12" ht="13">
      <c r="A13" s="2">
        <v>1</v>
      </c>
      <c r="B13" s="236" t="s">
        <v>1327</v>
      </c>
      <c r="C13" s="236"/>
      <c r="D13" s="236"/>
      <c r="E13" s="236"/>
      <c r="F13" s="236"/>
      <c r="G13" s="444" t="s">
        <v>221</v>
      </c>
      <c r="H13" s="444" t="s">
        <v>221</v>
      </c>
      <c r="I13" s="845" t="s">
        <v>222</v>
      </c>
      <c r="J13" s="228"/>
      <c r="K13" s="228"/>
      <c r="L13" s="228"/>
    </row>
    <row r="14" spans="1:12" ht="13">
      <c r="A14" s="2">
        <f>A13+1</f>
        <v>2</v>
      </c>
      <c r="B14" s="236" t="s">
        <v>1328</v>
      </c>
      <c r="C14" s="236"/>
      <c r="D14" s="236"/>
      <c r="E14" s="236"/>
      <c r="F14" s="236"/>
      <c r="G14" s="444" t="s">
        <v>221</v>
      </c>
      <c r="H14" s="444" t="s">
        <v>221</v>
      </c>
      <c r="I14" s="444" t="s">
        <v>221</v>
      </c>
      <c r="J14" s="228"/>
      <c r="K14" s="228"/>
      <c r="L14" s="228"/>
    </row>
    <row r="15" spans="1:12" ht="13">
      <c r="A15" s="110">
        <f>A14+1</f>
        <v>3</v>
      </c>
      <c r="B15" s="236" t="s">
        <v>1502</v>
      </c>
      <c r="C15" s="236"/>
      <c r="D15" s="236"/>
      <c r="E15" s="236"/>
      <c r="F15" s="236"/>
      <c r="G15" s="444" t="s">
        <v>221</v>
      </c>
      <c r="H15" s="444" t="s">
        <v>221</v>
      </c>
      <c r="I15" s="444" t="s">
        <v>221</v>
      </c>
      <c r="J15" s="228"/>
      <c r="K15" s="228"/>
      <c r="L15" s="228"/>
    </row>
    <row r="16" spans="1:12" ht="13">
      <c r="A16" s="2">
        <f>A15+1</f>
        <v>4</v>
      </c>
      <c r="B16" s="236" t="s">
        <v>1329</v>
      </c>
      <c r="C16" s="236"/>
      <c r="D16" s="236"/>
      <c r="E16" s="236"/>
      <c r="F16" s="236"/>
      <c r="G16" s="444" t="s">
        <v>221</v>
      </c>
      <c r="H16" s="444" t="s">
        <v>221</v>
      </c>
      <c r="I16" s="444" t="s">
        <v>222</v>
      </c>
      <c r="J16" s="228"/>
      <c r="K16" s="228"/>
      <c r="L16" s="228"/>
    </row>
    <row r="17" spans="1:12" ht="13">
      <c r="A17" s="2">
        <f>A16+1</f>
        <v>5</v>
      </c>
      <c r="B17" s="236" t="s">
        <v>1330</v>
      </c>
      <c r="C17" s="236"/>
      <c r="D17" s="236"/>
      <c r="E17" s="236"/>
      <c r="F17" s="236"/>
      <c r="G17" s="444" t="s">
        <v>222</v>
      </c>
      <c r="H17" s="444" t="s">
        <v>221</v>
      </c>
      <c r="I17" s="444" t="s">
        <v>222</v>
      </c>
      <c r="J17" s="228"/>
      <c r="K17" s="228"/>
      <c r="L17" s="228"/>
    </row>
    <row r="18" spans="1:12" ht="13">
      <c r="A18" s="110">
        <f>A17+1</f>
        <v>6</v>
      </c>
      <c r="B18" s="236" t="s">
        <v>2281</v>
      </c>
      <c r="C18" s="236"/>
      <c r="D18" s="236"/>
      <c r="E18" s="236"/>
      <c r="F18" s="236"/>
      <c r="G18" s="444" t="s">
        <v>222</v>
      </c>
      <c r="H18" s="444" t="s">
        <v>221</v>
      </c>
      <c r="I18" s="444" t="s">
        <v>222</v>
      </c>
      <c r="J18" s="228"/>
      <c r="K18" s="228"/>
      <c r="L18" s="228"/>
    </row>
    <row r="19" spans="1:12">
      <c r="A19" s="228"/>
      <c r="B19" s="228"/>
      <c r="C19" s="445"/>
      <c r="D19" s="236"/>
      <c r="E19" s="236"/>
      <c r="F19" s="236"/>
      <c r="G19" s="228"/>
      <c r="H19" s="228"/>
      <c r="I19" s="228"/>
      <c r="J19" s="228"/>
      <c r="K19" s="228"/>
      <c r="L19" s="228"/>
    </row>
    <row r="20" spans="1:12" ht="13">
      <c r="A20" s="228"/>
      <c r="B20" s="386" t="s">
        <v>1331</v>
      </c>
      <c r="C20" s="368"/>
      <c r="D20" s="236"/>
      <c r="E20" s="236"/>
      <c r="F20" s="236"/>
      <c r="G20" s="228"/>
      <c r="H20" s="228"/>
      <c r="I20" s="228"/>
      <c r="J20" s="228"/>
      <c r="K20" s="228"/>
      <c r="L20" s="228"/>
    </row>
    <row r="21" spans="1:12" ht="13">
      <c r="A21" s="228"/>
      <c r="B21" s="386"/>
      <c r="C21" s="368"/>
      <c r="D21" s="236"/>
      <c r="E21" s="236"/>
      <c r="F21" s="236"/>
      <c r="G21" s="228"/>
      <c r="H21" s="228"/>
      <c r="I21" s="228"/>
      <c r="J21" s="228"/>
      <c r="K21" s="228"/>
      <c r="L21" s="228"/>
    </row>
    <row r="22" spans="1:12" ht="13">
      <c r="A22" s="228"/>
      <c r="B22" s="446" t="s">
        <v>1332</v>
      </c>
      <c r="C22" s="370"/>
      <c r="D22" s="236"/>
      <c r="E22" s="236"/>
      <c r="F22" s="236"/>
      <c r="G22" s="228"/>
      <c r="H22" s="228"/>
      <c r="I22" s="228"/>
      <c r="J22" s="228"/>
      <c r="K22" s="228"/>
      <c r="L22" s="228"/>
    </row>
    <row r="23" spans="1:12">
      <c r="A23" s="228"/>
      <c r="B23" s="242" t="s">
        <v>2290</v>
      </c>
      <c r="C23" s="370"/>
      <c r="D23" s="236"/>
      <c r="E23" s="236"/>
      <c r="F23" s="236"/>
      <c r="G23" s="228"/>
      <c r="H23" s="228"/>
      <c r="I23" s="228"/>
      <c r="J23" s="228"/>
      <c r="K23" s="228"/>
      <c r="L23" s="228"/>
    </row>
    <row r="24" spans="1:12">
      <c r="A24" s="228"/>
      <c r="B24" s="242" t="s">
        <v>1333</v>
      </c>
      <c r="C24" s="228"/>
      <c r="D24" s="228"/>
      <c r="E24" s="228"/>
      <c r="F24" s="228"/>
      <c r="G24" s="228"/>
      <c r="H24" s="228"/>
      <c r="I24" s="228"/>
      <c r="J24" s="228"/>
      <c r="K24" s="228"/>
      <c r="L24" s="228"/>
    </row>
    <row r="25" spans="1:12" ht="13">
      <c r="A25" s="228"/>
      <c r="B25" s="228"/>
      <c r="C25" s="228"/>
      <c r="D25" s="228"/>
      <c r="E25" s="228"/>
      <c r="F25" s="228"/>
      <c r="G25" s="228"/>
      <c r="H25" s="84" t="s">
        <v>358</v>
      </c>
      <c r="I25" s="84" t="s">
        <v>342</v>
      </c>
      <c r="J25" s="228"/>
      <c r="K25" s="228"/>
      <c r="L25" s="228"/>
    </row>
    <row r="26" spans="1:12" ht="13">
      <c r="A26" s="228"/>
      <c r="B26" s="228"/>
      <c r="C26" s="228"/>
      <c r="D26" s="228"/>
      <c r="E26" s="228"/>
      <c r="F26" s="228"/>
      <c r="G26" s="228"/>
      <c r="H26" s="447" t="s">
        <v>1334</v>
      </c>
      <c r="I26" s="228"/>
      <c r="J26" s="228"/>
      <c r="K26" s="228"/>
      <c r="L26" s="228"/>
    </row>
    <row r="27" spans="1:12" ht="13">
      <c r="A27" s="228"/>
      <c r="B27" s="228"/>
      <c r="C27" s="228"/>
      <c r="D27" s="228"/>
      <c r="E27" s="228"/>
      <c r="F27" s="228"/>
      <c r="G27" s="228"/>
      <c r="H27" s="447" t="s">
        <v>287</v>
      </c>
      <c r="I27" s="231" t="s">
        <v>1335</v>
      </c>
      <c r="J27" s="228"/>
      <c r="K27" s="228"/>
      <c r="L27" s="228"/>
    </row>
    <row r="28" spans="1:12" ht="13">
      <c r="A28" s="228"/>
      <c r="B28" s="228"/>
      <c r="C28" s="228"/>
      <c r="D28" s="228"/>
      <c r="E28" s="228"/>
      <c r="F28" s="228"/>
      <c r="G28" s="26" t="s">
        <v>194</v>
      </c>
      <c r="H28" s="231" t="s">
        <v>1336</v>
      </c>
      <c r="I28" s="231" t="s">
        <v>1337</v>
      </c>
      <c r="J28" s="228"/>
      <c r="K28" s="228"/>
      <c r="L28" s="228"/>
    </row>
    <row r="29" spans="1:12" ht="14.5">
      <c r="A29" s="51"/>
      <c r="B29" s="228"/>
      <c r="C29" s="228"/>
      <c r="D29" s="228"/>
      <c r="E29" s="228"/>
      <c r="F29" s="228"/>
      <c r="G29" s="25" t="s">
        <v>179</v>
      </c>
      <c r="H29" s="448" t="s">
        <v>1338</v>
      </c>
      <c r="I29" s="239" t="s">
        <v>1325</v>
      </c>
      <c r="J29" s="362"/>
      <c r="K29" s="228"/>
      <c r="L29" s="228"/>
    </row>
    <row r="30" spans="1:12" ht="13">
      <c r="A30" s="110">
        <f>A18+1</f>
        <v>7</v>
      </c>
      <c r="B30" s="236"/>
      <c r="C30" s="236" t="s">
        <v>1339</v>
      </c>
      <c r="D30" s="236"/>
      <c r="E30" s="236"/>
      <c r="F30" s="236"/>
      <c r="G30" s="46" t="s">
        <v>1340</v>
      </c>
      <c r="H30" s="232">
        <v>31556000</v>
      </c>
      <c r="I30" s="230">
        <v>-2176300</v>
      </c>
      <c r="J30" s="228"/>
      <c r="K30" s="228"/>
      <c r="L30" s="228"/>
    </row>
    <row r="31" spans="1:12" ht="13">
      <c r="A31" s="110">
        <f>A30+1</f>
        <v>8</v>
      </c>
      <c r="B31" s="236"/>
      <c r="C31" s="236" t="s">
        <v>1341</v>
      </c>
      <c r="D31" s="236"/>
      <c r="E31" s="236"/>
      <c r="F31" s="236"/>
      <c r="G31" s="46" t="s">
        <v>1340</v>
      </c>
      <c r="H31" s="230">
        <v>-35044000</v>
      </c>
      <c r="I31" s="230">
        <v>2503000</v>
      </c>
      <c r="J31" s="228"/>
      <c r="K31" s="228"/>
      <c r="L31" s="228"/>
    </row>
    <row r="32" spans="1:12" ht="13">
      <c r="A32" s="110">
        <f>A31+1</f>
        <v>9</v>
      </c>
      <c r="B32" s="236"/>
      <c r="C32" s="236" t="s">
        <v>1503</v>
      </c>
      <c r="D32" s="236"/>
      <c r="E32" s="236"/>
      <c r="F32" s="236"/>
      <c r="G32" s="46" t="s">
        <v>1340</v>
      </c>
      <c r="H32" s="232">
        <v>-624650</v>
      </c>
      <c r="I32" s="232">
        <v>43100</v>
      </c>
      <c r="J32" s="228"/>
      <c r="K32" s="228"/>
      <c r="L32" s="228"/>
    </row>
    <row r="33" spans="1:12" ht="13">
      <c r="A33" s="110">
        <f>A32+1</f>
        <v>10</v>
      </c>
      <c r="B33" s="236"/>
      <c r="C33" s="236" t="s">
        <v>1342</v>
      </c>
      <c r="D33" s="236"/>
      <c r="E33" s="236"/>
      <c r="F33" s="236"/>
      <c r="G33" s="46" t="s">
        <v>1340</v>
      </c>
      <c r="H33" s="361">
        <v>-7410000</v>
      </c>
      <c r="I33" s="449">
        <v>511200</v>
      </c>
      <c r="J33" s="228"/>
      <c r="K33" s="228"/>
      <c r="L33" s="228"/>
    </row>
    <row r="34" spans="1:12" ht="13">
      <c r="A34" s="110">
        <f>A33+1</f>
        <v>11</v>
      </c>
      <c r="B34" s="236"/>
      <c r="C34" s="236"/>
      <c r="D34" s="236"/>
      <c r="E34" s="236"/>
      <c r="F34" s="14"/>
      <c r="G34" s="865" t="s">
        <v>197</v>
      </c>
      <c r="H34" s="232">
        <f>SUM(H30:H33)</f>
        <v>-11522650</v>
      </c>
      <c r="I34" s="232">
        <f>SUM(I30:I33)</f>
        <v>881000</v>
      </c>
      <c r="J34" s="228"/>
      <c r="K34" s="228"/>
      <c r="L34" s="228"/>
    </row>
    <row r="35" spans="1:12" ht="13">
      <c r="A35" s="110"/>
      <c r="B35" s="236"/>
      <c r="C35" s="236"/>
      <c r="D35" s="236"/>
      <c r="E35" s="236"/>
      <c r="F35" s="14"/>
      <c r="G35" s="865"/>
      <c r="H35" s="230"/>
      <c r="I35" s="230"/>
      <c r="J35" s="228"/>
      <c r="K35" s="228"/>
      <c r="L35" s="228"/>
    </row>
    <row r="36" spans="1:12" ht="13">
      <c r="A36" s="110"/>
      <c r="B36" s="913" t="s">
        <v>1343</v>
      </c>
      <c r="C36" s="236"/>
      <c r="D36" s="236"/>
      <c r="E36" s="236"/>
      <c r="F36" s="14"/>
      <c r="G36" s="865"/>
      <c r="H36" s="230"/>
      <c r="I36" s="230"/>
      <c r="J36" s="228"/>
      <c r="K36" s="228"/>
      <c r="L36" s="228"/>
    </row>
    <row r="37" spans="1:12" ht="13">
      <c r="A37" s="110"/>
      <c r="B37" s="454" t="s">
        <v>1615</v>
      </c>
      <c r="C37" s="236"/>
      <c r="D37" s="236"/>
      <c r="E37" s="236"/>
      <c r="F37" s="14"/>
      <c r="G37" s="865"/>
      <c r="H37" s="230"/>
      <c r="I37" s="230"/>
      <c r="J37" s="228"/>
      <c r="K37" s="228"/>
      <c r="L37" s="228"/>
    </row>
    <row r="38" spans="1:12" ht="13">
      <c r="A38" s="110"/>
      <c r="B38" s="454" t="s">
        <v>1344</v>
      </c>
      <c r="C38" s="236"/>
      <c r="D38" s="236"/>
      <c r="E38" s="236"/>
      <c r="F38" s="14"/>
      <c r="G38" s="865"/>
      <c r="H38" s="230"/>
      <c r="I38" s="230"/>
      <c r="J38" s="228"/>
      <c r="K38" s="228"/>
      <c r="L38" s="228"/>
    </row>
    <row r="39" spans="1:12" ht="13">
      <c r="A39" s="442"/>
      <c r="B39" s="236"/>
      <c r="C39" s="236"/>
      <c r="D39" s="236"/>
      <c r="E39" s="236"/>
      <c r="F39" s="236"/>
      <c r="G39" s="415" t="s">
        <v>194</v>
      </c>
      <c r="H39" s="228"/>
      <c r="I39" s="228"/>
      <c r="J39" s="228"/>
      <c r="K39" s="228"/>
      <c r="L39" s="228"/>
    </row>
    <row r="40" spans="1:12" ht="13">
      <c r="A40" s="442"/>
      <c r="B40" s="914"/>
      <c r="C40" s="368"/>
      <c r="D40" s="236"/>
      <c r="E40" s="236"/>
      <c r="F40" s="236"/>
      <c r="G40" s="29" t="s">
        <v>179</v>
      </c>
      <c r="H40" s="3" t="s">
        <v>171</v>
      </c>
      <c r="I40" s="451" t="s">
        <v>1345</v>
      </c>
      <c r="J40" s="228"/>
      <c r="K40" s="228"/>
      <c r="L40" s="228"/>
    </row>
    <row r="41" spans="1:12" ht="13">
      <c r="A41" s="110">
        <f>A34+1</f>
        <v>12</v>
      </c>
      <c r="B41" s="454" t="s">
        <v>1346</v>
      </c>
      <c r="C41" s="236"/>
      <c r="D41" s="236"/>
      <c r="E41" s="236"/>
      <c r="F41" s="236"/>
      <c r="G41" s="454" t="str">
        <f>"2-IFPTRR Line "&amp;'2-IFPTRR'!A25&amp;""</f>
        <v>2-IFPTRR Line 16</v>
      </c>
      <c r="H41" s="360">
        <f>'2-IFPTRR'!D25</f>
        <v>9.4358405654189348E-2</v>
      </c>
      <c r="I41" s="244">
        <v>1</v>
      </c>
      <c r="J41" s="228"/>
      <c r="K41" s="228"/>
      <c r="L41" s="228"/>
    </row>
    <row r="42" spans="1:12" ht="13">
      <c r="A42" s="110">
        <f>A41+1</f>
        <v>13</v>
      </c>
      <c r="B42" s="454" t="s">
        <v>63</v>
      </c>
      <c r="C42" s="236"/>
      <c r="D42" s="236"/>
      <c r="E42" s="236"/>
      <c r="F42" s="236"/>
      <c r="G42" s="454"/>
      <c r="H42" s="452">
        <v>2019</v>
      </c>
      <c r="I42" s="244">
        <v>2</v>
      </c>
      <c r="J42" s="228"/>
      <c r="K42" s="228"/>
      <c r="L42" s="228"/>
    </row>
    <row r="43" spans="1:12" ht="13">
      <c r="A43" s="110">
        <f>A42+1</f>
        <v>14</v>
      </c>
      <c r="B43" s="454" t="s">
        <v>1347</v>
      </c>
      <c r="C43" s="236"/>
      <c r="D43" s="236"/>
      <c r="E43" s="236"/>
      <c r="F43" s="236"/>
      <c r="G43" s="232"/>
      <c r="H43" s="230">
        <f>H34+ (I34*(H42-2010))</f>
        <v>-3593650</v>
      </c>
      <c r="I43" s="444">
        <v>3</v>
      </c>
      <c r="J43" s="228"/>
      <c r="K43" s="228"/>
      <c r="L43" s="228"/>
    </row>
    <row r="44" spans="1:12" ht="13">
      <c r="A44" s="110">
        <f>A43+1</f>
        <v>15</v>
      </c>
      <c r="B44" s="454" t="s">
        <v>1348</v>
      </c>
      <c r="C44" s="368"/>
      <c r="D44" s="236"/>
      <c r="E44" s="236"/>
      <c r="F44" s="236"/>
      <c r="G44" s="46" t="str">
        <f>"Line "&amp;A43&amp;" * Line "&amp;A41&amp;""</f>
        <v>Line 14 * Line 12</v>
      </c>
      <c r="H44" s="232">
        <f xml:space="preserve"> H43*H41</f>
        <v>-339091.08447917755</v>
      </c>
      <c r="I44" s="228"/>
      <c r="J44" s="228"/>
      <c r="K44" s="228"/>
      <c r="L44" s="228"/>
    </row>
    <row r="45" spans="1:12">
      <c r="A45" s="14"/>
      <c r="B45" s="14"/>
      <c r="C45" s="14"/>
      <c r="D45" s="14"/>
      <c r="E45" s="14"/>
      <c r="F45" s="14"/>
      <c r="G45" s="14"/>
      <c r="L45" s="228"/>
    </row>
    <row r="46" spans="1:12" ht="13">
      <c r="B46" s="386" t="s">
        <v>1508</v>
      </c>
      <c r="L46" s="228"/>
    </row>
    <row r="47" spans="1:12">
      <c r="L47" s="228"/>
    </row>
    <row r="48" spans="1:12">
      <c r="B48" s="228" t="str">
        <f>"The annual Wholesale Expense Difference impact is the negative of amounts stated in Lines "&amp;A30&amp;" to "&amp;A33&amp;" above, Column 2."</f>
        <v>The annual Wholesale Expense Difference impact is the negative of amounts stated in Lines 7 to 10 above, Column 2.</v>
      </c>
      <c r="L48" s="228"/>
    </row>
    <row r="49" spans="1:12">
      <c r="B49" s="228" t="s">
        <v>1375</v>
      </c>
      <c r="L49" s="228"/>
    </row>
    <row r="50" spans="1:12">
      <c r="A50" s="228"/>
      <c r="B50" s="228" t="s">
        <v>1616</v>
      </c>
      <c r="C50" s="228"/>
      <c r="D50" s="228"/>
      <c r="E50" s="228"/>
      <c r="F50" s="228"/>
      <c r="G50" s="228"/>
      <c r="H50" s="228"/>
      <c r="I50" s="228"/>
      <c r="J50" s="228"/>
      <c r="K50" s="228"/>
      <c r="L50" s="228"/>
    </row>
    <row r="52" spans="1:12" ht="13">
      <c r="A52" s="228"/>
      <c r="B52" s="70" t="s">
        <v>1349</v>
      </c>
      <c r="C52" s="228"/>
      <c r="D52" s="228"/>
      <c r="E52" s="228"/>
      <c r="F52" s="228"/>
      <c r="G52" s="228"/>
      <c r="H52" s="228"/>
      <c r="I52" s="228"/>
      <c r="J52" s="228"/>
      <c r="K52" s="228"/>
      <c r="L52" s="228"/>
    </row>
    <row r="53" spans="1:12" ht="13">
      <c r="A53" s="228"/>
      <c r="B53" s="228"/>
      <c r="C53" s="228"/>
      <c r="D53" s="228"/>
      <c r="E53" s="228"/>
      <c r="F53" s="228"/>
      <c r="G53" s="26"/>
      <c r="H53" s="228"/>
      <c r="I53" s="228"/>
      <c r="J53" s="228"/>
      <c r="K53" s="228"/>
      <c r="L53" s="228"/>
    </row>
    <row r="54" spans="1:12" ht="13">
      <c r="B54" s="228"/>
      <c r="C54" s="228"/>
      <c r="D54" s="228"/>
      <c r="E54" s="228"/>
      <c r="F54" s="228"/>
      <c r="G54" s="25" t="s">
        <v>179</v>
      </c>
      <c r="H54" s="3" t="s">
        <v>171</v>
      </c>
      <c r="I54" s="228"/>
      <c r="J54" s="362"/>
      <c r="K54" s="228"/>
      <c r="L54" s="228"/>
    </row>
    <row r="55" spans="1:12" ht="13">
      <c r="A55" s="110">
        <f>A44+1</f>
        <v>16</v>
      </c>
      <c r="B55" s="454" t="s">
        <v>1350</v>
      </c>
      <c r="C55" s="236"/>
      <c r="D55" s="236"/>
      <c r="E55" s="236"/>
      <c r="F55" s="236"/>
      <c r="G55" s="46" t="str">
        <f>"Line "&amp;A31&amp;""</f>
        <v>Line 8</v>
      </c>
      <c r="H55" s="230">
        <f>I31</f>
        <v>2503000</v>
      </c>
      <c r="I55" s="228"/>
      <c r="J55" s="228"/>
      <c r="K55" s="228"/>
      <c r="L55" s="228"/>
    </row>
    <row r="56" spans="1:12" ht="13">
      <c r="A56" s="110">
        <f>A55+1</f>
        <v>17</v>
      </c>
      <c r="B56" s="46" t="s">
        <v>289</v>
      </c>
      <c r="C56" s="236"/>
      <c r="D56" s="236"/>
      <c r="E56" s="236"/>
      <c r="F56" s="236"/>
      <c r="G56" s="454" t="str">
        <f>"1-BaseTRR L "&amp;'1-BaseTRR'!A104&amp;""</f>
        <v>1-BaseTRR L 59</v>
      </c>
      <c r="H56" s="384">
        <f>'1-BaseTRR'!K104</f>
        <v>0.27983599999999997</v>
      </c>
      <c r="I56" s="228"/>
      <c r="J56" s="228"/>
      <c r="K56" s="228"/>
      <c r="L56" s="228"/>
    </row>
    <row r="57" spans="1:12" ht="13">
      <c r="A57" s="110">
        <f>A56+1</f>
        <v>18</v>
      </c>
      <c r="B57" s="46" t="s">
        <v>1374</v>
      </c>
      <c r="C57" s="236"/>
      <c r="D57" s="236"/>
      <c r="E57" s="236"/>
      <c r="F57" s="236"/>
      <c r="G57" s="856" t="s">
        <v>288</v>
      </c>
      <c r="H57" s="453">
        <f>1/(1-H56)</f>
        <v>1.3885726029071155</v>
      </c>
      <c r="I57" s="228"/>
      <c r="J57" s="228"/>
      <c r="K57" s="228"/>
      <c r="L57" s="228"/>
    </row>
    <row r="58" spans="1:12" ht="13">
      <c r="A58" s="110">
        <f>A57+1</f>
        <v>19</v>
      </c>
      <c r="B58" s="46" t="s">
        <v>331</v>
      </c>
      <c r="C58" s="236"/>
      <c r="D58" s="236"/>
      <c r="E58" s="236"/>
      <c r="F58" s="236"/>
      <c r="G58" s="236"/>
      <c r="H58" s="228"/>
      <c r="I58" s="228"/>
      <c r="J58" s="228"/>
      <c r="K58" s="228"/>
      <c r="L58" s="228"/>
    </row>
    <row r="59" spans="1:12" ht="13">
      <c r="A59" s="110">
        <f>A58+1</f>
        <v>20</v>
      </c>
      <c r="B59" s="46" t="s">
        <v>330</v>
      </c>
      <c r="C59" s="236"/>
      <c r="D59" s="236"/>
      <c r="E59" s="236"/>
      <c r="F59" s="236"/>
      <c r="G59" s="46" t="str">
        <f>"- Line "&amp;A55&amp;" * Line "&amp;A57&amp;""</f>
        <v>- Line 16 * Line 18</v>
      </c>
      <c r="H59" s="230">
        <f>-H57*H55</f>
        <v>-3475597.2250765101</v>
      </c>
      <c r="I59" s="228"/>
      <c r="J59" s="228"/>
      <c r="K59" s="228"/>
      <c r="L59" s="228"/>
    </row>
    <row r="60" spans="1:12">
      <c r="A60" s="14"/>
      <c r="B60" s="14"/>
      <c r="C60" s="14"/>
      <c r="D60" s="14"/>
      <c r="E60" s="14"/>
      <c r="F60" s="14"/>
      <c r="G60" s="14"/>
    </row>
    <row r="61" spans="1:12" ht="13">
      <c r="A61" s="14"/>
      <c r="B61" s="915" t="s">
        <v>1505</v>
      </c>
      <c r="C61" s="14"/>
      <c r="D61" s="14"/>
      <c r="E61" s="14"/>
      <c r="F61" s="14"/>
      <c r="G61" s="14"/>
    </row>
    <row r="62" spans="1:12">
      <c r="A62" s="14"/>
      <c r="B62" s="14"/>
      <c r="C62" s="14"/>
      <c r="D62" s="14"/>
      <c r="E62" s="14"/>
      <c r="F62" s="14"/>
      <c r="G62" s="14"/>
    </row>
    <row r="63" spans="1:12" ht="13">
      <c r="A63" s="14"/>
      <c r="B63" s="14"/>
      <c r="C63" s="14"/>
      <c r="D63" s="14"/>
      <c r="E63" s="14"/>
      <c r="F63" s="14"/>
      <c r="G63" s="29" t="s">
        <v>179</v>
      </c>
      <c r="H63" s="3" t="s">
        <v>171</v>
      </c>
    </row>
    <row r="64" spans="1:12" ht="13">
      <c r="A64" s="110">
        <f>A59+1</f>
        <v>21</v>
      </c>
      <c r="B64" s="454" t="s">
        <v>1504</v>
      </c>
      <c r="C64" s="14"/>
      <c r="D64" s="14"/>
      <c r="E64" s="14"/>
      <c r="F64" s="14"/>
      <c r="G64" s="46" t="str">
        <f>"Line "&amp;A32&amp;""</f>
        <v>Line 9</v>
      </c>
      <c r="H64" s="7">
        <f>I32</f>
        <v>43100</v>
      </c>
    </row>
    <row r="65" spans="1:12" ht="13">
      <c r="A65" s="110">
        <f>A64+1</f>
        <v>22</v>
      </c>
      <c r="B65" s="46" t="s">
        <v>1374</v>
      </c>
      <c r="C65" s="236"/>
      <c r="D65" s="236"/>
      <c r="E65" s="236"/>
      <c r="F65" s="236"/>
      <c r="G65" s="46" t="str">
        <f>"Line "&amp;A57&amp;""</f>
        <v>Line 18</v>
      </c>
      <c r="H65" s="453">
        <f>H57</f>
        <v>1.3885726029071155</v>
      </c>
    </row>
    <row r="66" spans="1:12" ht="13">
      <c r="A66" s="110">
        <f>A65+1</f>
        <v>23</v>
      </c>
      <c r="B66" s="454" t="s">
        <v>1506</v>
      </c>
      <c r="C66" s="14"/>
      <c r="D66" s="14"/>
      <c r="E66" s="14"/>
      <c r="F66" s="14"/>
      <c r="G66" s="46" t="str">
        <f>"- Line "&amp;A64&amp;" * Line "&amp;A65&amp;""</f>
        <v>- Line 21 * Line 22</v>
      </c>
      <c r="H66" s="7">
        <f>-H64*H65</f>
        <v>-59847.479185296681</v>
      </c>
    </row>
    <row r="67" spans="1:12" ht="13">
      <c r="A67" s="110">
        <f t="shared" ref="A67:A74" si="0">A66+1</f>
        <v>24</v>
      </c>
      <c r="B67" s="454"/>
      <c r="C67" s="14"/>
      <c r="D67" s="14"/>
      <c r="E67" s="14"/>
      <c r="F67" s="14"/>
      <c r="G67" s="46"/>
      <c r="H67" s="7"/>
    </row>
    <row r="68" spans="1:12" ht="13">
      <c r="A68" s="110">
        <f t="shared" si="0"/>
        <v>25</v>
      </c>
      <c r="B68" s="915" t="s">
        <v>2282</v>
      </c>
      <c r="C68" s="14"/>
      <c r="D68" s="14"/>
      <c r="E68" s="14"/>
      <c r="F68" s="14"/>
      <c r="G68" s="46"/>
      <c r="H68" s="7"/>
    </row>
    <row r="69" spans="1:12" ht="13">
      <c r="A69" s="110">
        <f t="shared" si="0"/>
        <v>26</v>
      </c>
      <c r="B69" s="454"/>
      <c r="C69" s="14"/>
      <c r="D69" s="14"/>
      <c r="E69" s="14"/>
      <c r="F69" s="14"/>
      <c r="G69" s="29" t="s">
        <v>179</v>
      </c>
      <c r="H69" s="7"/>
      <c r="I69" s="543" t="s">
        <v>1345</v>
      </c>
    </row>
    <row r="70" spans="1:12" ht="13">
      <c r="A70" s="110">
        <f t="shared" si="0"/>
        <v>27</v>
      </c>
      <c r="B70" s="454" t="s">
        <v>2283</v>
      </c>
      <c r="C70" s="14"/>
      <c r="D70" s="14"/>
      <c r="E70" s="14"/>
      <c r="F70" s="14"/>
      <c r="G70" s="466" t="s">
        <v>33</v>
      </c>
      <c r="H70" s="995">
        <v>0</v>
      </c>
      <c r="I70" s="466" t="s">
        <v>1170</v>
      </c>
    </row>
    <row r="71" spans="1:12" ht="13">
      <c r="A71" s="110">
        <f t="shared" si="0"/>
        <v>28</v>
      </c>
      <c r="B71" s="454" t="s">
        <v>2284</v>
      </c>
      <c r="C71" s="14"/>
      <c r="D71" s="14"/>
      <c r="E71" s="14"/>
      <c r="F71" s="14"/>
      <c r="G71" s="466" t="s">
        <v>33</v>
      </c>
      <c r="H71" s="995">
        <v>55939</v>
      </c>
      <c r="I71" s="16" t="s">
        <v>1170</v>
      </c>
    </row>
    <row r="72" spans="1:12" ht="13">
      <c r="A72" s="110">
        <f t="shared" si="0"/>
        <v>29</v>
      </c>
      <c r="B72" s="454" t="s">
        <v>2285</v>
      </c>
      <c r="C72" s="14"/>
      <c r="D72" s="14"/>
      <c r="E72" s="14"/>
      <c r="F72" s="14"/>
      <c r="G72" s="856" t="str">
        <f>"Line "&amp;A70&amp;" + "&amp;A71&amp;""</f>
        <v>Line 27 + 28</v>
      </c>
      <c r="H72" s="916">
        <f>SUM(H70:H71)</f>
        <v>55939</v>
      </c>
    </row>
    <row r="73" spans="1:12" ht="13">
      <c r="A73" s="110">
        <f t="shared" si="0"/>
        <v>30</v>
      </c>
      <c r="B73" s="454" t="s">
        <v>93</v>
      </c>
      <c r="C73" s="14"/>
      <c r="D73" s="14"/>
      <c r="E73" s="14"/>
      <c r="F73" s="14"/>
      <c r="G73" s="454" t="str">
        <f>"27-Allocators, Line "&amp;'27-Allocators'!A15&amp;""</f>
        <v>27-Allocators, Line 9</v>
      </c>
      <c r="H73" s="49">
        <f>'27-Allocators'!G15</f>
        <v>6.5680595610890333E-2</v>
      </c>
    </row>
    <row r="74" spans="1:12" ht="13">
      <c r="A74" s="110">
        <f t="shared" si="0"/>
        <v>31</v>
      </c>
      <c r="B74" s="454" t="s">
        <v>2286</v>
      </c>
      <c r="C74" s="14"/>
      <c r="D74" s="14"/>
      <c r="E74" s="14"/>
      <c r="F74" s="14"/>
      <c r="G74" s="856" t="str">
        <f>"Line "&amp;A72&amp;" * "&amp;A73&amp;""</f>
        <v>Line 29 * 30</v>
      </c>
      <c r="H74" s="63">
        <f>H72*H73</f>
        <v>3674.1068378775944</v>
      </c>
    </row>
    <row r="75" spans="1:12">
      <c r="G75" s="14"/>
    </row>
    <row r="76" spans="1:12" ht="13">
      <c r="A76" s="236"/>
      <c r="B76" s="913" t="s">
        <v>1812</v>
      </c>
      <c r="C76" s="236"/>
      <c r="D76" s="236"/>
      <c r="E76" s="236"/>
      <c r="F76" s="236"/>
      <c r="G76" s="236"/>
      <c r="H76" s="236"/>
      <c r="I76" s="451" t="s">
        <v>1345</v>
      </c>
      <c r="J76" s="228"/>
      <c r="K76" s="228"/>
      <c r="L76" s="228"/>
    </row>
    <row r="77" spans="1:12" ht="13">
      <c r="A77" s="110">
        <f>A74+1</f>
        <v>32</v>
      </c>
      <c r="B77" s="445" t="s">
        <v>1525</v>
      </c>
      <c r="C77" s="236"/>
      <c r="D77" s="236"/>
      <c r="E77" s="236"/>
      <c r="F77" s="236"/>
      <c r="G77" s="454" t="str">
        <f>" - Line "&amp;A30&amp;", Col. 2"</f>
        <v xml:space="preserve"> - Line 7, Col. 2</v>
      </c>
      <c r="H77" s="232">
        <f>-I30</f>
        <v>2176300</v>
      </c>
      <c r="I77" s="228"/>
      <c r="J77" s="228"/>
      <c r="K77" s="228"/>
      <c r="L77" s="228"/>
    </row>
    <row r="78" spans="1:12" ht="13">
      <c r="A78" s="110">
        <f>A77+1</f>
        <v>33</v>
      </c>
      <c r="B78" s="445" t="s">
        <v>1341</v>
      </c>
      <c r="C78" s="236"/>
      <c r="D78" s="236"/>
      <c r="E78" s="236"/>
      <c r="F78" s="236"/>
      <c r="G78" s="454" t="str">
        <f>"Line "&amp;A59&amp;""</f>
        <v>Line 20</v>
      </c>
      <c r="H78" s="232">
        <f>H59</f>
        <v>-3475597.2250765101</v>
      </c>
      <c r="I78" s="228"/>
      <c r="J78" s="228"/>
      <c r="K78" s="228"/>
      <c r="L78" s="228"/>
    </row>
    <row r="79" spans="1:12" ht="13">
      <c r="A79" s="110">
        <f>A78+1</f>
        <v>34</v>
      </c>
      <c r="B79" s="445" t="s">
        <v>1503</v>
      </c>
      <c r="C79" s="236"/>
      <c r="D79" s="236"/>
      <c r="E79" s="236"/>
      <c r="F79" s="236"/>
      <c r="G79" s="454" t="str">
        <f>"Line "&amp;A66&amp;""</f>
        <v>Line 23</v>
      </c>
      <c r="H79" s="232">
        <f>H66</f>
        <v>-59847.479185296681</v>
      </c>
      <c r="I79" s="228"/>
      <c r="J79" s="228"/>
      <c r="K79" s="228"/>
      <c r="L79" s="228"/>
    </row>
    <row r="80" spans="1:12" ht="13">
      <c r="A80" s="110">
        <f>A79+1</f>
        <v>35</v>
      </c>
      <c r="B80" s="445" t="s">
        <v>1342</v>
      </c>
      <c r="C80" s="236"/>
      <c r="D80" s="236"/>
      <c r="E80" s="236"/>
      <c r="F80" s="236"/>
      <c r="G80" s="454" t="str">
        <f>"- Line "&amp;A33&amp;", Col. 2"</f>
        <v>- Line 10, Col. 2</v>
      </c>
      <c r="H80" s="232">
        <f>-I33</f>
        <v>-511200</v>
      </c>
      <c r="I80" s="228"/>
      <c r="J80" s="228"/>
      <c r="K80" s="228"/>
      <c r="L80" s="228"/>
    </row>
    <row r="81" spans="1:12" ht="13">
      <c r="A81" s="110">
        <f t="shared" ref="A81:A83" si="1">A80+1</f>
        <v>36</v>
      </c>
      <c r="B81" s="445" t="s">
        <v>2287</v>
      </c>
      <c r="C81" s="236"/>
      <c r="D81" s="236"/>
      <c r="E81" s="236"/>
      <c r="F81" s="236"/>
      <c r="G81" s="856" t="str">
        <f>" - Line "&amp;A74&amp;""</f>
        <v xml:space="preserve"> - Line 31</v>
      </c>
      <c r="H81" s="232">
        <f>-H74</f>
        <v>-3674.1068378775944</v>
      </c>
      <c r="I81" s="228"/>
      <c r="J81" s="228"/>
      <c r="K81" s="228"/>
      <c r="L81" s="228"/>
    </row>
    <row r="82" spans="1:12" s="972" customFormat="1" ht="13">
      <c r="A82" s="110">
        <f t="shared" si="1"/>
        <v>37</v>
      </c>
      <c r="B82" s="852" t="s">
        <v>2288</v>
      </c>
      <c r="C82" s="236"/>
      <c r="D82" s="236"/>
      <c r="E82" s="236"/>
      <c r="F82" s="236"/>
      <c r="G82" s="856"/>
      <c r="H82" s="1009">
        <v>2335</v>
      </c>
      <c r="I82" s="242" t="s">
        <v>1171</v>
      </c>
      <c r="J82" s="228"/>
      <c r="K82" s="228"/>
      <c r="L82" s="228"/>
    </row>
    <row r="83" spans="1:12" ht="13">
      <c r="A83" s="110">
        <f t="shared" si="1"/>
        <v>38</v>
      </c>
      <c r="B83" s="236"/>
      <c r="C83" s="236"/>
      <c r="D83" s="236"/>
      <c r="E83" s="236"/>
      <c r="F83" s="236"/>
      <c r="G83" s="865" t="s">
        <v>1351</v>
      </c>
      <c r="H83" s="232">
        <f>SUM(H77:H82)</f>
        <v>-1871683.8110996843</v>
      </c>
      <c r="I83" s="228"/>
      <c r="J83" s="228"/>
      <c r="K83" s="228"/>
      <c r="L83" s="228"/>
    </row>
    <row r="84" spans="1:12">
      <c r="A84" s="236"/>
      <c r="B84" s="236"/>
      <c r="C84" s="236"/>
      <c r="D84" s="236"/>
      <c r="E84" s="236"/>
      <c r="F84" s="236"/>
      <c r="G84" s="236"/>
      <c r="H84" s="236"/>
      <c r="I84" s="228"/>
      <c r="J84" s="228"/>
      <c r="K84" s="228"/>
      <c r="L84" s="228"/>
    </row>
    <row r="85" spans="1:12" ht="13">
      <c r="A85" s="236"/>
      <c r="B85" s="917" t="s">
        <v>1352</v>
      </c>
      <c r="C85" s="236"/>
      <c r="D85" s="236"/>
      <c r="E85" s="236"/>
      <c r="F85" s="236"/>
      <c r="G85" s="236"/>
      <c r="H85" s="236"/>
      <c r="I85" s="228"/>
      <c r="J85" s="228"/>
      <c r="K85" s="228"/>
      <c r="L85" s="228"/>
    </row>
    <row r="86" spans="1:12" ht="13">
      <c r="A86" s="236"/>
      <c r="B86" s="14"/>
      <c r="C86" s="236"/>
      <c r="D86" s="236"/>
      <c r="E86" s="236"/>
      <c r="F86" s="236"/>
      <c r="G86" s="29" t="s">
        <v>179</v>
      </c>
      <c r="H86" s="123" t="s">
        <v>171</v>
      </c>
      <c r="I86" s="228"/>
      <c r="J86" s="228"/>
      <c r="K86" s="228"/>
      <c r="L86" s="228"/>
    </row>
    <row r="87" spans="1:12" ht="13">
      <c r="A87" s="110">
        <f>A83+1</f>
        <v>39</v>
      </c>
      <c r="B87" s="855" t="s">
        <v>1348</v>
      </c>
      <c r="C87" s="236"/>
      <c r="D87" s="236"/>
      <c r="E87" s="236"/>
      <c r="F87" s="236"/>
      <c r="G87" s="454" t="str">
        <f>"Line "&amp;A44&amp;""</f>
        <v>Line 15</v>
      </c>
      <c r="H87" s="232">
        <f>H44</f>
        <v>-339091.08447917755</v>
      </c>
      <c r="I87" s="228"/>
      <c r="J87" s="228"/>
      <c r="K87" s="228"/>
      <c r="L87" s="228"/>
    </row>
    <row r="88" spans="1:12" ht="13">
      <c r="A88" s="110">
        <f>A87+1</f>
        <v>40</v>
      </c>
      <c r="B88" s="236" t="s">
        <v>1353</v>
      </c>
      <c r="C88" s="236"/>
      <c r="D88" s="236"/>
      <c r="E88" s="236"/>
      <c r="F88" s="236"/>
      <c r="G88" s="454" t="str">
        <f>"Line "&amp;A83&amp;""</f>
        <v>Line 38</v>
      </c>
      <c r="H88" s="232">
        <f>H83</f>
        <v>-1871683.8110996843</v>
      </c>
      <c r="I88" s="228"/>
      <c r="J88" s="228"/>
      <c r="K88" s="228"/>
      <c r="L88" s="228"/>
    </row>
    <row r="89" spans="1:12" ht="13">
      <c r="A89" s="110">
        <f>A88+1</f>
        <v>41</v>
      </c>
      <c r="B89" s="15" t="s">
        <v>1435</v>
      </c>
      <c r="C89" s="236"/>
      <c r="D89" s="236"/>
      <c r="E89" s="236"/>
      <c r="F89" s="236"/>
      <c r="G89" s="454" t="str">
        <f>"- 1-Base TRR, L "&amp;'1-BaseTRR'!A142&amp;""</f>
        <v>- 1-Base TRR, L 80</v>
      </c>
      <c r="H89" s="232">
        <f>-'1-BaseTRR'!K142</f>
        <v>-2207264.8952941624</v>
      </c>
      <c r="I89" s="228"/>
      <c r="J89" s="228"/>
      <c r="K89" s="228"/>
      <c r="L89" s="228"/>
    </row>
    <row r="90" spans="1:12" ht="13">
      <c r="A90" s="110">
        <f t="shared" ref="A90:A93" si="2">A89+1</f>
        <v>42</v>
      </c>
      <c r="B90" s="15" t="s">
        <v>1436</v>
      </c>
      <c r="C90" s="236"/>
      <c r="D90" s="236"/>
      <c r="E90" s="236"/>
      <c r="F90" s="236"/>
      <c r="G90" s="454" t="str">
        <f>"- 2-IFPTRR, L "&amp;'2-IFPTRR'!A89&amp;""</f>
        <v>- 2-IFPTRR, L 80</v>
      </c>
      <c r="H90" s="449">
        <f>-'2-IFPTRR'!D89</f>
        <v>-209374.28036630686</v>
      </c>
      <c r="I90" s="228"/>
      <c r="J90" s="228"/>
      <c r="K90" s="228"/>
      <c r="L90" s="228"/>
    </row>
    <row r="91" spans="1:12" ht="13">
      <c r="A91" s="110">
        <f t="shared" si="2"/>
        <v>43</v>
      </c>
      <c r="B91" s="15" t="s">
        <v>97</v>
      </c>
      <c r="C91" s="236"/>
      <c r="D91" s="236"/>
      <c r="E91" s="236"/>
      <c r="F91" s="236"/>
      <c r="G91" s="46" t="str">
        <f>"Sum Line "&amp;A87&amp;" to Line "&amp;A90&amp;""</f>
        <v>Sum Line 39 to Line 42</v>
      </c>
      <c r="H91" s="232">
        <f>SUM(H87:H90)</f>
        <v>-4627414.0712393317</v>
      </c>
      <c r="I91" s="236"/>
      <c r="J91" s="228"/>
      <c r="K91" s="228"/>
      <c r="L91" s="228"/>
    </row>
    <row r="92" spans="1:12" ht="13">
      <c r="A92" s="110">
        <f t="shared" si="2"/>
        <v>44</v>
      </c>
      <c r="B92" s="15" t="s">
        <v>1360</v>
      </c>
      <c r="C92" s="236"/>
      <c r="D92" s="236"/>
      <c r="E92" s="236"/>
      <c r="F92" s="236"/>
      <c r="G92" s="14"/>
      <c r="H92" s="449">
        <f>'28-FFU'!D22*SUM(H87+H88)</f>
        <v>-20445.418383662851</v>
      </c>
      <c r="I92" s="454" t="s">
        <v>1168</v>
      </c>
      <c r="J92" s="228"/>
      <c r="K92" s="228"/>
      <c r="L92" s="228"/>
    </row>
    <row r="93" spans="1:12" ht="13">
      <c r="A93" s="110">
        <f t="shared" si="2"/>
        <v>45</v>
      </c>
      <c r="B93" s="14" t="s">
        <v>1354</v>
      </c>
      <c r="C93" s="236"/>
      <c r="D93" s="236"/>
      <c r="E93" s="236"/>
      <c r="F93" s="236"/>
      <c r="G93" s="46" t="str">
        <f>"Line "&amp;A91&amp;" + Line "&amp;A92&amp;""</f>
        <v>Line 43 + Line 44</v>
      </c>
      <c r="H93" s="232">
        <f>H91+H92</f>
        <v>-4647859.4896229943</v>
      </c>
      <c r="I93" s="236"/>
      <c r="J93" s="228"/>
      <c r="K93" s="228"/>
      <c r="L93" s="228"/>
    </row>
    <row r="94" spans="1:12">
      <c r="A94" s="236"/>
      <c r="B94" s="14"/>
      <c r="C94" s="236"/>
      <c r="D94" s="236"/>
      <c r="E94" s="236"/>
      <c r="F94" s="236"/>
      <c r="G94" s="236"/>
      <c r="H94" s="236"/>
      <c r="I94" s="228"/>
      <c r="J94" s="228"/>
      <c r="K94" s="228"/>
      <c r="L94" s="228"/>
    </row>
    <row r="95" spans="1:12" ht="13">
      <c r="A95" s="236"/>
      <c r="B95" s="872" t="s">
        <v>1355</v>
      </c>
      <c r="C95" s="236"/>
      <c r="D95" s="236"/>
      <c r="E95" s="236"/>
      <c r="F95" s="236"/>
      <c r="G95" s="236"/>
      <c r="H95" s="236"/>
      <c r="I95" s="228"/>
      <c r="J95" s="228"/>
      <c r="K95" s="228"/>
      <c r="L95" s="228"/>
    </row>
    <row r="96" spans="1:12">
      <c r="A96" s="236"/>
      <c r="B96" s="236" t="s">
        <v>1356</v>
      </c>
      <c r="C96" s="236"/>
      <c r="D96" s="236"/>
      <c r="E96" s="236"/>
      <c r="F96" s="236"/>
      <c r="G96" s="236"/>
      <c r="H96" s="236"/>
      <c r="I96" s="236"/>
      <c r="J96" s="228"/>
      <c r="K96" s="228"/>
      <c r="L96" s="228"/>
    </row>
    <row r="97" spans="1:12">
      <c r="A97" s="236"/>
      <c r="B97" s="236" t="s">
        <v>1357</v>
      </c>
      <c r="C97" s="236"/>
      <c r="D97" s="236"/>
      <c r="E97" s="236"/>
      <c r="F97" s="236"/>
      <c r="G97" s="236"/>
      <c r="H97" s="236"/>
      <c r="I97" s="236"/>
      <c r="J97" s="228"/>
      <c r="K97" s="228"/>
      <c r="L97" s="228"/>
    </row>
    <row r="98" spans="1:12">
      <c r="A98" s="236"/>
      <c r="B98" s="236" t="str">
        <f>"2) Input Prior Year for this Informational Filing in Line "&amp;A42&amp;"."</f>
        <v>2) Input Prior Year for this Informational Filing in Line 13.</v>
      </c>
      <c r="C98" s="14"/>
      <c r="D98" s="14"/>
      <c r="E98" s="14"/>
      <c r="F98" s="14"/>
      <c r="G98" s="14"/>
      <c r="H98" s="14"/>
      <c r="I98" s="236"/>
      <c r="J98" s="228"/>
      <c r="K98" s="228"/>
      <c r="L98" s="228"/>
    </row>
    <row r="99" spans="1:12">
      <c r="A99" s="236"/>
      <c r="B99" s="236" t="str">
        <f>"3) Calculation: (Line "&amp;A34&amp;", "&amp;H25&amp;") + ((Line "&amp;A34&amp;", "&amp;I25&amp;") * (Line "&amp;A42&amp;" - 2010))."</f>
        <v>3) Calculation: (Line 11, Col 1) + ((Line 11, Col 2) * (Line 13 - 2010)).</v>
      </c>
      <c r="C99" s="14"/>
      <c r="D99" s="14"/>
      <c r="E99" s="14"/>
      <c r="F99" s="14"/>
      <c r="G99" s="14"/>
      <c r="H99" s="14"/>
      <c r="I99" s="236"/>
      <c r="J99" s="228"/>
      <c r="K99" s="228"/>
      <c r="L99" s="228"/>
    </row>
    <row r="100" spans="1:12">
      <c r="A100" s="236"/>
      <c r="B100" s="236" t="str">
        <f>"4) Franchise Fee Exclusion is equal to the Franchise Fee Factor on the 28-FFU Line "&amp;'28-FFU'!A22&amp;""</f>
        <v>4) Franchise Fee Exclusion is equal to the Franchise Fee Factor on the 28-FFU Line 5</v>
      </c>
      <c r="C100" s="236"/>
      <c r="D100" s="236"/>
      <c r="E100" s="236"/>
      <c r="F100" s="236"/>
      <c r="G100" s="236"/>
      <c r="H100" s="236"/>
      <c r="I100" s="236"/>
      <c r="J100" s="228"/>
      <c r="K100" s="228"/>
      <c r="L100" s="228"/>
    </row>
    <row r="101" spans="1:12">
      <c r="A101" s="228"/>
      <c r="B101" s="236" t="str">
        <f>"times Line "&amp;A87&amp;" + "&amp;A88&amp;"."</f>
        <v>times Line 39 + 40.</v>
      </c>
      <c r="C101" s="236"/>
      <c r="D101" s="236"/>
      <c r="E101" s="236"/>
      <c r="F101" s="236"/>
      <c r="G101" s="236"/>
      <c r="H101" s="236"/>
      <c r="I101" s="236"/>
      <c r="J101" s="228"/>
      <c r="K101" s="228"/>
      <c r="L101" s="228"/>
    </row>
    <row r="102" spans="1:12" ht="13">
      <c r="A102" s="228"/>
      <c r="B102" s="236" t="s">
        <v>2541</v>
      </c>
      <c r="C102" s="236"/>
      <c r="D102" s="236"/>
      <c r="E102" s="236"/>
      <c r="F102" s="236"/>
      <c r="G102" s="1274"/>
      <c r="H102" s="236"/>
      <c r="I102" s="236"/>
      <c r="J102" s="228"/>
      <c r="K102" s="228"/>
      <c r="L102" s="228"/>
    </row>
    <row r="103" spans="1:12">
      <c r="A103" s="228"/>
      <c r="B103" s="469" t="s">
        <v>2542</v>
      </c>
      <c r="C103" s="236"/>
      <c r="D103" s="236"/>
      <c r="E103" s="236"/>
      <c r="F103" s="236"/>
      <c r="G103" s="236"/>
      <c r="H103" s="236"/>
      <c r="I103" s="236"/>
      <c r="J103" s="228"/>
      <c r="K103" s="228"/>
      <c r="L103" s="228"/>
    </row>
    <row r="104" spans="1:12">
      <c r="A104" s="228"/>
      <c r="B104" s="228"/>
      <c r="C104" s="228"/>
      <c r="D104" s="228"/>
      <c r="E104" s="228"/>
      <c r="F104" s="228"/>
      <c r="G104" s="228"/>
      <c r="H104" s="228"/>
      <c r="I104" s="228"/>
      <c r="J104" s="228"/>
      <c r="K104" s="228"/>
      <c r="L104" s="228"/>
    </row>
    <row r="105" spans="1:12">
      <c r="A105" s="228"/>
      <c r="B105" s="228"/>
      <c r="C105" s="228"/>
      <c r="D105" s="228"/>
      <c r="E105" s="228"/>
      <c r="F105" s="228"/>
      <c r="G105" s="228"/>
      <c r="H105" s="228"/>
      <c r="I105" s="228"/>
      <c r="J105" s="228"/>
      <c r="K105" s="228"/>
      <c r="L105" s="228"/>
    </row>
    <row r="106" spans="1:12">
      <c r="A106" s="228"/>
      <c r="B106" s="228"/>
      <c r="C106" s="228"/>
      <c r="D106" s="228"/>
      <c r="E106" s="228"/>
      <c r="F106" s="228"/>
      <c r="G106" s="228"/>
      <c r="H106" s="228"/>
      <c r="I106" s="228"/>
      <c r="J106" s="228"/>
      <c r="K106" s="228"/>
      <c r="L106" s="228"/>
    </row>
    <row r="107" spans="1:12">
      <c r="A107" s="228"/>
      <c r="B107" s="228"/>
      <c r="C107" s="228"/>
      <c r="D107" s="228"/>
      <c r="E107" s="228"/>
      <c r="F107" s="228"/>
      <c r="G107" s="228"/>
      <c r="H107" s="228"/>
      <c r="I107" s="228"/>
      <c r="J107" s="228"/>
      <c r="K107" s="228"/>
      <c r="L107" s="228"/>
    </row>
    <row r="108" spans="1:12">
      <c r="A108" s="228"/>
      <c r="B108" s="228"/>
      <c r="C108" s="228"/>
      <c r="D108" s="228"/>
      <c r="E108" s="228"/>
      <c r="F108" s="228"/>
      <c r="G108" s="228"/>
      <c r="H108" s="228"/>
      <c r="I108" s="228"/>
      <c r="J108" s="228"/>
      <c r="K108" s="228"/>
      <c r="L108" s="228"/>
    </row>
    <row r="109" spans="1:12">
      <c r="A109" s="228"/>
      <c r="B109" s="228"/>
      <c r="C109" s="228"/>
      <c r="D109" s="228"/>
      <c r="E109" s="228"/>
      <c r="F109" s="228"/>
      <c r="G109" s="228"/>
      <c r="H109" s="228"/>
      <c r="I109" s="228"/>
      <c r="J109" s="228"/>
      <c r="K109" s="228"/>
      <c r="L109" s="228"/>
    </row>
    <row r="110" spans="1:12">
      <c r="A110" s="228"/>
      <c r="B110" s="228"/>
      <c r="C110" s="228"/>
      <c r="D110" s="228"/>
      <c r="E110" s="228"/>
      <c r="F110" s="228"/>
      <c r="G110" s="228"/>
      <c r="H110" s="228"/>
      <c r="I110" s="228"/>
      <c r="J110" s="228"/>
      <c r="K110" s="228"/>
      <c r="L110" s="228"/>
    </row>
    <row r="111" spans="1:12">
      <c r="A111" s="228"/>
      <c r="B111" s="228"/>
      <c r="C111" s="228"/>
      <c r="D111" s="228"/>
      <c r="E111" s="228"/>
      <c r="F111" s="228"/>
      <c r="G111" s="228"/>
      <c r="H111" s="228"/>
      <c r="I111" s="228"/>
      <c r="J111" s="228"/>
      <c r="K111" s="228"/>
      <c r="L111" s="228"/>
    </row>
    <row r="112" spans="1:12">
      <c r="A112" s="228"/>
      <c r="B112" s="228"/>
      <c r="C112" s="228"/>
      <c r="D112" s="228"/>
      <c r="E112" s="228"/>
      <c r="F112" s="228"/>
      <c r="G112" s="228"/>
      <c r="H112" s="228"/>
      <c r="I112" s="228"/>
      <c r="J112" s="228"/>
      <c r="K112" s="228"/>
      <c r="L112" s="228"/>
    </row>
    <row r="113" spans="1:12">
      <c r="A113" s="228"/>
      <c r="B113" s="228"/>
      <c r="C113" s="228"/>
      <c r="D113" s="228"/>
      <c r="E113" s="228"/>
      <c r="F113" s="228"/>
      <c r="G113" s="228"/>
      <c r="H113" s="228"/>
      <c r="I113" s="228"/>
      <c r="J113" s="228"/>
      <c r="K113" s="228"/>
      <c r="L113" s="228"/>
    </row>
    <row r="114" spans="1:12">
      <c r="A114" s="228"/>
      <c r="B114" s="228"/>
      <c r="C114" s="228"/>
      <c r="D114" s="228"/>
      <c r="E114" s="228"/>
      <c r="F114" s="228"/>
      <c r="G114" s="228"/>
      <c r="H114" s="228"/>
      <c r="I114" s="228"/>
      <c r="J114" s="228"/>
      <c r="K114" s="228"/>
      <c r="L114" s="228"/>
    </row>
    <row r="115" spans="1:12">
      <c r="A115" s="228"/>
      <c r="B115" s="228"/>
      <c r="C115" s="228"/>
      <c r="D115" s="228"/>
      <c r="E115" s="228"/>
      <c r="F115" s="228"/>
      <c r="G115" s="228"/>
      <c r="H115" s="228"/>
      <c r="I115" s="228"/>
      <c r="J115" s="228"/>
      <c r="K115" s="228"/>
      <c r="L115" s="228"/>
    </row>
    <row r="116" spans="1:12">
      <c r="A116" s="228"/>
      <c r="B116" s="228"/>
      <c r="C116" s="228"/>
      <c r="D116" s="228"/>
      <c r="E116" s="228"/>
      <c r="F116" s="228"/>
      <c r="G116" s="228"/>
      <c r="H116" s="228"/>
      <c r="I116" s="228"/>
      <c r="J116" s="228"/>
      <c r="K116" s="228"/>
      <c r="L116" s="228"/>
    </row>
    <row r="117" spans="1:12">
      <c r="A117" s="228"/>
      <c r="B117" s="228"/>
      <c r="C117" s="228"/>
      <c r="D117" s="228"/>
      <c r="E117" s="228"/>
      <c r="F117" s="228"/>
      <c r="G117" s="228"/>
      <c r="H117" s="228"/>
      <c r="I117" s="228"/>
      <c r="J117" s="228"/>
      <c r="K117" s="228"/>
      <c r="L117" s="228"/>
    </row>
    <row r="118" spans="1:12">
      <c r="A118" s="228"/>
      <c r="B118" s="228"/>
      <c r="C118" s="228"/>
      <c r="D118" s="228"/>
      <c r="E118" s="228"/>
      <c r="F118" s="228"/>
      <c r="G118" s="228"/>
      <c r="H118" s="228"/>
      <c r="I118" s="228"/>
      <c r="J118" s="228"/>
      <c r="K118" s="228"/>
      <c r="L118" s="228"/>
    </row>
    <row r="119" spans="1:12">
      <c r="A119" s="228"/>
      <c r="B119" s="228"/>
      <c r="C119" s="228"/>
      <c r="D119" s="228"/>
      <c r="E119" s="228"/>
      <c r="F119" s="228"/>
      <c r="G119" s="228"/>
      <c r="H119" s="228"/>
      <c r="I119" s="228"/>
      <c r="J119" s="228"/>
      <c r="K119" s="228"/>
      <c r="L119" s="228"/>
    </row>
    <row r="120" spans="1:12">
      <c r="A120" s="228"/>
      <c r="B120" s="228"/>
      <c r="C120" s="228"/>
      <c r="D120" s="228"/>
      <c r="E120" s="228"/>
      <c r="F120" s="228"/>
      <c r="G120" s="228"/>
      <c r="H120" s="228"/>
      <c r="I120" s="228"/>
      <c r="J120" s="228"/>
      <c r="K120" s="228"/>
      <c r="L120" s="228"/>
    </row>
    <row r="121" spans="1:12">
      <c r="A121" s="228"/>
      <c r="B121" s="228"/>
      <c r="C121" s="228"/>
      <c r="D121" s="228"/>
      <c r="E121" s="228"/>
      <c r="F121" s="228"/>
      <c r="G121" s="228"/>
      <c r="H121" s="228"/>
      <c r="I121" s="228"/>
      <c r="J121" s="228"/>
      <c r="K121" s="228"/>
      <c r="L121" s="228"/>
    </row>
    <row r="122" spans="1:12">
      <c r="A122" s="228"/>
      <c r="B122" s="228"/>
      <c r="C122" s="228"/>
      <c r="D122" s="228"/>
      <c r="E122" s="228"/>
      <c r="F122" s="228"/>
      <c r="G122" s="228"/>
      <c r="H122" s="228"/>
      <c r="I122" s="228"/>
      <c r="J122" s="228"/>
      <c r="K122" s="228"/>
      <c r="L122" s="228"/>
    </row>
    <row r="123" spans="1:12">
      <c r="A123" s="228"/>
      <c r="B123" s="228"/>
      <c r="C123" s="228"/>
      <c r="D123" s="228"/>
      <c r="E123" s="228"/>
      <c r="F123" s="228"/>
      <c r="G123" s="228"/>
      <c r="H123" s="228"/>
      <c r="I123" s="228"/>
      <c r="J123" s="228"/>
      <c r="K123" s="228"/>
      <c r="L123" s="228"/>
    </row>
    <row r="124" spans="1:12">
      <c r="A124" s="228"/>
      <c r="B124" s="228"/>
      <c r="C124" s="228"/>
      <c r="D124" s="228"/>
      <c r="E124" s="228"/>
      <c r="F124" s="228"/>
      <c r="G124" s="228"/>
      <c r="H124" s="228"/>
      <c r="I124" s="228"/>
      <c r="J124" s="228"/>
      <c r="K124" s="228"/>
      <c r="L124" s="228"/>
    </row>
    <row r="125" spans="1:12">
      <c r="A125" s="228"/>
      <c r="B125" s="228"/>
      <c r="C125" s="228"/>
      <c r="D125" s="228"/>
      <c r="E125" s="228"/>
      <c r="F125" s="228"/>
      <c r="G125" s="228"/>
      <c r="H125" s="228"/>
      <c r="I125" s="228"/>
      <c r="J125" s="228"/>
      <c r="K125" s="228"/>
      <c r="L125" s="228"/>
    </row>
    <row r="126" spans="1:12">
      <c r="A126" s="228"/>
      <c r="B126" s="228"/>
      <c r="C126" s="228"/>
      <c r="D126" s="228"/>
      <c r="E126" s="228"/>
      <c r="F126" s="228"/>
      <c r="G126" s="228"/>
      <c r="H126" s="228"/>
      <c r="I126" s="228"/>
      <c r="J126" s="228"/>
      <c r="K126" s="228"/>
      <c r="L126" s="228"/>
    </row>
    <row r="127" spans="1:12">
      <c r="A127" s="228"/>
      <c r="B127" s="228"/>
      <c r="C127" s="228"/>
      <c r="D127" s="228"/>
      <c r="E127" s="228"/>
      <c r="F127" s="228"/>
      <c r="G127" s="228"/>
      <c r="H127" s="228"/>
      <c r="I127" s="228"/>
      <c r="J127" s="228"/>
      <c r="K127" s="228"/>
      <c r="L127" s="228"/>
    </row>
    <row r="128" spans="1:12">
      <c r="A128" s="228"/>
      <c r="B128" s="228"/>
      <c r="C128" s="228"/>
      <c r="D128" s="228"/>
      <c r="E128" s="228"/>
      <c r="F128" s="228"/>
      <c r="G128" s="228"/>
      <c r="H128" s="228"/>
      <c r="I128" s="228"/>
      <c r="J128" s="228"/>
      <c r="K128" s="228"/>
      <c r="L128" s="228"/>
    </row>
    <row r="129" spans="1:12">
      <c r="A129" s="228"/>
      <c r="B129" s="228"/>
      <c r="C129" s="228"/>
      <c r="D129" s="228"/>
      <c r="E129" s="228"/>
      <c r="F129" s="228"/>
      <c r="G129" s="228"/>
      <c r="H129" s="228"/>
      <c r="I129" s="228"/>
      <c r="J129" s="228"/>
      <c r="K129" s="228"/>
      <c r="L129" s="228"/>
    </row>
    <row r="130" spans="1:12">
      <c r="A130" s="228"/>
      <c r="B130" s="228"/>
      <c r="C130" s="228"/>
      <c r="D130" s="228"/>
      <c r="E130" s="228"/>
      <c r="F130" s="228"/>
      <c r="G130" s="228"/>
      <c r="H130" s="228"/>
      <c r="I130" s="228"/>
      <c r="J130" s="228"/>
      <c r="K130" s="228"/>
      <c r="L130" s="228"/>
    </row>
    <row r="131" spans="1:12">
      <c r="A131" s="228"/>
      <c r="B131" s="228"/>
      <c r="C131" s="228"/>
      <c r="D131" s="228"/>
      <c r="E131" s="228"/>
      <c r="F131" s="228"/>
      <c r="G131" s="228"/>
      <c r="H131" s="228"/>
      <c r="I131" s="228"/>
      <c r="J131" s="228"/>
      <c r="K131" s="228"/>
      <c r="L131" s="228"/>
    </row>
    <row r="132" spans="1:12">
      <c r="A132" s="228"/>
      <c r="B132" s="228"/>
      <c r="C132" s="228"/>
      <c r="D132" s="228"/>
      <c r="E132" s="228"/>
      <c r="F132" s="228"/>
      <c r="G132" s="228"/>
      <c r="H132" s="228"/>
      <c r="I132" s="228"/>
      <c r="J132" s="228"/>
      <c r="K132" s="228"/>
      <c r="L132" s="228"/>
    </row>
    <row r="133" spans="1:12">
      <c r="A133" s="228"/>
      <c r="B133" s="228"/>
      <c r="C133" s="228"/>
      <c r="D133" s="228"/>
      <c r="E133" s="228"/>
      <c r="F133" s="228"/>
      <c r="G133" s="228"/>
      <c r="H133" s="228"/>
      <c r="I133" s="228"/>
      <c r="J133" s="228"/>
      <c r="K133" s="228"/>
      <c r="L133" s="228"/>
    </row>
    <row r="134" spans="1:12">
      <c r="A134" s="228"/>
      <c r="B134" s="228"/>
      <c r="C134" s="228"/>
      <c r="D134" s="228"/>
      <c r="E134" s="228"/>
      <c r="F134" s="228"/>
      <c r="G134" s="228"/>
      <c r="H134" s="228"/>
      <c r="I134" s="228"/>
      <c r="J134" s="228"/>
      <c r="K134" s="228"/>
      <c r="L134" s="228"/>
    </row>
    <row r="135" spans="1:12">
      <c r="A135" s="228"/>
      <c r="B135" s="228"/>
      <c r="C135" s="228"/>
      <c r="D135" s="228"/>
      <c r="E135" s="228"/>
      <c r="F135" s="228"/>
      <c r="G135" s="228"/>
      <c r="H135" s="228"/>
      <c r="I135" s="228"/>
      <c r="J135" s="228"/>
      <c r="K135" s="228"/>
      <c r="L135" s="228"/>
    </row>
    <row r="136" spans="1:12">
      <c r="A136" s="228"/>
      <c r="B136" s="228"/>
      <c r="C136" s="228"/>
      <c r="D136" s="228"/>
      <c r="E136" s="228"/>
      <c r="F136" s="228"/>
      <c r="G136" s="228"/>
      <c r="H136" s="228"/>
      <c r="I136" s="228"/>
      <c r="J136" s="228"/>
      <c r="K136" s="228"/>
      <c r="L136" s="228"/>
    </row>
    <row r="137" spans="1:12">
      <c r="A137" s="228"/>
      <c r="B137" s="228"/>
      <c r="C137" s="228"/>
      <c r="D137" s="228"/>
      <c r="E137" s="228"/>
      <c r="F137" s="228"/>
      <c r="G137" s="228"/>
      <c r="H137" s="228"/>
      <c r="I137" s="228"/>
      <c r="J137" s="228"/>
      <c r="K137" s="228"/>
      <c r="L137" s="228"/>
    </row>
    <row r="138" spans="1:12">
      <c r="A138" s="228"/>
      <c r="B138" s="228"/>
      <c r="C138" s="228"/>
      <c r="D138" s="228"/>
      <c r="E138" s="228"/>
      <c r="F138" s="228"/>
      <c r="G138" s="228"/>
      <c r="H138" s="228"/>
      <c r="I138" s="228"/>
      <c r="J138" s="228"/>
      <c r="K138" s="228"/>
      <c r="L138" s="228"/>
    </row>
    <row r="139" spans="1:12">
      <c r="A139" s="228"/>
      <c r="B139" s="228"/>
      <c r="C139" s="228"/>
      <c r="D139" s="228"/>
      <c r="E139" s="228"/>
      <c r="F139" s="228"/>
      <c r="G139" s="228"/>
      <c r="H139" s="228"/>
      <c r="I139" s="228"/>
      <c r="J139" s="228"/>
      <c r="K139" s="228"/>
      <c r="L139" s="228"/>
    </row>
    <row r="140" spans="1:12">
      <c r="A140" s="228"/>
      <c r="B140" s="228"/>
      <c r="C140" s="228"/>
      <c r="D140" s="228"/>
      <c r="E140" s="228"/>
      <c r="F140" s="228"/>
      <c r="G140" s="228"/>
      <c r="H140" s="228"/>
      <c r="I140" s="228"/>
      <c r="J140" s="228"/>
      <c r="K140" s="228"/>
      <c r="L140" s="228"/>
    </row>
    <row r="141" spans="1:12">
      <c r="A141" s="228"/>
      <c r="B141" s="228"/>
      <c r="C141" s="228"/>
      <c r="D141" s="228"/>
      <c r="E141" s="228"/>
      <c r="F141" s="228"/>
      <c r="G141" s="228"/>
      <c r="H141" s="228"/>
      <c r="I141" s="228"/>
      <c r="J141" s="228"/>
      <c r="K141" s="228"/>
      <c r="L141" s="228"/>
    </row>
    <row r="142" spans="1:12">
      <c r="A142" s="228"/>
      <c r="B142" s="228"/>
      <c r="C142" s="228"/>
      <c r="D142" s="228"/>
      <c r="E142" s="228"/>
      <c r="F142" s="228"/>
      <c r="G142" s="228"/>
      <c r="H142" s="228"/>
      <c r="I142" s="228"/>
      <c r="J142" s="228"/>
      <c r="K142" s="228"/>
      <c r="L142" s="228"/>
    </row>
    <row r="143" spans="1:12">
      <c r="A143" s="228"/>
      <c r="B143" s="228"/>
      <c r="C143" s="228"/>
      <c r="D143" s="228"/>
      <c r="E143" s="228"/>
      <c r="F143" s="228"/>
      <c r="G143" s="228"/>
      <c r="H143" s="228"/>
      <c r="I143" s="228"/>
      <c r="J143" s="228"/>
      <c r="K143" s="228"/>
      <c r="L143" s="228"/>
    </row>
    <row r="144" spans="1:12">
      <c r="A144" s="228"/>
      <c r="B144" s="228"/>
      <c r="C144" s="228"/>
      <c r="D144" s="228"/>
      <c r="E144" s="228"/>
      <c r="F144" s="228"/>
      <c r="G144" s="228"/>
      <c r="H144" s="228"/>
      <c r="I144" s="228"/>
      <c r="J144" s="228"/>
      <c r="K144" s="228"/>
      <c r="L144" s="228"/>
    </row>
    <row r="145" spans="1:12">
      <c r="A145" s="228"/>
      <c r="B145" s="228"/>
      <c r="C145" s="228"/>
      <c r="D145" s="228"/>
      <c r="E145" s="228"/>
      <c r="F145" s="228"/>
      <c r="G145" s="228"/>
      <c r="H145" s="228"/>
      <c r="I145" s="228"/>
      <c r="J145" s="228"/>
      <c r="K145" s="228"/>
      <c r="L145" s="228"/>
    </row>
    <row r="146" spans="1:12">
      <c r="A146" s="228"/>
      <c r="B146" s="228"/>
      <c r="C146" s="228"/>
      <c r="D146" s="228"/>
      <c r="E146" s="228"/>
      <c r="F146" s="228"/>
      <c r="G146" s="228"/>
      <c r="H146" s="228"/>
      <c r="I146" s="228"/>
      <c r="J146" s="228"/>
      <c r="K146" s="228"/>
      <c r="L146" s="228"/>
    </row>
    <row r="147" spans="1:12">
      <c r="A147" s="228"/>
      <c r="B147" s="228"/>
      <c r="C147" s="228"/>
      <c r="D147" s="228"/>
      <c r="E147" s="228"/>
      <c r="F147" s="228"/>
      <c r="G147" s="228"/>
      <c r="H147" s="228"/>
      <c r="I147" s="228"/>
      <c r="J147" s="228"/>
      <c r="K147" s="228"/>
      <c r="L147" s="228"/>
    </row>
    <row r="148" spans="1:12">
      <c r="A148" s="228"/>
      <c r="B148" s="228"/>
      <c r="C148" s="228"/>
      <c r="D148" s="228"/>
      <c r="E148" s="228"/>
      <c r="F148" s="228"/>
      <c r="G148" s="228"/>
      <c r="H148" s="228"/>
      <c r="I148" s="228"/>
      <c r="J148" s="228"/>
      <c r="K148" s="228"/>
      <c r="L148" s="228"/>
    </row>
    <row r="149" spans="1:12">
      <c r="A149" s="228"/>
      <c r="B149" s="228"/>
      <c r="C149" s="228"/>
      <c r="D149" s="228"/>
      <c r="E149" s="228"/>
      <c r="F149" s="228"/>
      <c r="G149" s="228"/>
      <c r="H149" s="228"/>
      <c r="I149" s="228"/>
      <c r="J149" s="228"/>
      <c r="K149" s="228"/>
      <c r="L149" s="228"/>
    </row>
    <row r="150" spans="1:12">
      <c r="A150" s="228"/>
      <c r="B150" s="228"/>
      <c r="C150" s="228"/>
      <c r="D150" s="228"/>
      <c r="E150" s="228"/>
      <c r="F150" s="228"/>
      <c r="G150" s="228"/>
      <c r="H150" s="228"/>
      <c r="I150" s="228"/>
      <c r="J150" s="228"/>
      <c r="K150" s="228"/>
      <c r="L150" s="228"/>
    </row>
    <row r="151" spans="1:12">
      <c r="A151" s="228"/>
      <c r="B151" s="228"/>
      <c r="C151" s="228"/>
      <c r="D151" s="228"/>
      <c r="E151" s="228"/>
      <c r="F151" s="228"/>
      <c r="G151" s="228"/>
      <c r="H151" s="228"/>
      <c r="I151" s="228"/>
      <c r="J151" s="228"/>
      <c r="K151" s="228"/>
      <c r="L151" s="228"/>
    </row>
    <row r="152" spans="1:12">
      <c r="A152" s="228"/>
      <c r="B152" s="228"/>
      <c r="C152" s="228"/>
      <c r="D152" s="228"/>
      <c r="E152" s="228"/>
      <c r="F152" s="228"/>
      <c r="G152" s="228"/>
      <c r="H152" s="228"/>
      <c r="I152" s="228"/>
      <c r="J152" s="228"/>
      <c r="K152" s="228"/>
      <c r="L152" s="228"/>
    </row>
    <row r="153" spans="1:12">
      <c r="A153" s="228"/>
      <c r="B153" s="228"/>
      <c r="C153" s="228"/>
      <c r="D153" s="228"/>
      <c r="E153" s="228"/>
      <c r="F153" s="228"/>
      <c r="G153" s="228"/>
      <c r="H153" s="228"/>
      <c r="I153" s="228"/>
      <c r="J153" s="228"/>
      <c r="K153" s="228"/>
      <c r="L153" s="228"/>
    </row>
  </sheetData>
  <pageMargins left="0.7" right="0.7" top="0.75" bottom="0.75" header="0.3" footer="0.3"/>
  <pageSetup scale="77" orientation="portrait" cellComments="asDisplayed" r:id="rId1"/>
  <headerFooter>
    <oddHeader>&amp;CSchedule 25
Wholesale Differences to Base TRR
&amp;RTO2021 Draft Annual Update 
Attachment 1</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2342</v>
      </c>
    </row>
    <row r="3" spans="1:5" ht="13">
      <c r="B3" s="1" t="s">
        <v>36</v>
      </c>
      <c r="E3" s="97" t="s">
        <v>17</v>
      </c>
    </row>
    <row r="4" spans="1:5" ht="13">
      <c r="D4" s="2" t="s">
        <v>37</v>
      </c>
    </row>
    <row r="5" spans="1:5" ht="13">
      <c r="C5" s="553" t="s">
        <v>13</v>
      </c>
      <c r="D5" s="2" t="s">
        <v>403</v>
      </c>
    </row>
    <row r="6" spans="1:5" ht="13">
      <c r="A6" s="3" t="s">
        <v>329</v>
      </c>
      <c r="C6" s="3" t="s">
        <v>193</v>
      </c>
      <c r="D6" s="3" t="s">
        <v>405</v>
      </c>
      <c r="E6" s="3" t="s">
        <v>179</v>
      </c>
    </row>
    <row r="7" spans="1:5" ht="13">
      <c r="A7" s="2">
        <v>1</v>
      </c>
      <c r="C7" s="528">
        <v>2021</v>
      </c>
      <c r="D7" s="1146">
        <v>0.21</v>
      </c>
      <c r="E7" s="871" t="s">
        <v>2447</v>
      </c>
    </row>
    <row r="8" spans="1:5" ht="13">
      <c r="A8" s="2">
        <f>A7+1</f>
        <v>2</v>
      </c>
      <c r="E8" s="466"/>
    </row>
    <row r="9" spans="1:5" ht="13">
      <c r="A9" s="2">
        <f t="shared" ref="A9:A23" si="0">A8+1</f>
        <v>3</v>
      </c>
      <c r="B9" s="1" t="s">
        <v>38</v>
      </c>
      <c r="E9" s="972"/>
    </row>
    <row r="10" spans="1:5" ht="13">
      <c r="A10" s="2">
        <f t="shared" si="0"/>
        <v>4</v>
      </c>
      <c r="B10" s="1"/>
      <c r="D10" s="2"/>
      <c r="E10" s="972"/>
    </row>
    <row r="11" spans="1:5" ht="13">
      <c r="A11" s="2">
        <f t="shared" si="0"/>
        <v>5</v>
      </c>
      <c r="D11" s="2" t="s">
        <v>2467</v>
      </c>
      <c r="E11" s="972"/>
    </row>
    <row r="12" spans="1:5" ht="13">
      <c r="A12" s="2">
        <f t="shared" si="0"/>
        <v>6</v>
      </c>
      <c r="C12" s="553" t="s">
        <v>13</v>
      </c>
      <c r="D12" s="2" t="s">
        <v>403</v>
      </c>
      <c r="E12" s="972"/>
    </row>
    <row r="13" spans="1:5" ht="13">
      <c r="A13" s="2">
        <f t="shared" si="0"/>
        <v>7</v>
      </c>
      <c r="C13" s="3" t="s">
        <v>193</v>
      </c>
      <c r="D13" s="3" t="s">
        <v>404</v>
      </c>
      <c r="E13" s="3" t="s">
        <v>179</v>
      </c>
    </row>
    <row r="14" spans="1:5" ht="13">
      <c r="A14" s="2">
        <f t="shared" si="0"/>
        <v>8</v>
      </c>
      <c r="C14" s="528">
        <v>2021</v>
      </c>
      <c r="D14" s="1059">
        <v>8.8400000000000006E-2</v>
      </c>
      <c r="E14" s="871" t="s">
        <v>360</v>
      </c>
    </row>
    <row r="15" spans="1:5" ht="13">
      <c r="A15" s="2">
        <f t="shared" si="0"/>
        <v>9</v>
      </c>
      <c r="C15" s="54"/>
      <c r="D15" s="14"/>
      <c r="E15" s="13"/>
    </row>
    <row r="16" spans="1:5" ht="13">
      <c r="A16" s="2">
        <f t="shared" si="0"/>
        <v>10</v>
      </c>
      <c r="C16" s="54"/>
      <c r="D16" s="14"/>
      <c r="E16" s="16"/>
    </row>
    <row r="17" spans="1:9" ht="13">
      <c r="A17" s="2">
        <f t="shared" si="0"/>
        <v>11</v>
      </c>
      <c r="C17" s="61"/>
      <c r="E17" s="16"/>
    </row>
    <row r="18" spans="1:9" ht="12.75" customHeight="1">
      <c r="A18" s="553">
        <f t="shared" si="0"/>
        <v>12</v>
      </c>
      <c r="B18" s="1" t="s">
        <v>1631</v>
      </c>
      <c r="E18" s="16"/>
    </row>
    <row r="19" spans="1:9" ht="12.75" customHeight="1">
      <c r="A19" s="553">
        <f t="shared" si="0"/>
        <v>13</v>
      </c>
      <c r="E19" s="114"/>
      <c r="F19" s="3" t="s">
        <v>175</v>
      </c>
    </row>
    <row r="20" spans="1:9" ht="12.75" customHeight="1">
      <c r="A20" s="553">
        <f t="shared" si="0"/>
        <v>14</v>
      </c>
      <c r="B20" s="14"/>
      <c r="C20" s="14" t="str">
        <f>"Total Electric Payroll Tax Expense (From 1-BaseTRR, Line "&amp;'1-BaseTRR'!A52&amp;")"</f>
        <v>Total Electric Payroll Tax Expense (From 1-BaseTRR, Line 31)</v>
      </c>
      <c r="D20" s="14"/>
      <c r="E20" s="14"/>
      <c r="F20" s="7">
        <f>'1-BaseTRR'!K52</f>
        <v>127234578</v>
      </c>
      <c r="G20" s="12"/>
    </row>
    <row r="21" spans="1:9" ht="12.75" customHeight="1">
      <c r="A21" s="553">
        <f t="shared" si="0"/>
        <v>15</v>
      </c>
      <c r="B21" s="14"/>
      <c r="C21" s="469" t="s">
        <v>2338</v>
      </c>
      <c r="D21" s="14"/>
      <c r="E21" s="14"/>
      <c r="F21" s="575">
        <v>0.45500000000000002</v>
      </c>
      <c r="G21" s="12"/>
    </row>
    <row r="22" spans="1:9" ht="12.75" customHeight="1">
      <c r="A22" s="553">
        <f t="shared" si="0"/>
        <v>16</v>
      </c>
      <c r="B22" s="14"/>
      <c r="C22" s="469" t="str">
        <f>"Capitalized Overhead portion of Electric Payroll Tax Expense (Line "&amp;A20&amp;" * Line "&amp;A21&amp;")"</f>
        <v>Capitalized Overhead portion of Electric Payroll Tax Expense (Line 14 * Line 15)</v>
      </c>
      <c r="D22" s="14"/>
      <c r="E22" s="14"/>
      <c r="F22" s="449">
        <f>F20*F21</f>
        <v>57891732.990000002</v>
      </c>
      <c r="G22" s="469"/>
      <c r="H22" s="14"/>
      <c r="I22" s="469"/>
    </row>
    <row r="23" spans="1:9" ht="13">
      <c r="A23" s="553">
        <f t="shared" si="0"/>
        <v>17</v>
      </c>
      <c r="B23" s="14"/>
      <c r="C23" s="469" t="str">
        <f>"Non-Capitalized Overhead portion of Electric Payroll Tax Expense (Line "&amp;A20&amp;" - Line "&amp;A22&amp;")"</f>
        <v>Non-Capitalized Overhead portion of Electric Payroll Tax Expense (Line 14 - Line 16)</v>
      </c>
      <c r="D23" s="14"/>
      <c r="E23" s="14"/>
      <c r="F23" s="7">
        <f>F20-F22</f>
        <v>69342845.00999999</v>
      </c>
      <c r="G23" s="12"/>
      <c r="H23" s="14"/>
    </row>
    <row r="25" spans="1:9" ht="13">
      <c r="B25" s="51" t="s">
        <v>230</v>
      </c>
    </row>
    <row r="26" spans="1:9">
      <c r="B26" s="918" t="s">
        <v>2339</v>
      </c>
      <c r="C26" s="14"/>
      <c r="D26" s="978" t="s">
        <v>2613</v>
      </c>
      <c r="E26" s="978"/>
      <c r="F26" s="97"/>
    </row>
    <row r="27" spans="1:9">
      <c r="B27" s="918" t="s">
        <v>2341</v>
      </c>
      <c r="C27" s="14"/>
      <c r="D27" s="14"/>
      <c r="E27" s="14"/>
      <c r="F27" s="14"/>
    </row>
    <row r="28" spans="1:9">
      <c r="B28" s="657"/>
      <c r="C28" s="14"/>
      <c r="D28" s="97" t="s">
        <v>2614</v>
      </c>
      <c r="E28" s="97"/>
      <c r="F28" s="97"/>
    </row>
    <row r="29" spans="1:9">
      <c r="B29" s="469" t="s">
        <v>2340</v>
      </c>
      <c r="C29" s="14"/>
      <c r="D29" s="14"/>
      <c r="E29" s="978" t="s">
        <v>2668</v>
      </c>
    </row>
    <row r="30" spans="1:9">
      <c r="B30" s="466" t="s">
        <v>1796</v>
      </c>
      <c r="C30" s="14"/>
      <c r="D30" s="14"/>
      <c r="E30" s="946" t="s">
        <v>2669</v>
      </c>
    </row>
    <row r="31" spans="1:9">
      <c r="B31" s="467" t="s">
        <v>2433</v>
      </c>
    </row>
    <row r="32" spans="1:9">
      <c r="B32" s="467" t="s">
        <v>2434</v>
      </c>
    </row>
    <row r="33" spans="2:2">
      <c r="B33" s="467" t="s">
        <v>2435</v>
      </c>
    </row>
    <row r="34" spans="2:2">
      <c r="B34" s="467" t="s">
        <v>2436</v>
      </c>
    </row>
    <row r="35" spans="2:2">
      <c r="B35" s="467" t="s">
        <v>2445</v>
      </c>
    </row>
    <row r="36" spans="2:2">
      <c r="B36" s="467" t="s">
        <v>2437</v>
      </c>
    </row>
    <row r="37" spans="2:2">
      <c r="B37" s="467" t="s">
        <v>2438</v>
      </c>
    </row>
    <row r="38" spans="2:2">
      <c r="B38" s="467" t="s">
        <v>2439</v>
      </c>
    </row>
    <row r="39" spans="2:2">
      <c r="B39" s="467" t="s">
        <v>2440</v>
      </c>
    </row>
    <row r="40" spans="2:2">
      <c r="B40" s="467" t="s">
        <v>2441</v>
      </c>
    </row>
  </sheetData>
  <phoneticPr fontId="23" type="noConversion"/>
  <pageMargins left="0.75" right="0.75" top="1" bottom="1" header="0.5" footer="0.5"/>
  <pageSetup scale="75" orientation="portrait" cellComments="asDisplayed" r:id="rId1"/>
  <headerFooter alignWithMargins="0">
    <oddHeader>&amp;CSchedule 26
Tax Rates
&amp;RTO2021 Draft Annual Update 
Attachment 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6"/>
  <sheetViews>
    <sheetView zoomScaleNormal="100" workbookViewId="0"/>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202</v>
      </c>
      <c r="B1" s="1"/>
      <c r="E1" s="97" t="s">
        <v>17</v>
      </c>
    </row>
    <row r="2" spans="1:9" ht="13">
      <c r="A2" s="1"/>
      <c r="B2" s="1"/>
      <c r="C2" s="68" t="s">
        <v>2537</v>
      </c>
      <c r="D2" s="515" t="s">
        <v>2615</v>
      </c>
      <c r="E2" s="515"/>
    </row>
    <row r="3" spans="1:9" s="972" customFormat="1" ht="13">
      <c r="A3" s="1"/>
      <c r="B3" s="1"/>
      <c r="C3" s="1271"/>
      <c r="D3" s="1271"/>
      <c r="E3" s="1271"/>
    </row>
    <row r="4" spans="1:9" ht="13">
      <c r="A4" s="2"/>
      <c r="B4" s="1" t="s">
        <v>1116</v>
      </c>
      <c r="G4" s="99"/>
    </row>
    <row r="5" spans="1:9" ht="13">
      <c r="A5" s="2"/>
      <c r="C5" s="1"/>
      <c r="D5" s="2"/>
      <c r="E5" s="2" t="s">
        <v>169</v>
      </c>
      <c r="G5" s="4" t="s">
        <v>63</v>
      </c>
    </row>
    <row r="6" spans="1:9" ht="13">
      <c r="A6" s="51" t="s">
        <v>329</v>
      </c>
      <c r="C6" s="1"/>
      <c r="D6" s="3" t="s">
        <v>168</v>
      </c>
      <c r="E6" s="3" t="s">
        <v>170</v>
      </c>
      <c r="G6" s="3" t="s">
        <v>171</v>
      </c>
    </row>
    <row r="7" spans="1:9" ht="13">
      <c r="A7" s="2">
        <v>1</v>
      </c>
      <c r="C7" s="919" t="s">
        <v>2461</v>
      </c>
      <c r="D7" s="14"/>
      <c r="E7" s="15" t="str">
        <f>"19-OandM Line "&amp;'19-OandM'!A124&amp;", Col. 7"</f>
        <v>19-OandM Line 91, Col. 7</v>
      </c>
      <c r="G7" s="7">
        <f>'19-OandM'!H124</f>
        <v>39727922.363643251</v>
      </c>
      <c r="I7" s="12"/>
    </row>
    <row r="8" spans="1:9" ht="13">
      <c r="A8" s="2">
        <f>A7+1</f>
        <v>2</v>
      </c>
      <c r="C8" s="66" t="s">
        <v>237</v>
      </c>
      <c r="D8" s="14"/>
      <c r="E8" s="15" t="s">
        <v>283</v>
      </c>
      <c r="G8" s="6">
        <v>801074308</v>
      </c>
    </row>
    <row r="9" spans="1:9" ht="13">
      <c r="A9" s="2">
        <f t="shared" ref="A9:A44" si="0">A8+1</f>
        <v>3</v>
      </c>
      <c r="C9" s="5" t="s">
        <v>238</v>
      </c>
      <c r="D9" s="14"/>
      <c r="E9" s="15" t="s">
        <v>284</v>
      </c>
      <c r="G9" s="6">
        <v>202973544</v>
      </c>
    </row>
    <row r="10" spans="1:9" ht="13">
      <c r="A10" s="2">
        <f t="shared" si="0"/>
        <v>4</v>
      </c>
      <c r="C10" s="66" t="s">
        <v>1122</v>
      </c>
      <c r="D10" s="14"/>
      <c r="E10" s="15" t="str">
        <f>"Line "&amp;A8&amp;" - Line "&amp;A9&amp;""</f>
        <v>Line 2 - Line 3</v>
      </c>
      <c r="G10" s="7">
        <f>G8-G9</f>
        <v>598100764</v>
      </c>
    </row>
    <row r="11" spans="1:9" ht="13">
      <c r="A11" s="2">
        <f t="shared" si="0"/>
        <v>5</v>
      </c>
      <c r="C11" s="919" t="s">
        <v>2009</v>
      </c>
      <c r="D11" s="14"/>
      <c r="E11" s="15" t="str">
        <f>"20-AandG, Note 2"</f>
        <v>20-AandG, Note 2</v>
      </c>
      <c r="G11" s="63">
        <f>'20-AandG'!E64</f>
        <v>11432043</v>
      </c>
      <c r="I11" s="12"/>
    </row>
    <row r="12" spans="1:9" ht="13">
      <c r="A12" s="2">
        <f t="shared" si="0"/>
        <v>6</v>
      </c>
      <c r="C12" s="874" t="s">
        <v>2005</v>
      </c>
      <c r="D12" s="14"/>
      <c r="E12" s="15" t="str">
        <f>"20-AandG, Note 2"</f>
        <v>20-AandG, Note 2</v>
      </c>
      <c r="G12" s="101">
        <f>'20-AandG'!E61</f>
        <v>4667367</v>
      </c>
    </row>
    <row r="13" spans="1:9" ht="13">
      <c r="A13" s="2">
        <f t="shared" si="0"/>
        <v>7</v>
      </c>
      <c r="C13" s="919" t="s">
        <v>2006</v>
      </c>
      <c r="D13" s="14"/>
      <c r="E13" s="15" t="str">
        <f>"Line "&amp;A11&amp;" - Line "&amp;A12&amp;""</f>
        <v>Line 5 - Line 6</v>
      </c>
      <c r="G13" s="7">
        <f>G11-G12</f>
        <v>6764676</v>
      </c>
    </row>
    <row r="14" spans="1:9" ht="13">
      <c r="A14" s="2">
        <f t="shared" si="0"/>
        <v>8</v>
      </c>
      <c r="C14" s="919" t="s">
        <v>2007</v>
      </c>
      <c r="D14" s="14"/>
      <c r="E14" s="15" t="str">
        <f>"Line "&amp;A10&amp;" + Line "&amp;A13&amp;""</f>
        <v>Line 4 + Line 7</v>
      </c>
      <c r="G14" s="7">
        <f>G10+G13</f>
        <v>604865440</v>
      </c>
    </row>
    <row r="15" spans="1:9" ht="13">
      <c r="A15" s="2">
        <f t="shared" si="0"/>
        <v>9</v>
      </c>
      <c r="C15" s="14" t="s">
        <v>200</v>
      </c>
      <c r="D15" s="14"/>
      <c r="E15" s="15" t="str">
        <f>"Line "&amp;A7&amp;" / Line "&amp;A14&amp;""</f>
        <v>Line 1 / Line 8</v>
      </c>
      <c r="G15" s="8">
        <f>G7/G14</f>
        <v>6.5680595610890333E-2</v>
      </c>
    </row>
    <row r="16" spans="1:9" ht="13">
      <c r="A16" s="2">
        <f t="shared" si="0"/>
        <v>10</v>
      </c>
      <c r="C16" s="14"/>
      <c r="D16" s="14"/>
      <c r="E16" s="14"/>
    </row>
    <row r="17" spans="1:11" ht="13">
      <c r="A17" s="2">
        <f t="shared" si="0"/>
        <v>11</v>
      </c>
      <c r="B17" s="1" t="s">
        <v>1117</v>
      </c>
      <c r="C17" s="14"/>
      <c r="D17" s="14"/>
      <c r="E17" s="14"/>
      <c r="G17" s="99"/>
    </row>
    <row r="18" spans="1:11" ht="13">
      <c r="A18" s="2">
        <f t="shared" si="0"/>
        <v>12</v>
      </c>
      <c r="C18" s="14"/>
      <c r="D18" s="110"/>
      <c r="E18" s="110" t="s">
        <v>169</v>
      </c>
      <c r="G18" s="4" t="s">
        <v>63</v>
      </c>
    </row>
    <row r="19" spans="1:11" ht="13">
      <c r="A19" s="2">
        <f t="shared" si="0"/>
        <v>13</v>
      </c>
      <c r="C19" s="14"/>
      <c r="D19" s="123" t="s">
        <v>168</v>
      </c>
      <c r="E19" s="123" t="s">
        <v>170</v>
      </c>
      <c r="G19" s="3" t="s">
        <v>171</v>
      </c>
    </row>
    <row r="20" spans="1:11" ht="13">
      <c r="A20" s="2">
        <f t="shared" si="0"/>
        <v>14</v>
      </c>
      <c r="C20" s="14" t="s">
        <v>332</v>
      </c>
      <c r="D20" s="14"/>
      <c r="E20" s="15" t="str">
        <f>"7-PlantStudy, Line "&amp;'7-PlantStudy'!A28&amp;""</f>
        <v>7-PlantStudy, Line 21</v>
      </c>
      <c r="G20" s="63">
        <f>'7-PlantStudy'!E28</f>
        <v>9285531120.7645988</v>
      </c>
    </row>
    <row r="21" spans="1:11" ht="13">
      <c r="A21" s="2">
        <f t="shared" si="0"/>
        <v>15</v>
      </c>
      <c r="C21" s="14" t="s">
        <v>333</v>
      </c>
      <c r="D21" s="14"/>
      <c r="E21" s="15" t="str">
        <f>"7-PlantStudy, Line "&amp;'7-PlantStudy'!A42&amp;""</f>
        <v>7-PlantStudy, Line 30</v>
      </c>
      <c r="G21" s="63">
        <f>'7-PlantStudy'!E42</f>
        <v>0</v>
      </c>
    </row>
    <row r="22" spans="1:11" ht="13">
      <c r="A22" s="2">
        <f t="shared" si="0"/>
        <v>16</v>
      </c>
      <c r="C22" s="14" t="s">
        <v>59</v>
      </c>
      <c r="D22" s="14"/>
      <c r="E22" s="15" t="str">
        <f>"6-PlantInService, Line "&amp;'6-PlantInService'!A54&amp;", C2"</f>
        <v>6-PlantInService, Line 21, C2</v>
      </c>
      <c r="G22" s="63">
        <f>'6-PlantInService'!G54</f>
        <v>1253827471</v>
      </c>
      <c r="H22" s="99"/>
    </row>
    <row r="23" spans="1:11" ht="13">
      <c r="A23" s="2">
        <f t="shared" si="0"/>
        <v>17</v>
      </c>
      <c r="C23" s="14" t="s">
        <v>2379</v>
      </c>
      <c r="D23" s="14"/>
      <c r="E23" s="14" t="str">
        <f>"Line "&amp;A22&amp;" * Line "&amp;A15&amp;""</f>
        <v>Line 16 * Line 9</v>
      </c>
      <c r="G23" s="63">
        <f>G22*G15</f>
        <v>82352135.088576332</v>
      </c>
    </row>
    <row r="24" spans="1:11" ht="13">
      <c r="A24" s="2">
        <f t="shared" si="0"/>
        <v>18</v>
      </c>
      <c r="C24" s="14" t="s">
        <v>58</v>
      </c>
      <c r="D24" s="14"/>
      <c r="E24" s="15" t="str">
        <f>"6-PlantInService, Line "&amp;'6-PlantInService'!A54&amp;", C1"</f>
        <v>6-PlantInService, Line 21, C1</v>
      </c>
      <c r="G24" s="63">
        <f>'6-PlantInService'!F54</f>
        <v>3238857833</v>
      </c>
    </row>
    <row r="25" spans="1:11" ht="13">
      <c r="A25" s="2">
        <f t="shared" si="0"/>
        <v>19</v>
      </c>
      <c r="C25" s="14" t="s">
        <v>2380</v>
      </c>
      <c r="D25" s="14"/>
      <c r="E25" s="14" t="str">
        <f>"Line "&amp;A24&amp;" * Line "&amp;A15&amp;""</f>
        <v>Line 18 * Line 9</v>
      </c>
      <c r="G25" s="63">
        <f>G24*G15</f>
        <v>212730111.57043758</v>
      </c>
    </row>
    <row r="26" spans="1:11" ht="13">
      <c r="A26" s="2">
        <f t="shared" si="0"/>
        <v>20</v>
      </c>
      <c r="C26" s="15" t="s">
        <v>1120</v>
      </c>
      <c r="D26" s="14"/>
      <c r="E26" s="14" t="s">
        <v>34</v>
      </c>
      <c r="G26" s="6">
        <v>51320942976</v>
      </c>
    </row>
    <row r="27" spans="1:11" ht="13">
      <c r="A27" s="2">
        <f t="shared" si="0"/>
        <v>21</v>
      </c>
      <c r="C27" s="14"/>
      <c r="D27" s="14"/>
      <c r="E27" s="14"/>
      <c r="G27" s="99"/>
    </row>
    <row r="28" spans="1:11" ht="13">
      <c r="A28" s="2">
        <f t="shared" si="0"/>
        <v>22</v>
      </c>
      <c r="C28" s="14" t="s">
        <v>57</v>
      </c>
      <c r="D28" s="14"/>
      <c r="E28" s="15" t="str">
        <f>"(L"&amp;A20&amp;" + L"&amp;A21&amp;" + L"&amp;A23&amp;" + L"&amp;A25&amp;") / L"&amp;A26&amp;""</f>
        <v>(L14 + L15 + L17 + L19) / L20</v>
      </c>
      <c r="G28" s="8">
        <f>(G20+G21+G23+G25)/G26</f>
        <v>0.18668038449535004</v>
      </c>
    </row>
    <row r="29" spans="1:11" ht="13">
      <c r="A29" s="553">
        <f t="shared" si="0"/>
        <v>23</v>
      </c>
      <c r="C29" s="14"/>
      <c r="D29" s="14"/>
      <c r="E29" s="15"/>
      <c r="G29" s="8"/>
    </row>
    <row r="30" spans="1:11" ht="13">
      <c r="A30" s="110">
        <f t="shared" si="0"/>
        <v>24</v>
      </c>
      <c r="B30" s="44" t="s">
        <v>1836</v>
      </c>
      <c r="C30" s="14"/>
      <c r="D30" s="14"/>
      <c r="E30" s="14"/>
      <c r="F30" s="14"/>
      <c r="G30" s="14"/>
      <c r="H30" s="14"/>
      <c r="I30" s="14"/>
      <c r="J30" s="14"/>
      <c r="K30" s="14"/>
    </row>
    <row r="31" spans="1:11" ht="13">
      <c r="A31" s="110">
        <f t="shared" si="0"/>
        <v>25</v>
      </c>
      <c r="B31" s="469"/>
      <c r="C31" s="14"/>
      <c r="D31" s="14"/>
      <c r="E31" s="14"/>
      <c r="F31" s="14"/>
      <c r="G31" s="14"/>
      <c r="H31" s="14"/>
      <c r="I31" s="14"/>
      <c r="J31" s="14"/>
      <c r="K31" s="14"/>
    </row>
    <row r="32" spans="1:11" ht="13">
      <c r="A32" s="110">
        <f t="shared" si="0"/>
        <v>26</v>
      </c>
      <c r="B32" s="469" t="s">
        <v>2399</v>
      </c>
      <c r="C32" s="14"/>
      <c r="D32" s="123" t="s">
        <v>1780</v>
      </c>
      <c r="E32" s="123" t="s">
        <v>168</v>
      </c>
      <c r="F32" s="14"/>
      <c r="G32" s="543" t="s">
        <v>1781</v>
      </c>
      <c r="H32" s="14"/>
      <c r="I32" s="14"/>
      <c r="J32" s="14"/>
      <c r="K32" s="14"/>
    </row>
    <row r="33" spans="1:11" ht="13">
      <c r="A33" s="110">
        <f t="shared" si="0"/>
        <v>27</v>
      </c>
      <c r="B33" s="14"/>
      <c r="C33" s="469" t="s">
        <v>1782</v>
      </c>
      <c r="D33" s="968">
        <v>5708.146202944401</v>
      </c>
      <c r="E33" s="123"/>
      <c r="F33" s="14"/>
      <c r="G33" s="574" t="s">
        <v>2310</v>
      </c>
      <c r="H33" s="14"/>
      <c r="I33" s="14"/>
      <c r="J33" s="14"/>
      <c r="K33" s="14"/>
    </row>
    <row r="34" spans="1:11" ht="13">
      <c r="A34" s="110">
        <f t="shared" si="0"/>
        <v>28</v>
      </c>
      <c r="B34" s="14"/>
      <c r="C34" s="469" t="s">
        <v>1783</v>
      </c>
      <c r="D34" s="968">
        <v>6452.0913370555918</v>
      </c>
      <c r="E34" s="123"/>
      <c r="F34" s="14"/>
      <c r="G34" s="574" t="s">
        <v>2311</v>
      </c>
      <c r="H34" s="14"/>
      <c r="I34" s="14"/>
      <c r="J34" s="14"/>
      <c r="K34" s="14"/>
    </row>
    <row r="35" spans="1:11" ht="13">
      <c r="A35" s="110">
        <f t="shared" si="0"/>
        <v>29</v>
      </c>
      <c r="B35" s="14"/>
      <c r="C35" s="469" t="s">
        <v>1784</v>
      </c>
      <c r="D35" s="112">
        <f>SUM(D33:D34)</f>
        <v>12160.237539999993</v>
      </c>
      <c r="E35" s="15" t="str">
        <f>" = L"&amp;A33&amp;" + L"&amp;A34&amp;""</f>
        <v xml:space="preserve"> = L27 + L28</v>
      </c>
      <c r="F35" s="14"/>
      <c r="G35" s="574" t="s">
        <v>2312</v>
      </c>
      <c r="H35" s="14"/>
      <c r="I35" s="14"/>
      <c r="J35" s="14"/>
      <c r="K35" s="14"/>
    </row>
    <row r="36" spans="1:11" ht="13">
      <c r="A36" s="110">
        <f t="shared" si="0"/>
        <v>30</v>
      </c>
      <c r="B36" s="14"/>
      <c r="C36" s="469" t="s">
        <v>2346</v>
      </c>
      <c r="D36" s="920">
        <f>D33/D35</f>
        <v>0.46941074828250473</v>
      </c>
      <c r="E36" s="15" t="str">
        <f>" = L"&amp;A33&amp;" / L"&amp;A35&amp;""</f>
        <v xml:space="preserve"> = L27 / L29</v>
      </c>
      <c r="F36" s="14"/>
      <c r="G36" s="875"/>
      <c r="H36" s="14"/>
      <c r="I36" s="14"/>
      <c r="J36" s="14"/>
      <c r="K36" s="14"/>
    </row>
    <row r="37" spans="1:11" ht="13">
      <c r="A37" s="110">
        <f t="shared" si="0"/>
        <v>31</v>
      </c>
      <c r="B37" s="123"/>
      <c r="C37" s="123"/>
      <c r="D37" s="14"/>
      <c r="E37" s="123"/>
      <c r="F37" s="14"/>
      <c r="G37" s="123"/>
      <c r="H37" s="14"/>
      <c r="I37" s="14"/>
      <c r="J37" s="14"/>
      <c r="K37" s="14"/>
    </row>
    <row r="38" spans="1:11" ht="13">
      <c r="A38" s="110">
        <f t="shared" si="0"/>
        <v>32</v>
      </c>
      <c r="B38" s="469" t="s">
        <v>2400</v>
      </c>
      <c r="C38" s="14"/>
      <c r="D38" s="123" t="s">
        <v>1780</v>
      </c>
      <c r="E38" s="123" t="s">
        <v>168</v>
      </c>
      <c r="F38" s="14"/>
      <c r="G38" s="543" t="s">
        <v>1781</v>
      </c>
      <c r="H38" s="14"/>
      <c r="I38" s="14"/>
      <c r="J38" s="14"/>
      <c r="K38" s="14"/>
    </row>
    <row r="39" spans="1:11" ht="13">
      <c r="A39" s="110">
        <f t="shared" si="0"/>
        <v>33</v>
      </c>
      <c r="B39" s="845"/>
      <c r="C39" s="469" t="s">
        <v>1785</v>
      </c>
      <c r="D39" s="968">
        <v>4.7140999999999993</v>
      </c>
      <c r="E39" s="123"/>
      <c r="F39" s="14"/>
      <c r="G39" s="875" t="s">
        <v>1274</v>
      </c>
      <c r="H39" s="14"/>
      <c r="I39" s="14"/>
      <c r="J39" s="14"/>
      <c r="K39" s="14"/>
    </row>
    <row r="40" spans="1:11" ht="13">
      <c r="A40" s="110">
        <f t="shared" si="0"/>
        <v>34</v>
      </c>
      <c r="B40" s="845"/>
      <c r="C40" s="469" t="s">
        <v>1786</v>
      </c>
      <c r="D40" s="968">
        <v>363.09459999999996</v>
      </c>
      <c r="E40" s="123"/>
      <c r="F40" s="14"/>
      <c r="G40" s="875" t="s">
        <v>1285</v>
      </c>
      <c r="H40" s="14"/>
      <c r="I40" s="14"/>
      <c r="J40" s="14"/>
      <c r="K40" s="14"/>
    </row>
    <row r="41" spans="1:11" ht="13">
      <c r="A41" s="110">
        <f t="shared" si="0"/>
        <v>35</v>
      </c>
      <c r="B41" s="845"/>
      <c r="C41" s="469" t="s">
        <v>1787</v>
      </c>
      <c r="D41" s="112">
        <f>SUM(D39:D40)</f>
        <v>367.80869999999993</v>
      </c>
      <c r="E41" s="15" t="str">
        <f>" = L"&amp;A39&amp;" + L"&amp;A40&amp;""</f>
        <v xml:space="preserve"> = L33 + L34</v>
      </c>
      <c r="F41" s="14"/>
      <c r="G41" s="14"/>
      <c r="H41" s="14"/>
      <c r="I41" s="14"/>
      <c r="J41" s="14"/>
      <c r="K41" s="14"/>
    </row>
    <row r="42" spans="1:11" ht="13">
      <c r="A42" s="110">
        <f t="shared" si="0"/>
        <v>36</v>
      </c>
      <c r="B42" s="845"/>
      <c r="C42" s="469" t="s">
        <v>2347</v>
      </c>
      <c r="D42" s="920">
        <f>D39/D41</f>
        <v>1.2816716950958474E-2</v>
      </c>
      <c r="E42" s="15" t="str">
        <f>" = L"&amp;A39&amp;" / L"&amp;A41&amp;""</f>
        <v xml:space="preserve"> = L33 / L35</v>
      </c>
      <c r="F42" s="14"/>
      <c r="G42" s="14"/>
      <c r="H42" s="14"/>
      <c r="I42" s="14"/>
      <c r="J42" s="14"/>
      <c r="K42" s="14"/>
    </row>
    <row r="43" spans="1:11" ht="13">
      <c r="A43" s="110">
        <f t="shared" si="0"/>
        <v>37</v>
      </c>
      <c r="B43" s="845"/>
      <c r="C43" s="113"/>
      <c r="D43" s="14"/>
      <c r="E43" s="123"/>
      <c r="F43" s="14"/>
      <c r="G43" s="63"/>
      <c r="H43" s="14"/>
      <c r="I43" s="14"/>
      <c r="J43" s="14"/>
      <c r="K43" s="14"/>
    </row>
    <row r="44" spans="1:11" ht="13">
      <c r="A44" s="110">
        <f t="shared" si="0"/>
        <v>38</v>
      </c>
      <c r="B44" s="469" t="s">
        <v>2401</v>
      </c>
      <c r="C44" s="14"/>
      <c r="D44" s="123" t="s">
        <v>1780</v>
      </c>
      <c r="E44" s="123" t="s">
        <v>168</v>
      </c>
      <c r="F44" s="14"/>
      <c r="G44" s="543" t="s">
        <v>1781</v>
      </c>
      <c r="H44" s="14"/>
      <c r="I44" s="14"/>
      <c r="J44" s="14"/>
      <c r="K44" s="14"/>
    </row>
    <row r="45" spans="1:11" ht="13">
      <c r="A45" s="110">
        <f t="shared" ref="A45:A54" si="1">A44+1</f>
        <v>39</v>
      </c>
      <c r="B45" s="845"/>
      <c r="C45" s="469" t="s">
        <v>1788</v>
      </c>
      <c r="D45" s="968">
        <v>1259</v>
      </c>
      <c r="E45" s="123"/>
      <c r="F45" s="14"/>
      <c r="G45" s="875" t="s">
        <v>2313</v>
      </c>
      <c r="H45" s="14"/>
      <c r="I45" s="14"/>
      <c r="J45" s="14"/>
      <c r="K45" s="14"/>
    </row>
    <row r="46" spans="1:11" ht="13">
      <c r="A46" s="110">
        <f t="shared" si="1"/>
        <v>40</v>
      </c>
      <c r="B46" s="845"/>
      <c r="C46" s="469" t="s">
        <v>1789</v>
      </c>
      <c r="D46" s="968">
        <v>2080</v>
      </c>
      <c r="E46" s="123"/>
      <c r="F46" s="14"/>
      <c r="G46" s="875"/>
      <c r="H46" s="14"/>
      <c r="I46" s="14"/>
      <c r="J46" s="14"/>
      <c r="K46" s="14"/>
    </row>
    <row r="47" spans="1:11" ht="13">
      <c r="A47" s="110">
        <f t="shared" si="1"/>
        <v>41</v>
      </c>
      <c r="B47" s="845"/>
      <c r="C47" s="469" t="s">
        <v>1790</v>
      </c>
      <c r="D47" s="112">
        <f>SUM(D45:D46)</f>
        <v>3339</v>
      </c>
      <c r="E47" s="15" t="str">
        <f>" = L"&amp;A45&amp;" + L"&amp;A46&amp;""</f>
        <v xml:space="preserve"> = L39 + L40</v>
      </c>
      <c r="F47" s="14"/>
      <c r="G47" s="14"/>
      <c r="H47" s="14"/>
      <c r="I47" s="14"/>
      <c r="J47" s="14"/>
      <c r="K47" s="14"/>
    </row>
    <row r="48" spans="1:11" ht="13">
      <c r="A48" s="110">
        <f t="shared" si="1"/>
        <v>42</v>
      </c>
      <c r="B48" s="845"/>
      <c r="C48" s="469" t="s">
        <v>1791</v>
      </c>
      <c r="D48" s="920">
        <f>D45/D47</f>
        <v>0.37705899970050916</v>
      </c>
      <c r="E48" s="15" t="str">
        <f>" = L"&amp;A45&amp;" / L"&amp;A47&amp;""</f>
        <v xml:space="preserve"> = L39 / L41</v>
      </c>
      <c r="F48" s="14"/>
      <c r="G48" s="14"/>
      <c r="H48" s="14"/>
      <c r="I48" s="14"/>
      <c r="J48" s="14"/>
      <c r="K48" s="14"/>
    </row>
    <row r="49" spans="1:11" ht="13">
      <c r="A49" s="110">
        <f t="shared" si="1"/>
        <v>43</v>
      </c>
      <c r="B49" s="14"/>
      <c r="C49" s="79"/>
      <c r="D49" s="14"/>
      <c r="E49" s="14"/>
      <c r="F49" s="14"/>
      <c r="G49" s="14"/>
      <c r="H49" s="14"/>
      <c r="I49" s="14"/>
      <c r="J49" s="14"/>
      <c r="K49" s="14"/>
    </row>
    <row r="50" spans="1:11" ht="13">
      <c r="A50" s="110">
        <f t="shared" si="1"/>
        <v>44</v>
      </c>
      <c r="B50" s="469" t="s">
        <v>2402</v>
      </c>
      <c r="C50" s="14"/>
      <c r="D50" s="123" t="s">
        <v>1780</v>
      </c>
      <c r="E50" s="123" t="s">
        <v>168</v>
      </c>
      <c r="F50" s="14"/>
      <c r="G50" s="543" t="s">
        <v>1781</v>
      </c>
      <c r="H50" s="14"/>
      <c r="I50" s="14"/>
      <c r="J50" s="14"/>
      <c r="K50" s="14"/>
    </row>
    <row r="51" spans="1:11" ht="13">
      <c r="A51" s="110">
        <f t="shared" si="1"/>
        <v>45</v>
      </c>
      <c r="B51" s="845"/>
      <c r="C51" s="469" t="s">
        <v>1794</v>
      </c>
      <c r="D51" s="968">
        <v>0</v>
      </c>
      <c r="E51" s="123"/>
      <c r="F51" s="14"/>
      <c r="G51" s="574" t="s">
        <v>2314</v>
      </c>
      <c r="H51" s="14"/>
      <c r="I51" s="14"/>
      <c r="J51" s="14"/>
      <c r="K51" s="14"/>
    </row>
    <row r="52" spans="1:11" ht="13">
      <c r="A52" s="110">
        <f t="shared" si="1"/>
        <v>46</v>
      </c>
      <c r="B52" s="845"/>
      <c r="C52" s="469" t="s">
        <v>1792</v>
      </c>
      <c r="D52" s="968">
        <v>8844</v>
      </c>
      <c r="E52" s="123"/>
      <c r="F52" s="14"/>
      <c r="G52" s="574" t="s">
        <v>1289</v>
      </c>
      <c r="H52" s="14"/>
      <c r="I52" s="14"/>
      <c r="J52" s="14"/>
      <c r="K52" s="14"/>
    </row>
    <row r="53" spans="1:11" ht="13">
      <c r="A53" s="110">
        <f t="shared" si="1"/>
        <v>47</v>
      </c>
      <c r="B53" s="845"/>
      <c r="C53" s="469" t="s">
        <v>1793</v>
      </c>
      <c r="D53" s="112">
        <f>D51+D52</f>
        <v>8844</v>
      </c>
      <c r="E53" s="15" t="str">
        <f>" = L"&amp;A51&amp;" + L"&amp;A52&amp;""</f>
        <v xml:space="preserve"> = L45 + L46</v>
      </c>
      <c r="F53" s="14"/>
      <c r="G53" s="574" t="s">
        <v>1290</v>
      </c>
      <c r="H53" s="14"/>
      <c r="I53" s="14"/>
      <c r="J53" s="14"/>
      <c r="K53" s="14"/>
    </row>
    <row r="54" spans="1:11" ht="13">
      <c r="A54" s="110">
        <f t="shared" si="1"/>
        <v>48</v>
      </c>
      <c r="B54" s="845"/>
      <c r="C54" s="469" t="s">
        <v>1795</v>
      </c>
      <c r="D54" s="920">
        <f>D51/D53</f>
        <v>0</v>
      </c>
      <c r="E54" s="15" t="str">
        <f>" = L"&amp;A51&amp;" / L"&amp;A53&amp;""</f>
        <v xml:space="preserve"> = L45 / L47</v>
      </c>
      <c r="F54" s="14"/>
      <c r="G54" s="574" t="s">
        <v>2315</v>
      </c>
      <c r="H54" s="14"/>
      <c r="I54" s="14"/>
      <c r="J54" s="14"/>
      <c r="K54" s="14"/>
    </row>
    <row r="55" spans="1:11" ht="13">
      <c r="A55" s="553"/>
      <c r="E55" s="14"/>
      <c r="F55" s="14"/>
      <c r="G55" s="14"/>
      <c r="H55" s="14"/>
      <c r="I55" s="14"/>
      <c r="J55" s="14"/>
      <c r="K55" s="14"/>
    </row>
    <row r="56" spans="1:11" ht="13">
      <c r="A56" s="553"/>
      <c r="E56" s="14"/>
      <c r="F56" s="14"/>
      <c r="G56" s="14"/>
      <c r="H56" s="14"/>
      <c r="I56" s="14"/>
      <c r="J56" s="14"/>
      <c r="K56" s="14"/>
    </row>
    <row r="57" spans="1:11" ht="13">
      <c r="A57" s="553"/>
      <c r="E57" s="14"/>
      <c r="F57" s="14"/>
      <c r="G57" s="14"/>
      <c r="H57" s="14"/>
      <c r="I57" s="14"/>
      <c r="J57" s="14"/>
      <c r="K57" s="14"/>
    </row>
    <row r="58" spans="1:11" ht="13">
      <c r="A58" s="553"/>
    </row>
    <row r="59" spans="1:11" ht="13">
      <c r="A59" s="553"/>
    </row>
    <row r="60" spans="1:11" ht="13">
      <c r="A60" s="553"/>
    </row>
    <row r="61" spans="1:11" ht="13">
      <c r="A61" s="553"/>
    </row>
    <row r="62" spans="1:11" ht="13">
      <c r="A62" s="553"/>
    </row>
    <row r="63" spans="1:11" ht="13">
      <c r="A63" s="553"/>
    </row>
    <row r="64" spans="1:11" ht="13">
      <c r="A64" s="553"/>
    </row>
    <row r="65" spans="1:1" ht="13">
      <c r="A65" s="553"/>
    </row>
    <row r="66" spans="1:1" ht="13">
      <c r="A66" s="553"/>
    </row>
  </sheetData>
  <phoneticPr fontId="23" type="noConversion"/>
  <pageMargins left="0.75" right="0.75" top="1" bottom="1" header="0.5" footer="0.5"/>
  <pageSetup scale="65" orientation="landscape" cellComments="asDisplayed" r:id="rId1"/>
  <headerFooter alignWithMargins="0">
    <oddHeader>&amp;CSchedule 27
Allocation Factors
&amp;RTO2021 Draft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heetViews>
  <sheetFormatPr defaultRowHeight="12.5"/>
  <cols>
    <col min="1" max="1" width="4.54296875" customWidth="1"/>
    <col min="2" max="2" width="3.54296875" customWidth="1"/>
    <col min="3" max="6" width="10.54296875" customWidth="1"/>
    <col min="7" max="7" width="9.453125" bestFit="1" customWidth="1"/>
    <col min="8" max="8" width="4.54296875" customWidth="1"/>
    <col min="9" max="9" width="35.54296875" customWidth="1"/>
  </cols>
  <sheetData>
    <row r="1" spans="1:9" ht="13">
      <c r="A1" s="1" t="s">
        <v>1633</v>
      </c>
    </row>
    <row r="2" spans="1:9" ht="13">
      <c r="C2" s="1266"/>
      <c r="D2" s="1" t="s">
        <v>2537</v>
      </c>
      <c r="E2" s="515" t="s">
        <v>2658</v>
      </c>
      <c r="F2" s="515"/>
    </row>
    <row r="3" spans="1:9" ht="13">
      <c r="B3" s="1" t="s">
        <v>497</v>
      </c>
      <c r="I3" s="97" t="s">
        <v>17</v>
      </c>
    </row>
    <row r="4" spans="1:9" ht="13">
      <c r="B4" s="1"/>
      <c r="I4" s="14"/>
    </row>
    <row r="5" spans="1:9" ht="13">
      <c r="E5" s="110" t="s">
        <v>1853</v>
      </c>
    </row>
    <row r="6" spans="1:9" ht="13">
      <c r="A6" s="51" t="s">
        <v>329</v>
      </c>
      <c r="C6" s="3" t="s">
        <v>232</v>
      </c>
      <c r="D6" s="3" t="s">
        <v>233</v>
      </c>
      <c r="E6" s="921" t="s">
        <v>63</v>
      </c>
      <c r="G6" s="3" t="s">
        <v>234</v>
      </c>
      <c r="I6" s="51" t="s">
        <v>205</v>
      </c>
    </row>
    <row r="7" spans="1:9" ht="13">
      <c r="A7" s="2">
        <v>1</v>
      </c>
      <c r="C7" s="148">
        <v>2019</v>
      </c>
      <c r="D7" s="978" t="s">
        <v>2659</v>
      </c>
      <c r="E7" s="97">
        <v>365</v>
      </c>
      <c r="F7" s="972"/>
      <c r="G7" s="1289">
        <v>9.2480778683301876E-3</v>
      </c>
      <c r="H7" s="972"/>
      <c r="I7" s="717" t="s">
        <v>2660</v>
      </c>
    </row>
    <row r="8" spans="1:9" ht="13">
      <c r="A8" s="2">
        <v>2</v>
      </c>
      <c r="C8" s="97"/>
      <c r="D8" s="97"/>
      <c r="E8" s="97"/>
      <c r="G8" s="97"/>
      <c r="I8" s="115"/>
    </row>
    <row r="10" spans="1:9" ht="13">
      <c r="B10" s="1" t="s">
        <v>1634</v>
      </c>
    </row>
    <row r="11" spans="1:9" ht="13">
      <c r="B11" s="1"/>
    </row>
    <row r="12" spans="1:9" ht="13">
      <c r="E12" s="110" t="s">
        <v>1853</v>
      </c>
    </row>
    <row r="13" spans="1:9" ht="13">
      <c r="C13" s="3" t="s">
        <v>232</v>
      </c>
      <c r="D13" s="3" t="s">
        <v>233</v>
      </c>
      <c r="E13" s="921" t="s">
        <v>63</v>
      </c>
      <c r="G13" s="3" t="s">
        <v>235</v>
      </c>
      <c r="I13" s="51" t="s">
        <v>205</v>
      </c>
    </row>
    <row r="14" spans="1:9" ht="13">
      <c r="A14" s="2">
        <v>3</v>
      </c>
      <c r="C14" s="148">
        <v>2019</v>
      </c>
      <c r="D14" s="97" t="s">
        <v>2659</v>
      </c>
      <c r="E14" s="97">
        <v>365</v>
      </c>
      <c r="F14" s="972"/>
      <c r="G14" s="1290">
        <v>2.134007585335019E-3</v>
      </c>
      <c r="H14" s="972"/>
      <c r="I14" s="978" t="s">
        <v>2661</v>
      </c>
    </row>
    <row r="15" spans="1:9" ht="13">
      <c r="A15" s="2">
        <v>4</v>
      </c>
      <c r="C15" s="148"/>
      <c r="D15" s="97"/>
      <c r="E15" s="97"/>
      <c r="G15" s="88"/>
      <c r="I15" s="115"/>
    </row>
    <row r="18" spans="1:9" ht="13">
      <c r="B18" s="1" t="s">
        <v>496</v>
      </c>
    </row>
    <row r="19" spans="1:9" ht="13">
      <c r="B19" s="1"/>
    </row>
    <row r="20" spans="1:9" ht="13">
      <c r="C20" s="2" t="s">
        <v>402</v>
      </c>
      <c r="D20" s="2"/>
      <c r="E20" s="2"/>
    </row>
    <row r="21" spans="1:9" ht="13">
      <c r="C21" s="3" t="s">
        <v>193</v>
      </c>
      <c r="D21" s="3" t="s">
        <v>234</v>
      </c>
      <c r="E21" s="3" t="s">
        <v>235</v>
      </c>
      <c r="I21" s="51" t="s">
        <v>168</v>
      </c>
    </row>
    <row r="22" spans="1:9" ht="13">
      <c r="A22" s="2">
        <v>5</v>
      </c>
      <c r="C22" s="149">
        <v>2019</v>
      </c>
      <c r="D22" s="922">
        <f>E41</f>
        <v>9.2480778683301876E-3</v>
      </c>
      <c r="E22" s="922">
        <f>E42</f>
        <v>2.134007585335019E-3</v>
      </c>
      <c r="F22" s="14"/>
      <c r="G22" s="14"/>
      <c r="H22" s="14"/>
      <c r="I22" s="469" t="s">
        <v>1728</v>
      </c>
    </row>
    <row r="24" spans="1:9" ht="13">
      <c r="B24" s="1" t="s">
        <v>230</v>
      </c>
    </row>
    <row r="25" spans="1:9">
      <c r="B25" s="12" t="s">
        <v>546</v>
      </c>
    </row>
    <row r="26" spans="1:9">
      <c r="B26" s="12" t="s">
        <v>545</v>
      </c>
    </row>
    <row r="28" spans="1:9" ht="13">
      <c r="B28" s="1" t="s">
        <v>377</v>
      </c>
    </row>
    <row r="29" spans="1:9">
      <c r="B29" s="469" t="s">
        <v>1730</v>
      </c>
      <c r="C29" s="14"/>
      <c r="D29" s="14"/>
      <c r="E29" s="14"/>
      <c r="F29" s="14"/>
      <c r="G29" s="14"/>
      <c r="H29" s="14"/>
      <c r="I29" s="14"/>
    </row>
    <row r="30" spans="1:9">
      <c r="B30" s="469" t="s">
        <v>1739</v>
      </c>
      <c r="C30" s="14"/>
      <c r="D30" s="14"/>
      <c r="E30" s="14"/>
      <c r="F30" s="14"/>
      <c r="G30" s="14"/>
      <c r="H30" s="14"/>
      <c r="I30" s="14"/>
    </row>
    <row r="31" spans="1:9">
      <c r="B31" s="469" t="s">
        <v>1858</v>
      </c>
      <c r="C31" s="14"/>
      <c r="D31" s="14"/>
      <c r="E31" s="14"/>
      <c r="F31" s="14"/>
      <c r="G31" s="14"/>
      <c r="H31" s="14"/>
      <c r="I31" s="14"/>
    </row>
    <row r="32" spans="1:9">
      <c r="B32" s="469" t="s">
        <v>1857</v>
      </c>
      <c r="C32" s="14"/>
      <c r="D32" s="14"/>
      <c r="E32" s="14"/>
      <c r="F32" s="14"/>
      <c r="G32" s="14"/>
      <c r="H32" s="14"/>
      <c r="I32" s="14"/>
    </row>
    <row r="33" spans="2:9">
      <c r="B33" s="469" t="s">
        <v>1725</v>
      </c>
      <c r="C33" s="14"/>
      <c r="D33" s="14"/>
      <c r="E33" s="14"/>
      <c r="F33" s="14"/>
      <c r="G33" s="14"/>
      <c r="H33" s="14"/>
      <c r="I33" s="14"/>
    </row>
    <row r="34" spans="2:9">
      <c r="B34" s="469" t="s">
        <v>1726</v>
      </c>
      <c r="C34" s="14"/>
      <c r="D34" s="14"/>
      <c r="E34" s="14"/>
      <c r="F34" s="14"/>
      <c r="G34" s="14"/>
      <c r="H34" s="14"/>
      <c r="I34" s="14"/>
    </row>
    <row r="35" spans="2:9">
      <c r="B35" s="469" t="s">
        <v>2010</v>
      </c>
      <c r="C35" s="14"/>
      <c r="D35" s="14"/>
      <c r="E35" s="14"/>
      <c r="F35" s="14"/>
      <c r="G35" s="14"/>
      <c r="H35" s="14"/>
      <c r="I35" s="14"/>
    </row>
    <row r="36" spans="2:9">
      <c r="B36" s="469" t="s">
        <v>1729</v>
      </c>
      <c r="C36" s="14"/>
      <c r="D36" s="14"/>
      <c r="E36" s="14"/>
      <c r="F36" s="14"/>
      <c r="G36" s="14"/>
      <c r="H36" s="14"/>
      <c r="I36" s="14"/>
    </row>
    <row r="37" spans="2:9">
      <c r="B37" s="469" t="s">
        <v>1727</v>
      </c>
      <c r="C37" s="14"/>
      <c r="D37" s="14"/>
      <c r="E37" s="14"/>
      <c r="F37" s="14"/>
      <c r="G37" s="14"/>
      <c r="H37" s="14"/>
      <c r="I37" s="14"/>
    </row>
    <row r="38" spans="2:9">
      <c r="B38" s="469" t="s">
        <v>1856</v>
      </c>
      <c r="C38" s="14"/>
      <c r="D38" s="14"/>
      <c r="E38" s="14"/>
      <c r="F38" s="14"/>
      <c r="G38" s="14"/>
      <c r="H38" s="14"/>
      <c r="I38" s="14"/>
    </row>
    <row r="39" spans="2:9">
      <c r="B39" s="14"/>
      <c r="C39" s="14"/>
      <c r="D39" s="14"/>
      <c r="E39" s="14"/>
      <c r="F39" s="14"/>
      <c r="G39" s="14"/>
      <c r="H39" s="14"/>
      <c r="I39" s="14"/>
    </row>
    <row r="40" spans="2:9" ht="13">
      <c r="B40" s="14"/>
      <c r="C40" s="14"/>
      <c r="D40" s="14"/>
      <c r="E40" s="123" t="s">
        <v>1428</v>
      </c>
      <c r="F40" s="14"/>
      <c r="G40" s="840" t="s">
        <v>154</v>
      </c>
      <c r="H40" s="14"/>
      <c r="I40" s="14"/>
    </row>
    <row r="41" spans="2:9">
      <c r="B41" s="14"/>
      <c r="C41" s="14"/>
      <c r="D41" s="849" t="s">
        <v>1854</v>
      </c>
      <c r="E41" s="922">
        <f>((G7*E7) + (G8*E8))/(E7+E8)</f>
        <v>9.2480778683301876E-3</v>
      </c>
      <c r="F41" s="14"/>
      <c r="G41" s="574" t="s">
        <v>2348</v>
      </c>
      <c r="H41" s="14"/>
      <c r="I41" s="14"/>
    </row>
    <row r="42" spans="2:9">
      <c r="B42" s="14"/>
      <c r="C42" s="14"/>
      <c r="D42" s="849" t="s">
        <v>1855</v>
      </c>
      <c r="E42" s="922">
        <f>((G14*E14) + (G15*E15))/(E14+E15)</f>
        <v>2.134007585335019E-3</v>
      </c>
      <c r="F42" s="14"/>
      <c r="G42" s="574" t="s">
        <v>2349</v>
      </c>
      <c r="H42" s="14"/>
      <c r="I42" s="14"/>
    </row>
  </sheetData>
  <phoneticPr fontId="23" type="noConversion"/>
  <pageMargins left="0.75" right="0.75" top="1" bottom="1" header="0.5" footer="0.5"/>
  <pageSetup scale="82" orientation="portrait" cellComments="asDisplayed" r:id="rId1"/>
  <headerFooter alignWithMargins="0">
    <oddHeader>&amp;CSchedule 28
FF and U
&amp;RTO2021 Draft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1376</v>
      </c>
    </row>
    <row r="2" spans="1:10">
      <c r="G2" s="43" t="s">
        <v>17</v>
      </c>
      <c r="H2" s="43"/>
      <c r="I2" s="97"/>
    </row>
    <row r="3" spans="1:10" ht="13">
      <c r="A3" s="3" t="s">
        <v>329</v>
      </c>
      <c r="B3" s="3" t="s">
        <v>83</v>
      </c>
      <c r="F3" s="51" t="s">
        <v>168</v>
      </c>
      <c r="G3" s="51" t="s">
        <v>179</v>
      </c>
      <c r="J3" s="51"/>
    </row>
    <row r="4" spans="1:10" ht="13">
      <c r="A4" s="2">
        <v>1</v>
      </c>
      <c r="B4" s="47">
        <f>'1-BaseTRR'!K159</f>
        <v>1081394651.2140722</v>
      </c>
      <c r="C4" s="52" t="s">
        <v>133</v>
      </c>
      <c r="G4" s="15" t="str">
        <f>"1-BaseTRR, Line "&amp;'1-BaseTRR'!A159&amp;""</f>
        <v>1-BaseTRR, Line 89</v>
      </c>
      <c r="H4" s="14"/>
    </row>
    <row r="5" spans="1:10" ht="13">
      <c r="A5" s="2">
        <f t="shared" ref="A5:A10" si="0">A4+1</f>
        <v>2</v>
      </c>
      <c r="B5" s="1255">
        <v>-61242225</v>
      </c>
      <c r="C5" s="52" t="s">
        <v>134</v>
      </c>
      <c r="F5" s="15" t="s">
        <v>359</v>
      </c>
      <c r="G5" s="1253" t="s">
        <v>2616</v>
      </c>
      <c r="H5" s="1253"/>
      <c r="I5" s="1253" t="s">
        <v>2617</v>
      </c>
    </row>
    <row r="6" spans="1:10" ht="13">
      <c r="A6" s="2">
        <f t="shared" si="0"/>
        <v>3</v>
      </c>
      <c r="B6" s="1255">
        <v>-61021516</v>
      </c>
      <c r="C6" s="52" t="s">
        <v>135</v>
      </c>
      <c r="F6" s="14"/>
      <c r="G6" s="1253" t="s">
        <v>2616</v>
      </c>
      <c r="H6" s="1253"/>
      <c r="I6" s="1253" t="s">
        <v>2617</v>
      </c>
    </row>
    <row r="7" spans="1:10" ht="13">
      <c r="A7" s="2">
        <f t="shared" si="0"/>
        <v>4</v>
      </c>
      <c r="B7" s="1255">
        <v>-220709</v>
      </c>
      <c r="C7" s="52" t="s">
        <v>136</v>
      </c>
      <c r="F7" s="14"/>
      <c r="G7" s="1253" t="s">
        <v>2616</v>
      </c>
      <c r="H7" s="1253"/>
      <c r="I7" s="1253" t="s">
        <v>2617</v>
      </c>
    </row>
    <row r="8" spans="1:10" ht="13">
      <c r="A8" s="2">
        <f t="shared" si="0"/>
        <v>5</v>
      </c>
      <c r="B8" s="47">
        <f>-'33-RetailRates'!E61</f>
        <v>-8199152.2516793394</v>
      </c>
      <c r="C8" s="52" t="s">
        <v>137</v>
      </c>
      <c r="F8" s="14" t="s">
        <v>360</v>
      </c>
      <c r="G8" t="s">
        <v>82</v>
      </c>
    </row>
    <row r="9" spans="1:10" ht="13">
      <c r="A9" s="2">
        <f t="shared" si="0"/>
        <v>6</v>
      </c>
      <c r="B9" s="8">
        <f>'31-HVLV'!C45</f>
        <v>0.97048155769923095</v>
      </c>
      <c r="C9" s="52" t="s">
        <v>81</v>
      </c>
      <c r="G9" s="15" t="str">
        <f>"31-HVLV, Line "&amp;'31-HVLV'!A45&amp;""</f>
        <v>31-HVLV, Line 37</v>
      </c>
      <c r="H9" s="14"/>
      <c r="I9" s="14"/>
    </row>
    <row r="10" spans="1:10" ht="13">
      <c r="A10" s="2">
        <f t="shared" si="0"/>
        <v>7</v>
      </c>
      <c r="B10" s="8">
        <f>'31-HVLV'!D45</f>
        <v>2.951844230076911E-2</v>
      </c>
      <c r="C10" s="52" t="s">
        <v>80</v>
      </c>
      <c r="G10" s="15" t="str">
        <f>"31-HVLV, Line "&amp;'31-HVLV'!A45&amp;""</f>
        <v>31-HVLV, Line 37</v>
      </c>
      <c r="H10" s="14"/>
      <c r="I10" s="14"/>
    </row>
    <row r="11" spans="1:10">
      <c r="C11" s="37"/>
      <c r="D11" s="89"/>
      <c r="E11" s="89"/>
      <c r="F11" s="89"/>
      <c r="G11" s="89"/>
      <c r="H11" s="89"/>
      <c r="J11" s="89"/>
    </row>
    <row r="12" spans="1:10" ht="13">
      <c r="B12" s="1" t="s">
        <v>1501</v>
      </c>
      <c r="C12" s="37"/>
      <c r="D12" s="89"/>
      <c r="E12" s="89"/>
      <c r="F12" s="89"/>
      <c r="G12" s="89"/>
      <c r="H12" s="89"/>
    </row>
    <row r="13" spans="1:10" ht="13">
      <c r="B13" s="1"/>
      <c r="C13" s="37"/>
      <c r="D13" s="89"/>
      <c r="E13" s="89"/>
      <c r="F13" s="89"/>
      <c r="G13" s="89"/>
      <c r="H13" s="89"/>
    </row>
    <row r="14" spans="1:10" ht="13">
      <c r="B14" s="1"/>
      <c r="C14" s="37"/>
      <c r="D14" s="84" t="s">
        <v>358</v>
      </c>
      <c r="E14" s="84" t="s">
        <v>342</v>
      </c>
      <c r="F14" s="84" t="s">
        <v>343</v>
      </c>
      <c r="G14" s="89"/>
      <c r="H14" s="89"/>
    </row>
    <row r="15" spans="1:10" ht="13">
      <c r="B15" s="1"/>
      <c r="C15" s="37"/>
      <c r="F15" s="89"/>
      <c r="G15" s="89"/>
      <c r="H15" s="89"/>
    </row>
    <row r="16" spans="1:10" ht="13">
      <c r="E16" s="2" t="s">
        <v>466</v>
      </c>
      <c r="F16" s="2" t="s">
        <v>467</v>
      </c>
    </row>
    <row r="17" spans="1:9" ht="13">
      <c r="C17" s="37"/>
      <c r="D17" s="3" t="s">
        <v>138</v>
      </c>
      <c r="E17" s="3" t="s">
        <v>465</v>
      </c>
      <c r="F17" s="3" t="s">
        <v>465</v>
      </c>
      <c r="G17" s="3"/>
      <c r="H17" s="3" t="s">
        <v>179</v>
      </c>
    </row>
    <row r="18" spans="1:9" ht="13">
      <c r="A18" s="2">
        <f>A10+1</f>
        <v>8</v>
      </c>
      <c r="B18" s="90"/>
      <c r="C18" s="68" t="s">
        <v>149</v>
      </c>
      <c r="D18" s="7">
        <f>B4</f>
        <v>1081394651.2140722</v>
      </c>
      <c r="E18" s="7">
        <f>D18*B9</f>
        <v>1049473565.5978494</v>
      </c>
      <c r="F18" s="7">
        <f>D18*B10</f>
        <v>31921085.616222925</v>
      </c>
      <c r="G18" s="7"/>
      <c r="H18" s="469" t="s">
        <v>281</v>
      </c>
    </row>
    <row r="19" spans="1:9" ht="13">
      <c r="A19" s="487">
        <f>A18+1</f>
        <v>9</v>
      </c>
      <c r="B19" s="90"/>
      <c r="C19" s="68" t="s">
        <v>1499</v>
      </c>
      <c r="D19" s="7">
        <f>'24-CWIPTRR'!E145</f>
        <v>26245414.31766947</v>
      </c>
      <c r="E19" s="7">
        <f>'24-CWIPTRR'!E145</f>
        <v>26245414.31766947</v>
      </c>
      <c r="F19" s="7">
        <v>0</v>
      </c>
      <c r="G19" s="7"/>
      <c r="H19" s="469" t="s">
        <v>953</v>
      </c>
    </row>
    <row r="20" spans="1:9" ht="13">
      <c r="A20" s="487">
        <f>A19+1</f>
        <v>10</v>
      </c>
      <c r="B20" s="90"/>
      <c r="C20" s="68" t="s">
        <v>1500</v>
      </c>
      <c r="D20" s="7">
        <f>D18-D19</f>
        <v>1055149236.8964027</v>
      </c>
      <c r="E20" s="7">
        <f t="shared" ref="E20:F20" si="1">E18-E19</f>
        <v>1023228151.2801799</v>
      </c>
      <c r="F20" s="7">
        <f t="shared" si="1"/>
        <v>31921085.616222925</v>
      </c>
      <c r="G20" s="7"/>
      <c r="H20" s="469" t="s">
        <v>954</v>
      </c>
    </row>
    <row r="21" spans="1:9" ht="13">
      <c r="B21" s="90"/>
      <c r="C21" s="90"/>
      <c r="D21" s="7"/>
      <c r="E21" s="7"/>
      <c r="F21" s="7"/>
      <c r="G21" s="7"/>
      <c r="H21" s="14"/>
    </row>
    <row r="22" spans="1:9" ht="13">
      <c r="A22" s="2">
        <f>A20+1</f>
        <v>11</v>
      </c>
      <c r="B22" s="1"/>
      <c r="C22" s="68" t="s">
        <v>139</v>
      </c>
      <c r="D22" s="7">
        <f>B5</f>
        <v>-61242225</v>
      </c>
      <c r="E22" s="7">
        <f>B6</f>
        <v>-61021516</v>
      </c>
      <c r="F22" s="7">
        <f>B7</f>
        <v>-220709</v>
      </c>
      <c r="G22" s="7"/>
      <c r="H22" s="14" t="str">
        <f>"Lines "&amp;A5&amp;" to "&amp;A7&amp;""</f>
        <v>Lines 2 to 4</v>
      </c>
    </row>
    <row r="23" spans="1:9" ht="13">
      <c r="B23" s="1"/>
      <c r="C23" s="68"/>
      <c r="D23" s="7"/>
      <c r="E23" s="7"/>
      <c r="F23" s="7"/>
      <c r="G23" s="7"/>
    </row>
    <row r="24" spans="1:9" ht="13">
      <c r="A24" s="2">
        <f>A22+1</f>
        <v>12</v>
      </c>
      <c r="B24" s="1"/>
      <c r="C24" s="68" t="s">
        <v>1623</v>
      </c>
      <c r="D24" s="91">
        <f>$B$8</f>
        <v>-8199152.2516793394</v>
      </c>
      <c r="E24" s="91">
        <f>$B$8*$B$9</f>
        <v>-7957126.0490229223</v>
      </c>
      <c r="F24" s="91">
        <f>$B$8*$B$10</f>
        <v>-242026.20265641771</v>
      </c>
      <c r="G24" s="91"/>
      <c r="H24" s="467" t="s">
        <v>522</v>
      </c>
    </row>
    <row r="25" spans="1:9" ht="13">
      <c r="A25" s="542"/>
      <c r="B25" s="1"/>
      <c r="C25" s="68"/>
      <c r="D25" s="91"/>
      <c r="E25" s="91"/>
      <c r="F25" s="91"/>
      <c r="G25" s="91"/>
      <c r="H25" s="467"/>
    </row>
    <row r="26" spans="1:9" ht="13">
      <c r="B26" s="1"/>
      <c r="C26" s="68" t="s">
        <v>1624</v>
      </c>
      <c r="D26" s="91"/>
      <c r="E26" s="91"/>
      <c r="F26" s="91"/>
      <c r="G26" s="91"/>
    </row>
    <row r="27" spans="1:9" ht="13">
      <c r="A27" s="2">
        <f>A24+1</f>
        <v>13</v>
      </c>
      <c r="B27" s="1"/>
      <c r="C27" s="68" t="s">
        <v>1625</v>
      </c>
      <c r="D27" s="7">
        <f>D18+D22+D24</f>
        <v>1011953273.9623929</v>
      </c>
      <c r="E27" s="7">
        <f>E18+E22+E24</f>
        <v>980494923.54882646</v>
      </c>
      <c r="F27" s="7">
        <f>F18+F22+F24</f>
        <v>31458350.413566507</v>
      </c>
      <c r="G27" s="7"/>
      <c r="H27" s="47" t="str">
        <f>"Sum of Lines "&amp;A18&amp;", "&amp;A22&amp;", and "&amp;A24&amp;""</f>
        <v>Sum of Lines 8, 11, and 12</v>
      </c>
      <c r="I27" s="14"/>
    </row>
    <row r="28" spans="1:9">
      <c r="E28" s="7"/>
    </row>
    <row r="29" spans="1:9" ht="13">
      <c r="B29" s="51" t="s">
        <v>230</v>
      </c>
    </row>
    <row r="30" spans="1:9">
      <c r="B30" s="12" t="s">
        <v>1404</v>
      </c>
    </row>
    <row r="31" spans="1:9">
      <c r="B31" s="467" t="s">
        <v>1635</v>
      </c>
    </row>
    <row r="32" spans="1:9">
      <c r="B32" s="12" t="s">
        <v>1405</v>
      </c>
    </row>
    <row r="33" spans="2:6">
      <c r="B33" s="469" t="s">
        <v>1773</v>
      </c>
      <c r="C33" s="14"/>
      <c r="D33" s="97" t="s">
        <v>2618</v>
      </c>
      <c r="E33" s="97"/>
      <c r="F33" s="14"/>
    </row>
    <row r="34" spans="2:6">
      <c r="B34" s="15" t="str">
        <f>"3) Column 1 is from Line "&amp;A4&amp;"."</f>
        <v>3) Column 1 is from Line 1.</v>
      </c>
      <c r="C34" s="14"/>
    </row>
    <row r="35" spans="2:6">
      <c r="B35" s="46" t="str">
        <f>"Column 2 equals Column 1 * Line "&amp;A9&amp;"."</f>
        <v>Column 2 equals Column 1 * Line 6.</v>
      </c>
      <c r="C35" s="14"/>
    </row>
    <row r="36" spans="2:6">
      <c r="B36" s="46" t="str">
        <f>"Column 3 equals Column 1 * Line "&amp;A10&amp;"."</f>
        <v>Column 3 equals Column 1 * Line 7.</v>
      </c>
      <c r="C36" s="14"/>
    </row>
    <row r="37" spans="2:6">
      <c r="B37" s="14" t="str">
        <f>"4) From 24-CWIPTRR, Line "&amp;'24-CWIPTRR'!A145&amp;".  All High Voltage."</f>
        <v>4) From 24-CWIPTRR, Line 88.  All High Voltage.</v>
      </c>
      <c r="C37" s="14"/>
    </row>
    <row r="38" spans="2:6">
      <c r="B38" s="14" t="str">
        <f>"5) Line "&amp;A18&amp;" - Line "&amp;A19&amp;""</f>
        <v>5) Line 8 - Line 9</v>
      </c>
      <c r="C38" s="14"/>
    </row>
    <row r="39" spans="2:6">
      <c r="B39" s="15" t="str">
        <f>"6) Column 1 is from Line "&amp;A8&amp;"."</f>
        <v>6) Column 1 is from Line 5.</v>
      </c>
      <c r="C39" s="14"/>
    </row>
    <row r="40" spans="2:6">
      <c r="B40" s="46" t="str">
        <f>"Column 2 equals Column 1 * Line "&amp;A9&amp;"."</f>
        <v>Column 2 equals Column 1 * Line 6.</v>
      </c>
      <c r="C40" s="14"/>
    </row>
    <row r="41" spans="2:6">
      <c r="B41" s="13"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&amp;RTO2021 Draft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3"/>
  <sheetViews>
    <sheetView zoomScaleNormal="100" workbookViewId="0"/>
  </sheetViews>
  <sheetFormatPr defaultRowHeight="12.5"/>
  <cols>
    <col min="1" max="2" width="4.54296875" customWidth="1"/>
    <col min="4" max="4" width="24.453125" customWidth="1"/>
    <col min="5" max="5" width="17.54296875" customWidth="1"/>
    <col min="6" max="6" width="9.453125" style="16"/>
    <col min="7" max="7" width="10.453125" bestFit="1" customWidth="1"/>
  </cols>
  <sheetData>
    <row r="1" spans="1:9" ht="13">
      <c r="A1" s="1" t="s">
        <v>1402</v>
      </c>
    </row>
    <row r="2" spans="1:9" ht="13">
      <c r="B2" s="1"/>
    </row>
    <row r="3" spans="1:9">
      <c r="B3" s="12" t="s">
        <v>140</v>
      </c>
      <c r="E3" s="14"/>
      <c r="F3" s="113"/>
    </row>
    <row r="4" spans="1:9">
      <c r="B4" s="12"/>
    </row>
    <row r="5" spans="1:9">
      <c r="B5" s="13" t="s">
        <v>141</v>
      </c>
    </row>
    <row r="6" spans="1:9">
      <c r="B6" s="471" t="s">
        <v>2278</v>
      </c>
    </row>
    <row r="7" spans="1:9">
      <c r="B7" s="471" t="s">
        <v>2279</v>
      </c>
    </row>
    <row r="8" spans="1:9">
      <c r="B8" s="12"/>
    </row>
    <row r="9" spans="1:9">
      <c r="B9" s="12"/>
    </row>
    <row r="10" spans="1:9" ht="13">
      <c r="B10" s="1" t="s">
        <v>142</v>
      </c>
    </row>
    <row r="11" spans="1:9" ht="13">
      <c r="A11" s="3" t="s">
        <v>329</v>
      </c>
      <c r="G11" s="3" t="s">
        <v>179</v>
      </c>
    </row>
    <row r="12" spans="1:9" ht="13">
      <c r="A12" s="2">
        <v>1</v>
      </c>
      <c r="D12" s="94" t="s">
        <v>1378</v>
      </c>
      <c r="E12" s="7">
        <f>'29-WholesaleTRRs'!F27</f>
        <v>31458350.413566507</v>
      </c>
      <c r="G12" s="46" t="str">
        <f>"29-WholesaleTRRs, Line "&amp;'29-WholesaleTRRs'!A27&amp;", C3"</f>
        <v>29-WholesaleTRRs, Line 13, C3</v>
      </c>
      <c r="H12" s="14"/>
      <c r="I12" s="14"/>
    </row>
    <row r="13" spans="1:9" ht="13">
      <c r="A13" s="2">
        <f>A12+1</f>
        <v>2</v>
      </c>
      <c r="D13" s="94" t="s">
        <v>1377</v>
      </c>
      <c r="E13" s="112">
        <f>'32-GrossLoad'!F8</f>
        <v>83511923.020000085</v>
      </c>
      <c r="F13" s="13" t="s">
        <v>282</v>
      </c>
      <c r="G13" s="46" t="str">
        <f>"32-Gross Load, Line "&amp;'32-GrossLoad'!A8&amp;""</f>
        <v>32-Gross Load, Line 4</v>
      </c>
      <c r="H13" s="14"/>
      <c r="I13" s="14"/>
    </row>
    <row r="14" spans="1:9" ht="13">
      <c r="A14" s="2">
        <f>A13+1</f>
        <v>3</v>
      </c>
      <c r="D14" s="94" t="s">
        <v>1379</v>
      </c>
      <c r="E14" s="92">
        <f>E12/(E13*1000)</f>
        <v>3.7669292330907783E-4</v>
      </c>
      <c r="F14" s="16" t="s">
        <v>143</v>
      </c>
      <c r="G14" s="113" t="str">
        <f>"Line "&amp;A12&amp;" / (Line "&amp;A13&amp;" * 1000)"</f>
        <v>Line 1 / (Line 2 * 1000)</v>
      </c>
      <c r="H14" s="14"/>
      <c r="I14" s="14"/>
    </row>
    <row r="15" spans="1:9">
      <c r="D15" s="37"/>
      <c r="E15" s="71"/>
      <c r="G15" s="14"/>
      <c r="H15" s="14"/>
      <c r="I15" s="14"/>
    </row>
    <row r="16" spans="1:9">
      <c r="G16" s="14"/>
      <c r="H16" s="14"/>
      <c r="I16" s="14"/>
    </row>
    <row r="17" spans="1:9" ht="13">
      <c r="B17" s="1" t="s">
        <v>144</v>
      </c>
      <c r="G17" s="14"/>
      <c r="H17" s="14"/>
      <c r="I17" s="14"/>
    </row>
    <row r="18" spans="1:9">
      <c r="C18" s="52" t="s">
        <v>145</v>
      </c>
      <c r="G18" s="14"/>
      <c r="H18" s="14"/>
      <c r="I18" s="14"/>
    </row>
    <row r="19" spans="1:9" ht="13">
      <c r="G19" s="123" t="s">
        <v>179</v>
      </c>
      <c r="H19" s="14"/>
      <c r="I19" s="14"/>
    </row>
    <row r="20" spans="1:9" ht="13">
      <c r="A20" s="553">
        <f>A14+1</f>
        <v>4</v>
      </c>
      <c r="D20" s="37" t="s">
        <v>146</v>
      </c>
      <c r="E20" s="7">
        <f>'29-WholesaleTRRs'!E27</f>
        <v>980494923.54882646</v>
      </c>
      <c r="G20" s="46" t="str">
        <f>"29-WholesaleTRRs, Line "&amp;'29-WholesaleTRRs'!A27&amp;", C2"</f>
        <v>29-WholesaleTRRs, Line 13, C2</v>
      </c>
      <c r="H20" s="14"/>
      <c r="I20" s="14"/>
    </row>
    <row r="21" spans="1:9" ht="13">
      <c r="A21" s="2">
        <f>A20+1</f>
        <v>5</v>
      </c>
      <c r="D21" s="94" t="s">
        <v>1377</v>
      </c>
      <c r="E21" s="112">
        <f>'32-GrossLoad'!F8</f>
        <v>83511923.020000085</v>
      </c>
      <c r="F21" s="13" t="s">
        <v>282</v>
      </c>
      <c r="G21" s="46" t="str">
        <f>"32-Gross Load, Line "&amp;'32-GrossLoad'!A8&amp;""</f>
        <v>32-Gross Load, Line 4</v>
      </c>
      <c r="H21" s="14"/>
      <c r="I21" s="14"/>
    </row>
    <row r="22" spans="1:9" ht="13">
      <c r="A22" s="2">
        <f>A21+1</f>
        <v>6</v>
      </c>
      <c r="D22" s="94" t="s">
        <v>1380</v>
      </c>
      <c r="E22" s="93">
        <f>E20/(E21*1000)</f>
        <v>1.1740777700856079E-2</v>
      </c>
      <c r="F22" s="16" t="s">
        <v>143</v>
      </c>
      <c r="G22" s="113" t="str">
        <f>"Line "&amp;A20&amp;" / (Line "&amp;A21&amp;" * 1000)"</f>
        <v>Line 4 / (Line 5 * 1000)</v>
      </c>
      <c r="H22" s="14"/>
      <c r="I22" s="14"/>
    </row>
    <row r="23" spans="1:9">
      <c r="G23" s="14"/>
      <c r="H23" s="14"/>
      <c r="I23" s="14"/>
    </row>
    <row r="24" spans="1:9" ht="13">
      <c r="B24" s="1" t="s">
        <v>147</v>
      </c>
      <c r="G24" s="14"/>
      <c r="H24" s="14"/>
      <c r="I24" s="14"/>
    </row>
    <row r="25" spans="1:9" ht="13">
      <c r="G25" s="123" t="s">
        <v>179</v>
      </c>
      <c r="H25" s="14"/>
      <c r="I25" s="14"/>
    </row>
    <row r="26" spans="1:9" ht="13">
      <c r="A26" s="2">
        <f>A22+1</f>
        <v>7</v>
      </c>
      <c r="D26" s="94" t="s">
        <v>1381</v>
      </c>
      <c r="E26" s="7">
        <f>'29-WholesaleTRRs'!E27</f>
        <v>980494923.54882646</v>
      </c>
      <c r="G26" s="46" t="str">
        <f>"29-WholesaleTRRs, Line "&amp;'29-WholesaleTRRs'!A27&amp;", C2"</f>
        <v>29-WholesaleTRRs, Line 13, C2</v>
      </c>
      <c r="H26" s="14"/>
      <c r="I26" s="14"/>
    </row>
    <row r="27" spans="1:9" ht="13">
      <c r="A27" s="2">
        <f>A26+1</f>
        <v>8</v>
      </c>
      <c r="D27" s="94" t="s">
        <v>1382</v>
      </c>
      <c r="E27" s="112">
        <f>'32-GrossLoad'!F11</f>
        <v>176184.59163733138</v>
      </c>
      <c r="F27" s="16" t="s">
        <v>148</v>
      </c>
      <c r="G27" s="46" t="str">
        <f>"32-Gross Load, Line "&amp;'32-GrossLoad'!A11&amp;""</f>
        <v>32-Gross Load, Line 5</v>
      </c>
      <c r="H27" s="14"/>
      <c r="I27" s="14"/>
    </row>
    <row r="28" spans="1:9" ht="13">
      <c r="A28" s="2">
        <f>A27+1</f>
        <v>9</v>
      </c>
      <c r="D28" s="94" t="s">
        <v>1383</v>
      </c>
      <c r="E28" s="71">
        <f>ROUND((E26/(E27*1000)),2)</f>
        <v>5.57</v>
      </c>
      <c r="F28" s="13" t="s">
        <v>326</v>
      </c>
      <c r="G28" s="113" t="str">
        <f>"Line "&amp;A26&amp;" / (Line "&amp;A27&amp;" * 1000)"</f>
        <v>Line 7 / (Line 8 * 1000)</v>
      </c>
      <c r="H28" s="14"/>
      <c r="I28" s="14"/>
    </row>
    <row r="29" spans="1:9">
      <c r="G29" s="14"/>
      <c r="H29" s="14"/>
      <c r="I29" s="14"/>
    </row>
    <row r="31" spans="1:9" ht="13">
      <c r="B31" s="51" t="s">
        <v>230</v>
      </c>
    </row>
    <row r="32" spans="1:9">
      <c r="B32" s="12" t="s">
        <v>1403</v>
      </c>
    </row>
    <row r="33" spans="2:4">
      <c r="B33" s="467" t="s">
        <v>1774</v>
      </c>
      <c r="D33" s="14"/>
    </row>
  </sheetData>
  <phoneticPr fontId="23" type="noConversion"/>
  <pageMargins left="0.75" right="0.75" top="1" bottom="1" header="0.5" footer="0.5"/>
  <pageSetup scale="84" orientation="portrait" cellComments="asDisplayed" r:id="rId1"/>
  <headerFooter alignWithMargins="0">
    <oddHeader>&amp;CSchedule 30
Wholesale Rates
&amp;RTO2021 Draft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51"/>
  <sheetViews>
    <sheetView zoomScaleNormal="100" workbookViewId="0"/>
  </sheetViews>
  <sheetFormatPr defaultRowHeight="13"/>
  <cols>
    <col min="1" max="1" width="4.54296875" customWidth="1"/>
    <col min="2" max="2" width="38" style="139" customWidth="1"/>
    <col min="3" max="3" width="16.453125" style="139" customWidth="1"/>
    <col min="4" max="4" width="14.54296875" style="139" customWidth="1"/>
    <col min="5" max="5" width="16" style="139" customWidth="1"/>
    <col min="6" max="6" width="3.453125" style="139" bestFit="1" customWidth="1"/>
    <col min="7" max="8" width="14.54296875" style="139" customWidth="1"/>
    <col min="9" max="9" width="17.453125" style="139" customWidth="1"/>
    <col min="10" max="11" width="14.54296875" style="139" customWidth="1"/>
  </cols>
  <sheetData>
    <row r="1" spans="1:11">
      <c r="A1" s="246" t="s">
        <v>454</v>
      </c>
      <c r="B1" s="17"/>
      <c r="C1" s="17"/>
      <c r="D1" s="17"/>
      <c r="E1" s="17"/>
      <c r="F1" s="17"/>
      <c r="G1" s="17"/>
      <c r="H1" s="17"/>
      <c r="I1" s="17"/>
      <c r="J1" s="17"/>
      <c r="K1" s="17"/>
    </row>
    <row r="2" spans="1:11" ht="12.5">
      <c r="A2" s="17" t="s">
        <v>464</v>
      </c>
      <c r="B2" s="17"/>
      <c r="C2" s="17"/>
      <c r="D2" s="17"/>
      <c r="E2" s="17"/>
      <c r="F2" s="17"/>
      <c r="G2" s="17"/>
      <c r="H2" s="17"/>
      <c r="I2" s="247" t="s">
        <v>446</v>
      </c>
      <c r="J2" s="247"/>
      <c r="K2" s="17"/>
    </row>
    <row r="3" spans="1:11" ht="12.5">
      <c r="A3" s="12"/>
      <c r="B3" s="17"/>
      <c r="C3" s="17"/>
      <c r="D3" s="17"/>
      <c r="E3" s="17"/>
      <c r="F3" s="17"/>
      <c r="G3" s="17"/>
      <c r="H3" s="17"/>
      <c r="I3" s="17"/>
      <c r="J3" s="17"/>
      <c r="K3" s="17"/>
    </row>
    <row r="4" spans="1:11" ht="12.5">
      <c r="A4" s="12"/>
      <c r="B4" s="17"/>
      <c r="C4" s="17"/>
      <c r="D4" s="17"/>
      <c r="E4" s="17"/>
      <c r="F4" s="17"/>
      <c r="G4" s="478" t="s">
        <v>1731</v>
      </c>
      <c r="H4" s="478"/>
      <c r="I4" s="478"/>
      <c r="J4" s="478"/>
      <c r="K4" s="17"/>
    </row>
    <row r="5" spans="1:11">
      <c r="A5" s="12"/>
      <c r="B5" s="246" t="s">
        <v>475</v>
      </c>
      <c r="C5" s="17"/>
      <c r="D5" s="17"/>
      <c r="E5" s="17"/>
      <c r="F5" s="17"/>
      <c r="G5" s="478" t="s">
        <v>1732</v>
      </c>
      <c r="H5" s="478"/>
      <c r="I5" s="478"/>
      <c r="J5" s="478"/>
      <c r="K5" s="17"/>
    </row>
    <row r="6" spans="1:11">
      <c r="A6" s="12"/>
      <c r="B6" s="17"/>
      <c r="C6" s="26" t="s">
        <v>456</v>
      </c>
      <c r="D6" s="26"/>
      <c r="E6" s="26"/>
      <c r="F6" s="26"/>
      <c r="G6" s="26"/>
      <c r="H6" s="26"/>
      <c r="I6" s="26" t="s">
        <v>14</v>
      </c>
      <c r="J6" s="26" t="s">
        <v>15</v>
      </c>
      <c r="K6" s="26" t="s">
        <v>75</v>
      </c>
    </row>
    <row r="7" spans="1:11">
      <c r="A7" s="12"/>
      <c r="B7" s="246" t="s">
        <v>461</v>
      </c>
      <c r="C7" s="31" t="s">
        <v>457</v>
      </c>
      <c r="D7" s="31" t="s">
        <v>418</v>
      </c>
      <c r="E7" s="31" t="s">
        <v>451</v>
      </c>
      <c r="F7" s="31"/>
      <c r="G7" s="31" t="s">
        <v>458</v>
      </c>
      <c r="H7" s="31" t="s">
        <v>459</v>
      </c>
      <c r="I7" s="31" t="s">
        <v>451</v>
      </c>
      <c r="J7" s="31" t="s">
        <v>451</v>
      </c>
      <c r="K7" s="31" t="s">
        <v>460</v>
      </c>
    </row>
    <row r="8" spans="1:11">
      <c r="A8" s="3" t="s">
        <v>329</v>
      </c>
      <c r="B8" s="246"/>
      <c r="C8" s="31"/>
      <c r="D8" s="31"/>
      <c r="E8" s="31"/>
      <c r="F8" s="31"/>
      <c r="G8" s="31"/>
      <c r="H8" s="31"/>
      <c r="I8" s="31"/>
      <c r="J8" s="31"/>
      <c r="K8" s="31"/>
    </row>
    <row r="9" spans="1:11">
      <c r="A9" s="2">
        <v>1</v>
      </c>
      <c r="B9" s="248" t="s">
        <v>463</v>
      </c>
      <c r="C9" s="249"/>
      <c r="D9" s="250"/>
      <c r="E9" s="250"/>
      <c r="F9" s="251"/>
      <c r="G9" s="249"/>
      <c r="H9" s="252"/>
      <c r="I9" s="252"/>
      <c r="J9" s="252"/>
      <c r="K9" s="252"/>
    </row>
    <row r="10" spans="1:11">
      <c r="A10" s="2">
        <f>A9+1</f>
        <v>2</v>
      </c>
      <c r="B10" s="253" t="s">
        <v>1193</v>
      </c>
      <c r="C10" s="254">
        <f>SUM(D10:E10)</f>
        <v>4667920362.043005</v>
      </c>
      <c r="D10" s="255">
        <f>G10+H10</f>
        <v>207455133.39088851</v>
      </c>
      <c r="E10" s="255">
        <f>I10+J10</f>
        <v>4460465228.6521168</v>
      </c>
      <c r="F10" s="256"/>
      <c r="G10" s="1099">
        <v>207455133.39088851</v>
      </c>
      <c r="H10" s="1099">
        <v>0</v>
      </c>
      <c r="I10" s="1099">
        <v>4460465228.6521168</v>
      </c>
      <c r="J10" s="1099">
        <v>0</v>
      </c>
      <c r="K10" s="1099">
        <v>0</v>
      </c>
    </row>
    <row r="11" spans="1:11">
      <c r="A11" s="2">
        <f t="shared" ref="A11:A47" si="0">A10+1</f>
        <v>3</v>
      </c>
      <c r="B11" s="253" t="s">
        <v>455</v>
      </c>
      <c r="C11" s="257">
        <f>SUM(D11:E11)</f>
        <v>120009504.46599762</v>
      </c>
      <c r="D11" s="258">
        <f>G11+H11</f>
        <v>5563854.8151071202</v>
      </c>
      <c r="E11" s="258">
        <f>I11+J11</f>
        <v>114445649.6508905</v>
      </c>
      <c r="F11" s="259"/>
      <c r="G11" s="1100">
        <v>0</v>
      </c>
      <c r="H11" s="1100">
        <v>5563854.8151071202</v>
      </c>
      <c r="I11" s="1100">
        <v>0</v>
      </c>
      <c r="J11" s="1100">
        <v>114445649.6508905</v>
      </c>
      <c r="K11" s="1100">
        <v>0</v>
      </c>
    </row>
    <row r="12" spans="1:11">
      <c r="A12" s="2">
        <f t="shared" si="0"/>
        <v>4</v>
      </c>
      <c r="B12" s="1188" t="s">
        <v>2465</v>
      </c>
      <c r="C12" s="260">
        <f>SUM(C10:C11)</f>
        <v>4787929866.5090027</v>
      </c>
      <c r="D12" s="260">
        <f t="shared" ref="D12:E12" si="1">SUM(D10:D11)</f>
        <v>213018988.20599562</v>
      </c>
      <c r="E12" s="260">
        <f t="shared" si="1"/>
        <v>4574910878.3030071</v>
      </c>
      <c r="F12" s="260"/>
      <c r="G12" s="260">
        <f t="shared" ref="G12:K12" si="2">SUM(G10:G11)</f>
        <v>207455133.39088851</v>
      </c>
      <c r="H12" s="260">
        <f t="shared" si="2"/>
        <v>5563854.8151071202</v>
      </c>
      <c r="I12" s="260">
        <f t="shared" si="2"/>
        <v>4460465228.6521168</v>
      </c>
      <c r="J12" s="260">
        <f t="shared" si="2"/>
        <v>114445649.6508905</v>
      </c>
      <c r="K12" s="260">
        <f t="shared" si="2"/>
        <v>0</v>
      </c>
    </row>
    <row r="13" spans="1:11">
      <c r="A13" s="2">
        <f t="shared" si="0"/>
        <v>5</v>
      </c>
      <c r="B13" s="261"/>
      <c r="C13" s="262"/>
      <c r="D13" s="262"/>
      <c r="E13" s="262"/>
      <c r="F13" s="263"/>
      <c r="G13" s="262"/>
      <c r="H13" s="264"/>
      <c r="I13" s="265"/>
      <c r="J13" s="264"/>
      <c r="K13" s="264"/>
    </row>
    <row r="14" spans="1:11">
      <c r="A14" s="2">
        <f t="shared" si="0"/>
        <v>6</v>
      </c>
      <c r="B14" s="266" t="s">
        <v>452</v>
      </c>
      <c r="C14" s="262"/>
      <c r="D14" s="262"/>
      <c r="E14" s="262"/>
      <c r="F14" s="263"/>
      <c r="G14" s="262"/>
      <c r="H14" s="264"/>
      <c r="I14" s="265"/>
      <c r="J14" s="264"/>
      <c r="K14" s="264"/>
    </row>
    <row r="15" spans="1:11">
      <c r="A15" s="2">
        <f t="shared" si="0"/>
        <v>7</v>
      </c>
      <c r="B15" s="267" t="s">
        <v>462</v>
      </c>
      <c r="C15" s="255">
        <f>SUM(D15:E15)</f>
        <v>3979146962.6012878</v>
      </c>
      <c r="D15" s="255">
        <f>G15+H15</f>
        <v>41094318.708105646</v>
      </c>
      <c r="E15" s="255">
        <f>I15+J15</f>
        <v>3938052643.8931823</v>
      </c>
      <c r="F15" s="268"/>
      <c r="G15" s="971">
        <v>41094318.708105646</v>
      </c>
      <c r="H15" s="1101">
        <v>0</v>
      </c>
      <c r="I15" s="971">
        <v>3938052643.8931823</v>
      </c>
      <c r="J15" s="1101">
        <v>0</v>
      </c>
      <c r="K15" s="1101">
        <v>0</v>
      </c>
    </row>
    <row r="16" spans="1:11">
      <c r="A16" s="2">
        <f t="shared" si="0"/>
        <v>8</v>
      </c>
      <c r="B16" s="838" t="s">
        <v>2158</v>
      </c>
      <c r="C16" s="262">
        <f>SUM(D16:E16)</f>
        <v>473880491.02545714</v>
      </c>
      <c r="D16" s="255">
        <f>G16+H16</f>
        <v>193420.79395295464</v>
      </c>
      <c r="E16" s="255">
        <f>I16+J16+K16</f>
        <v>473687070.2315042</v>
      </c>
      <c r="F16" s="263"/>
      <c r="G16" s="1101">
        <v>109997.71908709324</v>
      </c>
      <c r="H16" s="1101">
        <v>83423.074865861388</v>
      </c>
      <c r="I16" s="1101">
        <v>286714506.78445357</v>
      </c>
      <c r="J16" s="1101">
        <v>130837448.235194</v>
      </c>
      <c r="K16" s="1101">
        <v>56135115.211856604</v>
      </c>
    </row>
    <row r="17" spans="1:11" ht="14">
      <c r="A17" s="2">
        <f t="shared" si="0"/>
        <v>9</v>
      </c>
      <c r="B17" s="838" t="s">
        <v>2177</v>
      </c>
      <c r="C17" s="269">
        <f>SUM(D17:E17)</f>
        <v>44573800.628850281</v>
      </c>
      <c r="D17" s="258">
        <f>G17+H17</f>
        <v>148787.81027597544</v>
      </c>
      <c r="E17" s="270">
        <f>I17+J17</f>
        <v>44425012.818574309</v>
      </c>
      <c r="F17" s="271"/>
      <c r="G17" s="1102">
        <v>0</v>
      </c>
      <c r="H17" s="1103">
        <v>148787.81027597544</v>
      </c>
      <c r="I17" s="1102">
        <v>0</v>
      </c>
      <c r="J17" s="1103">
        <v>44425012.818574309</v>
      </c>
      <c r="K17" s="1102">
        <v>0</v>
      </c>
    </row>
    <row r="18" spans="1:11">
      <c r="A18" s="2">
        <f t="shared" si="0"/>
        <v>10</v>
      </c>
      <c r="B18" s="923" t="s">
        <v>2464</v>
      </c>
      <c r="C18" s="255">
        <f>SUM(C15:C17)</f>
        <v>4497601254.2555952</v>
      </c>
      <c r="D18" s="255">
        <f>SUM(D15:D17)</f>
        <v>41436527.312334575</v>
      </c>
      <c r="E18" s="255">
        <f>SUM(E15:E17)</f>
        <v>4456164726.9432602</v>
      </c>
      <c r="F18" s="272"/>
      <c r="G18" s="255">
        <f>SUM(G15:G17)</f>
        <v>41204316.42719274</v>
      </c>
      <c r="H18" s="255">
        <f>SUM(H15:H17)</f>
        <v>232210.88514183683</v>
      </c>
      <c r="I18" s="255">
        <f>SUM(I15:I17)</f>
        <v>4224767150.6776357</v>
      </c>
      <c r="J18" s="255">
        <f>SUM(J15:J17)</f>
        <v>175262461.05376831</v>
      </c>
      <c r="K18" s="255">
        <f>SUM(K15:K17)</f>
        <v>56135115.211856604</v>
      </c>
    </row>
    <row r="19" spans="1:11">
      <c r="A19" s="2">
        <f t="shared" si="0"/>
        <v>11</v>
      </c>
      <c r="B19" s="261"/>
      <c r="C19" s="924"/>
      <c r="D19" s="924"/>
      <c r="E19" s="924"/>
      <c r="F19" s="274"/>
      <c r="G19" s="273"/>
      <c r="H19" s="273"/>
      <c r="I19" s="273"/>
      <c r="J19" s="273"/>
      <c r="K19" s="273"/>
    </row>
    <row r="20" spans="1:11">
      <c r="A20" s="2">
        <f t="shared" si="0"/>
        <v>12</v>
      </c>
      <c r="B20" s="923" t="s">
        <v>453</v>
      </c>
      <c r="C20" s="925">
        <f>C12+C18</f>
        <v>9285531120.7645988</v>
      </c>
      <c r="D20" s="925">
        <f t="shared" ref="D20" si="3">D12+D18</f>
        <v>254455515.51833019</v>
      </c>
      <c r="E20" s="925">
        <f>E12+E18</f>
        <v>9031075605.2462673</v>
      </c>
      <c r="F20" s="275"/>
      <c r="G20" s="275">
        <f t="shared" ref="G20:K20" si="4">G12+G18</f>
        <v>248659449.81808126</v>
      </c>
      <c r="H20" s="275">
        <f t="shared" si="4"/>
        <v>5796065.7002489567</v>
      </c>
      <c r="I20" s="275">
        <f t="shared" si="4"/>
        <v>8685232379.329752</v>
      </c>
      <c r="J20" s="275">
        <f t="shared" si="4"/>
        <v>289708110.70465881</v>
      </c>
      <c r="K20" s="275">
        <f t="shared" si="4"/>
        <v>56135115.211856604</v>
      </c>
    </row>
    <row r="21" spans="1:11">
      <c r="A21" s="2">
        <f t="shared" si="0"/>
        <v>13</v>
      </c>
      <c r="B21" s="17"/>
      <c r="C21" s="276"/>
      <c r="D21" s="277"/>
      <c r="E21" s="276"/>
      <c r="F21" s="17"/>
      <c r="G21" s="276"/>
      <c r="H21" s="276"/>
      <c r="I21" s="276"/>
      <c r="J21" s="276"/>
      <c r="K21" s="276"/>
    </row>
    <row r="22" spans="1:11">
      <c r="A22" s="2">
        <f t="shared" si="0"/>
        <v>14</v>
      </c>
      <c r="B22" s="17"/>
      <c r="C22" s="276"/>
      <c r="D22" s="277"/>
      <c r="E22" s="276"/>
      <c r="F22" s="17"/>
      <c r="G22" s="276"/>
      <c r="H22" s="276"/>
      <c r="I22" s="276"/>
      <c r="J22" s="276"/>
      <c r="K22" s="276"/>
    </row>
    <row r="23" spans="1:11">
      <c r="A23" s="2">
        <f t="shared" si="0"/>
        <v>15</v>
      </c>
      <c r="B23" s="480" t="s">
        <v>2159</v>
      </c>
      <c r="C23" s="276"/>
      <c r="D23" s="277"/>
      <c r="E23" s="276"/>
      <c r="F23" s="17"/>
      <c r="G23" s="276"/>
      <c r="H23" s="276"/>
      <c r="I23" s="276"/>
      <c r="J23" s="276"/>
      <c r="K23" s="276"/>
    </row>
    <row r="24" spans="1:11">
      <c r="A24" s="2">
        <f t="shared" si="0"/>
        <v>16</v>
      </c>
      <c r="B24" s="17"/>
      <c r="C24" s="278" t="s">
        <v>466</v>
      </c>
      <c r="D24" s="26" t="s">
        <v>467</v>
      </c>
      <c r="E24" s="26"/>
      <c r="F24" s="17"/>
      <c r="G24" s="17"/>
      <c r="H24" s="17"/>
      <c r="I24" s="17"/>
      <c r="J24" s="17"/>
      <c r="K24" s="17"/>
    </row>
    <row r="25" spans="1:11">
      <c r="A25" s="2">
        <f t="shared" si="0"/>
        <v>17</v>
      </c>
      <c r="B25" s="17" t="s">
        <v>328</v>
      </c>
      <c r="C25" s="31" t="s">
        <v>465</v>
      </c>
      <c r="D25" s="31" t="s">
        <v>465</v>
      </c>
      <c r="E25" s="31" t="s">
        <v>196</v>
      </c>
      <c r="F25" s="17"/>
      <c r="G25" s="279" t="s">
        <v>230</v>
      </c>
      <c r="H25" s="17"/>
      <c r="I25" s="17"/>
      <c r="J25" s="17"/>
      <c r="K25" s="17"/>
    </row>
    <row r="26" spans="1:11">
      <c r="A26" s="2">
        <f t="shared" si="0"/>
        <v>18</v>
      </c>
      <c r="B26" s="77" t="s">
        <v>418</v>
      </c>
      <c r="C26" s="275">
        <f>G20</f>
        <v>248659449.81808126</v>
      </c>
      <c r="D26" s="275">
        <f>H20</f>
        <v>5796065.7002489567</v>
      </c>
      <c r="E26" s="280">
        <f>SUM(C26:D26)</f>
        <v>254455515.51833022</v>
      </c>
      <c r="F26" s="17"/>
      <c r="G26" s="261" t="s">
        <v>471</v>
      </c>
      <c r="H26" s="261"/>
      <c r="I26" s="261"/>
      <c r="J26" s="261"/>
      <c r="K26" s="261"/>
    </row>
    <row r="27" spans="1:11">
      <c r="A27" s="2">
        <f t="shared" si="0"/>
        <v>19</v>
      </c>
      <c r="B27" s="77" t="s">
        <v>451</v>
      </c>
      <c r="C27" s="275">
        <f>I20</f>
        <v>8685232379.329752</v>
      </c>
      <c r="D27" s="275">
        <f>J20</f>
        <v>289708110.70465881</v>
      </c>
      <c r="E27" s="280">
        <f>SUM(C27:D27)</f>
        <v>8974940490.0344105</v>
      </c>
      <c r="F27" s="17"/>
      <c r="G27" s="261" t="s">
        <v>471</v>
      </c>
      <c r="H27" s="261"/>
      <c r="I27" s="261"/>
      <c r="J27" s="261"/>
      <c r="K27" s="261"/>
    </row>
    <row r="28" spans="1:11">
      <c r="A28" s="2">
        <f t="shared" si="0"/>
        <v>20</v>
      </c>
      <c r="B28" s="32" t="s">
        <v>469</v>
      </c>
      <c r="C28" s="275">
        <f>SUM(C26:C27)</f>
        <v>8933891829.1478329</v>
      </c>
      <c r="D28" s="275">
        <f>SUM(D26:D27)</f>
        <v>295504176.40490776</v>
      </c>
      <c r="E28" s="275">
        <f>SUM(C28:D28)</f>
        <v>9229396005.5527401</v>
      </c>
      <c r="F28" s="17"/>
      <c r="G28" s="261" t="s">
        <v>472</v>
      </c>
      <c r="H28" s="261"/>
      <c r="I28" s="261"/>
      <c r="J28" s="261"/>
      <c r="K28" s="261"/>
    </row>
    <row r="29" spans="1:11">
      <c r="A29" s="110">
        <f t="shared" si="0"/>
        <v>21</v>
      </c>
      <c r="B29" s="281" t="s">
        <v>468</v>
      </c>
      <c r="C29" s="282">
        <f>C28/E28</f>
        <v>0.96798228440657208</v>
      </c>
      <c r="D29" s="282">
        <f>D28/E28</f>
        <v>3.2017715593427969E-2</v>
      </c>
      <c r="E29" s="283"/>
      <c r="F29" s="926"/>
      <c r="G29" s="1187" t="s">
        <v>473</v>
      </c>
      <c r="H29" s="261"/>
      <c r="I29" s="261"/>
      <c r="J29" s="261"/>
      <c r="K29" s="926"/>
    </row>
    <row r="30" spans="1:11">
      <c r="A30" s="110">
        <f t="shared" si="0"/>
        <v>22</v>
      </c>
      <c r="B30" s="284"/>
      <c r="C30" s="285"/>
      <c r="D30" s="285"/>
      <c r="E30" s="285"/>
      <c r="F30" s="284"/>
      <c r="G30" s="284"/>
      <c r="H30" s="284"/>
      <c r="I30" s="284"/>
      <c r="J30" s="284"/>
      <c r="K30" s="284"/>
    </row>
    <row r="31" spans="1:11">
      <c r="A31" s="110">
        <f t="shared" si="0"/>
        <v>23</v>
      </c>
      <c r="B31" s="261" t="s">
        <v>470</v>
      </c>
      <c r="C31" s="927">
        <f>K20*C29</f>
        <v>54337797.05819907</v>
      </c>
      <c r="D31" s="927">
        <f>K20*D29</f>
        <v>1797318.1536575367</v>
      </c>
      <c r="E31" s="927">
        <f>K20</f>
        <v>56135115.211856604</v>
      </c>
      <c r="F31" s="261"/>
      <c r="G31" s="478" t="str">
        <f>"Straddling Transformers split by Gross Plant Percentages on Line "&amp;A29&amp;""</f>
        <v>Straddling Transformers split by Gross Plant Percentages on Line 21</v>
      </c>
      <c r="H31" s="261"/>
      <c r="I31" s="261"/>
      <c r="J31" s="261"/>
      <c r="K31" s="261"/>
    </row>
    <row r="32" spans="1:11">
      <c r="A32" s="110">
        <f t="shared" si="0"/>
        <v>24</v>
      </c>
      <c r="B32" s="595" t="s">
        <v>2293</v>
      </c>
      <c r="C32" s="928">
        <v>0</v>
      </c>
      <c r="D32" s="928">
        <f>E32-C32</f>
        <v>0</v>
      </c>
      <c r="E32" s="928">
        <v>0</v>
      </c>
      <c r="F32" s="595"/>
      <c r="G32" s="595" t="s">
        <v>2294</v>
      </c>
      <c r="H32" s="929"/>
      <c r="I32" s="261"/>
      <c r="J32" s="261"/>
      <c r="K32" s="261"/>
    </row>
    <row r="33" spans="1:12">
      <c r="A33" s="110">
        <f t="shared" si="0"/>
        <v>25</v>
      </c>
      <c r="B33" s="261" t="s">
        <v>474</v>
      </c>
      <c r="C33" s="255">
        <f>C28+C31+C32</f>
        <v>8988229626.2060318</v>
      </c>
      <c r="D33" s="255">
        <f>D28+D31+D32</f>
        <v>297301494.55856532</v>
      </c>
      <c r="E33" s="255">
        <f>E28+E31+E32</f>
        <v>9285531120.7645969</v>
      </c>
      <c r="F33" s="261"/>
      <c r="G33" s="595" t="str">
        <f>"Line "&amp;A28&amp;" + Line "&amp;A31&amp;" + Line "&amp;A32&amp;""</f>
        <v>Line 20 + Line 23 + Line 24</v>
      </c>
      <c r="H33" s="595"/>
      <c r="I33" s="261"/>
      <c r="J33" s="261"/>
      <c r="K33" s="261"/>
    </row>
    <row r="34" spans="1:12">
      <c r="A34" s="110">
        <f t="shared" si="0"/>
        <v>26</v>
      </c>
      <c r="B34" s="261"/>
      <c r="C34" s="286"/>
      <c r="D34" s="286"/>
      <c r="E34" s="930"/>
      <c r="F34" s="261"/>
      <c r="G34" s="261"/>
      <c r="H34" s="261"/>
      <c r="I34" s="261"/>
      <c r="J34" s="261"/>
      <c r="K34" s="261"/>
    </row>
    <row r="35" spans="1:12">
      <c r="A35" s="110">
        <f t="shared" si="0"/>
        <v>27</v>
      </c>
      <c r="B35" s="261"/>
      <c r="C35" s="931"/>
      <c r="D35" s="931"/>
      <c r="E35" s="261"/>
      <c r="F35" s="261"/>
      <c r="G35" s="931"/>
      <c r="H35" s="931"/>
      <c r="I35" s="931"/>
      <c r="J35" s="261"/>
      <c r="K35" s="261"/>
    </row>
    <row r="36" spans="1:12">
      <c r="A36" s="110">
        <f t="shared" si="0"/>
        <v>28</v>
      </c>
      <c r="B36" s="266" t="s">
        <v>2295</v>
      </c>
      <c r="C36" s="261"/>
      <c r="D36" s="261"/>
      <c r="E36" s="261"/>
      <c r="F36" s="261"/>
      <c r="G36" s="261"/>
      <c r="H36" s="261"/>
      <c r="I36" s="261"/>
      <c r="J36" s="261"/>
      <c r="K36" s="261"/>
    </row>
    <row r="37" spans="1:12">
      <c r="A37" s="110">
        <f t="shared" si="0"/>
        <v>29</v>
      </c>
      <c r="B37" s="266"/>
      <c r="C37" s="261"/>
      <c r="D37" s="261"/>
      <c r="E37" s="261"/>
      <c r="F37" s="261"/>
      <c r="G37" s="261"/>
      <c r="H37" s="261"/>
      <c r="I37" s="261"/>
      <c r="J37" s="261"/>
      <c r="K37" s="261"/>
    </row>
    <row r="38" spans="1:12">
      <c r="A38" s="110">
        <f t="shared" si="0"/>
        <v>30</v>
      </c>
      <c r="B38" s="266"/>
      <c r="C38" s="932" t="s">
        <v>466</v>
      </c>
      <c r="D38" s="415" t="s">
        <v>467</v>
      </c>
      <c r="E38" s="415"/>
      <c r="F38" s="261"/>
      <c r="G38" s="261"/>
      <c r="H38" s="261"/>
      <c r="I38" s="261"/>
      <c r="J38" s="261"/>
      <c r="K38" s="261"/>
    </row>
    <row r="39" spans="1:12">
      <c r="A39" s="110">
        <f t="shared" si="0"/>
        <v>31</v>
      </c>
      <c r="B39" s="266"/>
      <c r="C39" s="459" t="s">
        <v>465</v>
      </c>
      <c r="D39" s="459" t="s">
        <v>465</v>
      </c>
      <c r="E39" s="459" t="s">
        <v>196</v>
      </c>
      <c r="F39" s="261"/>
      <c r="G39" s="933" t="s">
        <v>230</v>
      </c>
      <c r="H39" s="261"/>
      <c r="I39" s="261"/>
      <c r="J39" s="261"/>
      <c r="K39" s="261"/>
    </row>
    <row r="40" spans="1:12">
      <c r="A40" s="110">
        <f t="shared" si="0"/>
        <v>32</v>
      </c>
      <c r="B40" s="261" t="s">
        <v>474</v>
      </c>
      <c r="C40" s="268">
        <f>C33</f>
        <v>8988229626.2060318</v>
      </c>
      <c r="D40" s="268">
        <f>D33</f>
        <v>297301494.55856532</v>
      </c>
      <c r="E40" s="268">
        <f>E33</f>
        <v>9285531120.7645969</v>
      </c>
      <c r="F40" s="261"/>
      <c r="G40" s="261" t="str">
        <f>"Line "&amp;A33&amp;""</f>
        <v>Line 25</v>
      </c>
      <c r="H40" s="261"/>
      <c r="I40" s="261"/>
      <c r="J40" s="261"/>
      <c r="K40" s="261"/>
      <c r="L40" s="14"/>
    </row>
    <row r="41" spans="1:12">
      <c r="A41" s="110">
        <f t="shared" si="0"/>
        <v>33</v>
      </c>
      <c r="B41" s="478" t="s">
        <v>2296</v>
      </c>
      <c r="C41" s="268">
        <f>'16-PlantAdditions'!K37-'16-PlantAdditions'!P37</f>
        <v>1200007182.0297368</v>
      </c>
      <c r="D41" s="268">
        <f>'16-PlantAdditions'!P37</f>
        <v>1275049.83482</v>
      </c>
      <c r="E41" s="934">
        <f>SUM(C41:D41)</f>
        <v>1201282231.8645568</v>
      </c>
      <c r="F41" s="261"/>
      <c r="G41" s="261" t="str">
        <f>"13-Month Average: 16-PlantAdditions, Line "&amp;'16-PlantAdditions'!A37&amp;", Cols 7  (for Total) and 12 (for LV).  HV = C7 - C12."</f>
        <v>13-Month Average: 16-PlantAdditions, Line 25, Cols 7  (for Total) and 12 (for LV).  HV = C7 - C12.</v>
      </c>
      <c r="H41" s="261"/>
      <c r="I41" s="261"/>
      <c r="J41" s="261"/>
      <c r="K41" s="261"/>
      <c r="L41" s="14"/>
    </row>
    <row r="42" spans="1:12">
      <c r="A42" s="110">
        <f t="shared" si="0"/>
        <v>34</v>
      </c>
      <c r="B42" s="478" t="s">
        <v>2297</v>
      </c>
      <c r="C42" s="538">
        <f>'10-CWIP'!K79</f>
        <v>-371898027.79150784</v>
      </c>
      <c r="D42" s="538">
        <v>0</v>
      </c>
      <c r="E42" s="538">
        <f>SUM(C42:D42)</f>
        <v>-371898027.79150784</v>
      </c>
      <c r="F42" s="261"/>
      <c r="G42" s="261" t="str">
        <f>"13 Month Average: 10-CWIP, Line "&amp;'10-CWIP'!A79&amp;", Col. 8"</f>
        <v>13 Month Average: 10-CWIP, Line 54, Col. 8</v>
      </c>
      <c r="H42" s="261"/>
      <c r="I42" s="261"/>
      <c r="J42" s="261"/>
      <c r="K42" s="261"/>
    </row>
    <row r="43" spans="1:12">
      <c r="A43" s="110">
        <f t="shared" si="0"/>
        <v>35</v>
      </c>
      <c r="B43" s="478" t="s">
        <v>2298</v>
      </c>
      <c r="C43" s="268">
        <f>SUM(C40:C42)</f>
        <v>9816338780.4442616</v>
      </c>
      <c r="D43" s="268">
        <f t="shared" ref="D43:E43" si="5">SUM(D40:D42)</f>
        <v>298576544.39338529</v>
      </c>
      <c r="E43" s="268">
        <f t="shared" si="5"/>
        <v>10114915324.837646</v>
      </c>
      <c r="F43" s="261"/>
      <c r="G43" s="261" t="str">
        <f>"Line "&amp;A40&amp;" + Line "&amp;A41&amp;" + Line "&amp;A42&amp;""</f>
        <v>Line 32 + Line 33 + Line 34</v>
      </c>
      <c r="H43" s="261"/>
      <c r="I43" s="261"/>
      <c r="J43" s="261"/>
      <c r="K43" s="261"/>
    </row>
    <row r="44" spans="1:12">
      <c r="A44" s="110">
        <f t="shared" si="0"/>
        <v>36</v>
      </c>
      <c r="B44" s="261"/>
      <c r="C44" s="261"/>
      <c r="D44" s="261"/>
      <c r="E44" s="261"/>
      <c r="F44" s="261"/>
      <c r="G44" s="261"/>
      <c r="H44" s="261"/>
      <c r="I44" s="261"/>
      <c r="J44" s="261"/>
      <c r="K44" s="261"/>
    </row>
    <row r="45" spans="1:12">
      <c r="A45" s="110">
        <f t="shared" si="0"/>
        <v>37</v>
      </c>
      <c r="B45" s="261" t="s">
        <v>1121</v>
      </c>
      <c r="C45" s="935">
        <f>C43/E43</f>
        <v>0.97048155769923095</v>
      </c>
      <c r="D45" s="935">
        <f>D43/E43</f>
        <v>2.951844230076911E-2</v>
      </c>
      <c r="E45" s="261"/>
      <c r="F45" s="261"/>
      <c r="G45" s="936" t="str">
        <f>"Percent of Total on Line "&amp;A43&amp;""</f>
        <v>Percent of Total on Line 35</v>
      </c>
      <c r="H45" s="261"/>
      <c r="I45" s="261"/>
      <c r="J45" s="261"/>
      <c r="K45" s="261"/>
    </row>
    <row r="46" spans="1:12">
      <c r="A46" s="110">
        <f t="shared" si="0"/>
        <v>38</v>
      </c>
      <c r="B46" s="887" t="s">
        <v>1454</v>
      </c>
      <c r="C46" s="261"/>
      <c r="D46" s="261"/>
      <c r="E46" s="261"/>
      <c r="F46" s="261"/>
      <c r="G46" s="261"/>
      <c r="H46" s="261"/>
      <c r="I46" s="261"/>
      <c r="J46" s="261"/>
      <c r="K46" s="261"/>
    </row>
    <row r="47" spans="1:12">
      <c r="A47" s="110">
        <f t="shared" si="0"/>
        <v>39</v>
      </c>
      <c r="B47" s="478" t="s">
        <v>1606</v>
      </c>
      <c r="C47" s="261"/>
      <c r="D47" s="261"/>
      <c r="E47" s="261"/>
      <c r="F47" s="261"/>
      <c r="G47" s="261"/>
      <c r="H47" s="261"/>
      <c r="I47" s="261"/>
      <c r="J47" s="261"/>
      <c r="K47" s="261"/>
    </row>
    <row r="48" spans="1:12">
      <c r="A48" s="15"/>
      <c r="B48" s="44"/>
      <c r="C48" s="261"/>
      <c r="D48" s="261"/>
      <c r="E48" s="261"/>
      <c r="F48" s="261"/>
      <c r="G48" s="261"/>
      <c r="H48" s="261"/>
      <c r="I48" s="261"/>
      <c r="J48" s="261"/>
      <c r="K48" s="261"/>
    </row>
    <row r="49" spans="1:11">
      <c r="A49" s="15"/>
      <c r="B49" s="44"/>
      <c r="C49" s="595"/>
      <c r="D49" s="595"/>
      <c r="E49" s="595"/>
      <c r="F49" s="595"/>
      <c r="G49" s="595"/>
      <c r="H49" s="595"/>
      <c r="I49" s="261"/>
      <c r="J49" s="261"/>
      <c r="K49" s="261"/>
    </row>
    <row r="50" spans="1:11" ht="12.5">
      <c r="A50" s="15"/>
      <c r="B50" s="595"/>
      <c r="C50" s="595"/>
      <c r="D50" s="595"/>
      <c r="E50" s="595"/>
      <c r="F50" s="595"/>
      <c r="G50" s="595"/>
      <c r="H50" s="595"/>
      <c r="I50" s="261"/>
      <c r="J50" s="261"/>
      <c r="K50" s="261"/>
    </row>
    <row r="51" spans="1:11">
      <c r="A51" s="14"/>
      <c r="B51" s="595"/>
      <c r="C51" s="929"/>
      <c r="D51" s="929"/>
      <c r="E51" s="929"/>
      <c r="F51" s="929"/>
      <c r="G51" s="929"/>
      <c r="H51" s="929"/>
      <c r="I51" s="937"/>
      <c r="J51" s="937"/>
      <c r="K51" s="937"/>
    </row>
  </sheetData>
  <pageMargins left="0.7" right="0.7" top="0.75" bottom="0.75" header="0.3" footer="0.3"/>
  <pageSetup scale="70" orientation="landscape" cellComments="asDisplayed" r:id="rId1"/>
  <headerFooter>
    <oddHeader>&amp;CSchedule 31
High and Low Voltage Gross Plant
&amp;RTO2021 Draft Annual Update 
Attachment 1</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8" ht="13">
      <c r="A1" s="1" t="s">
        <v>1617</v>
      </c>
    </row>
    <row r="2" spans="1:8" ht="13">
      <c r="B2" s="1266"/>
      <c r="D2" s="68" t="s">
        <v>2537</v>
      </c>
      <c r="E2" s="467"/>
      <c r="F2" s="978" t="s">
        <v>2664</v>
      </c>
      <c r="G2" s="97"/>
    </row>
    <row r="3" spans="1:8" ht="13">
      <c r="G3" s="2"/>
    </row>
    <row r="4" spans="1:8" ht="13">
      <c r="A4" s="3" t="s">
        <v>329</v>
      </c>
      <c r="F4" s="3" t="s">
        <v>282</v>
      </c>
      <c r="G4" s="3" t="s">
        <v>154</v>
      </c>
      <c r="H4" s="51" t="s">
        <v>179</v>
      </c>
    </row>
    <row r="5" spans="1:8" ht="13">
      <c r="A5" s="2">
        <v>1</v>
      </c>
      <c r="B5" s="467" t="s">
        <v>334</v>
      </c>
      <c r="F5" s="1136">
        <v>83502058.020000085</v>
      </c>
      <c r="G5" s="16"/>
      <c r="H5" t="s">
        <v>359</v>
      </c>
    </row>
    <row r="6" spans="1:8" ht="13">
      <c r="A6" s="2">
        <v>2</v>
      </c>
      <c r="B6" s="12" t="s">
        <v>335</v>
      </c>
      <c r="F6" s="1136">
        <v>21047</v>
      </c>
      <c r="G6" s="16"/>
      <c r="H6" t="s">
        <v>360</v>
      </c>
    </row>
    <row r="7" spans="1:8" s="972" customFormat="1" ht="13">
      <c r="A7" s="553">
        <v>3</v>
      </c>
      <c r="B7" s="467" t="s">
        <v>2454</v>
      </c>
      <c r="C7" s="467"/>
      <c r="D7" s="467"/>
      <c r="F7" s="100">
        <v>-11182</v>
      </c>
      <c r="G7" s="16"/>
      <c r="H7" s="467" t="s">
        <v>1168</v>
      </c>
    </row>
    <row r="8" spans="1:8" ht="13">
      <c r="A8" s="2">
        <v>4</v>
      </c>
      <c r="B8" s="50" t="s">
        <v>324</v>
      </c>
      <c r="F8" s="99">
        <f>SUM(F5:F7)</f>
        <v>83511923.020000085</v>
      </c>
      <c r="G8" s="466" t="s">
        <v>2456</v>
      </c>
      <c r="H8" s="12" t="s">
        <v>325</v>
      </c>
    </row>
    <row r="9" spans="1:8" ht="13">
      <c r="A9" s="2"/>
      <c r="G9" s="16"/>
    </row>
    <row r="10" spans="1:8" ht="13">
      <c r="A10" s="2"/>
      <c r="G10" s="16"/>
    </row>
    <row r="11" spans="1:8" ht="13">
      <c r="A11" s="2">
        <v>5</v>
      </c>
      <c r="B11" s="469" t="s">
        <v>2150</v>
      </c>
      <c r="C11" s="14"/>
      <c r="D11" s="14"/>
      <c r="E11" s="37"/>
      <c r="F11" s="1137">
        <v>176184.59163733138</v>
      </c>
      <c r="G11" s="16"/>
      <c r="H11" s="12" t="s">
        <v>359</v>
      </c>
    </row>
    <row r="12" spans="1:8">
      <c r="B12" s="14"/>
      <c r="C12" s="14"/>
      <c r="D12" s="14"/>
    </row>
    <row r="13" spans="1:8">
      <c r="B13" s="14"/>
      <c r="C13" s="14"/>
      <c r="D13" s="14"/>
    </row>
    <row r="14" spans="1:8" ht="13">
      <c r="B14" s="840" t="s">
        <v>230</v>
      </c>
      <c r="C14" s="14"/>
      <c r="D14" s="14"/>
    </row>
    <row r="15" spans="1:8">
      <c r="B15" s="15" t="s">
        <v>1219</v>
      </c>
      <c r="C15" s="14"/>
      <c r="D15" s="14"/>
    </row>
    <row r="16" spans="1:8">
      <c r="B16" s="15" t="s">
        <v>1220</v>
      </c>
      <c r="C16" s="14"/>
      <c r="D16" s="14"/>
    </row>
    <row r="17" spans="2:8">
      <c r="B17" s="469" t="s">
        <v>1838</v>
      </c>
      <c r="C17" s="14"/>
      <c r="D17" s="14"/>
      <c r="E17" s="14"/>
      <c r="F17" s="14"/>
      <c r="G17" s="14"/>
      <c r="H17" s="14"/>
    </row>
    <row r="18" spans="2:8">
      <c r="B18" s="467" t="s">
        <v>2455</v>
      </c>
    </row>
    <row r="19" spans="2:8" ht="15.5">
      <c r="B19" s="577"/>
    </row>
  </sheetData>
  <pageMargins left="0.7" right="0.7" top="0.75" bottom="0.75" header="0.3" footer="0.3"/>
  <pageSetup orientation="landscape" cellComments="asDisplayed" r:id="rId1"/>
  <headerFooter>
    <oddHeader>&amp;CSchedule 32 
Gross Load
&amp;RTO2021 Draft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90" zoomScaleNormal="90" zoomScalePageLayoutView="70" workbookViewId="0"/>
  </sheetViews>
  <sheetFormatPr defaultColWidth="9.453125" defaultRowHeight="12.5"/>
  <cols>
    <col min="1" max="1" width="5.453125" style="722" customWidth="1"/>
    <col min="2" max="2" width="18.54296875" style="722" customWidth="1"/>
    <col min="3" max="3" width="16.453125" style="722" customWidth="1"/>
    <col min="4" max="4" width="17.453125" style="722" customWidth="1"/>
    <col min="5" max="12" width="15.54296875" style="722" customWidth="1"/>
    <col min="13" max="13" width="15.54296875" style="721" customWidth="1"/>
    <col min="14" max="14" width="15.54296875" style="722" customWidth="1"/>
    <col min="15" max="15" width="9.453125" style="722"/>
    <col min="16" max="16" width="9.54296875" style="722" customWidth="1"/>
    <col min="17" max="16384" width="9.453125" style="722"/>
  </cols>
  <sheetData>
    <row r="1" spans="1:16" ht="15.5">
      <c r="A1" s="718" t="s">
        <v>369</v>
      </c>
      <c r="B1" s="719"/>
      <c r="C1" s="719"/>
      <c r="D1" s="719"/>
      <c r="E1" s="719"/>
      <c r="F1" s="719"/>
      <c r="G1" s="719"/>
      <c r="H1" s="719"/>
      <c r="I1" s="719"/>
      <c r="J1" s="719"/>
      <c r="K1" s="720"/>
      <c r="L1" s="720"/>
    </row>
    <row r="2" spans="1:16" ht="14.25" customHeight="1">
      <c r="A2" s="718"/>
      <c r="B2" s="719"/>
      <c r="C2" s="719"/>
      <c r="D2" s="719"/>
      <c r="E2" s="719"/>
      <c r="F2" s="719"/>
      <c r="G2" s="719"/>
      <c r="H2" s="719"/>
      <c r="I2" s="719"/>
      <c r="J2" s="719"/>
      <c r="K2" s="720"/>
      <c r="L2" s="720"/>
    </row>
    <row r="3" spans="1:16" ht="13">
      <c r="E3" s="723" t="s">
        <v>179</v>
      </c>
      <c r="K3" s="724"/>
      <c r="L3" s="724"/>
    </row>
    <row r="4" spans="1:16" ht="13">
      <c r="C4" s="725" t="s">
        <v>1151</v>
      </c>
      <c r="D4" s="726">
        <f>'1-BaseTRR'!K154</f>
        <v>1086042510.7036953</v>
      </c>
      <c r="E4" s="1238" t="s">
        <v>2146</v>
      </c>
      <c r="F4" s="730"/>
      <c r="G4" s="728" t="s">
        <v>446</v>
      </c>
      <c r="H4" s="729"/>
      <c r="J4" s="730"/>
      <c r="K4" s="724"/>
      <c r="L4" s="724"/>
    </row>
    <row r="5" spans="1:16" ht="13">
      <c r="C5" s="725"/>
      <c r="D5" s="731"/>
      <c r="E5" s="727"/>
      <c r="K5" s="724"/>
      <c r="L5" s="724"/>
    </row>
    <row r="6" spans="1:16" ht="15.5">
      <c r="B6" s="718" t="s">
        <v>1152</v>
      </c>
      <c r="D6" s="725"/>
      <c r="E6" s="731"/>
      <c r="F6" s="727"/>
      <c r="K6" s="724"/>
      <c r="L6" s="724"/>
    </row>
    <row r="7" spans="1:16" ht="13">
      <c r="C7" s="732" t="s">
        <v>358</v>
      </c>
      <c r="D7" s="732" t="s">
        <v>342</v>
      </c>
      <c r="E7" s="732" t="s">
        <v>343</v>
      </c>
      <c r="F7" s="770" t="s">
        <v>344</v>
      </c>
      <c r="G7" s="770" t="s">
        <v>345</v>
      </c>
      <c r="H7" s="770" t="s">
        <v>346</v>
      </c>
      <c r="I7" s="770" t="s">
        <v>347</v>
      </c>
      <c r="J7" s="770" t="s">
        <v>534</v>
      </c>
      <c r="K7" s="770" t="s">
        <v>951</v>
      </c>
      <c r="L7" s="770" t="s">
        <v>963</v>
      </c>
      <c r="M7" s="770" t="s">
        <v>966</v>
      </c>
      <c r="N7" s="723" t="s">
        <v>984</v>
      </c>
      <c r="O7" s="723" t="s">
        <v>1461</v>
      </c>
      <c r="P7" s="723" t="s">
        <v>1462</v>
      </c>
    </row>
    <row r="8" spans="1:16">
      <c r="C8" s="759" t="s">
        <v>359</v>
      </c>
      <c r="D8" s="730"/>
      <c r="E8" s="759" t="s">
        <v>360</v>
      </c>
      <c r="F8" s="759" t="s">
        <v>1153</v>
      </c>
      <c r="G8" s="759" t="s">
        <v>1168</v>
      </c>
      <c r="H8" s="759" t="s">
        <v>1170</v>
      </c>
      <c r="I8" s="759" t="s">
        <v>1171</v>
      </c>
      <c r="J8" s="759" t="s">
        <v>1172</v>
      </c>
      <c r="K8" s="730"/>
      <c r="L8" s="730"/>
    </row>
    <row r="9" spans="1:16" s="736" customFormat="1" ht="13">
      <c r="A9" s="734"/>
      <c r="B9" s="734"/>
      <c r="C9" s="732"/>
      <c r="D9" s="735"/>
      <c r="E9" s="1507" t="s">
        <v>2072</v>
      </c>
      <c r="F9" s="1508"/>
      <c r="G9" s="1508"/>
      <c r="H9" s="1509"/>
      <c r="I9" s="1510"/>
      <c r="J9" s="1223"/>
      <c r="K9" s="1015"/>
      <c r="L9" s="759" t="s">
        <v>2193</v>
      </c>
      <c r="M9" s="759" t="s">
        <v>2193</v>
      </c>
      <c r="N9" s="759" t="s">
        <v>2193</v>
      </c>
    </row>
    <row r="10" spans="1:16" s="1191" customFormat="1" ht="128.25" customHeight="1">
      <c r="A10" s="1189"/>
      <c r="B10" s="1189"/>
      <c r="C10" s="737"/>
      <c r="D10" s="1236" t="s">
        <v>2073</v>
      </c>
      <c r="E10" s="1016" t="s">
        <v>2194</v>
      </c>
      <c r="F10" s="1016" t="s">
        <v>2195</v>
      </c>
      <c r="G10" s="1017" t="s">
        <v>2187</v>
      </c>
      <c r="H10" s="1016" t="s">
        <v>2074</v>
      </c>
      <c r="I10" s="1016" t="s">
        <v>2075</v>
      </c>
      <c r="J10" s="1237" t="s">
        <v>2196</v>
      </c>
      <c r="K10" s="1236" t="s">
        <v>2197</v>
      </c>
      <c r="L10" s="1236" t="s">
        <v>2198</v>
      </c>
      <c r="M10" s="1374" t="s">
        <v>2076</v>
      </c>
      <c r="N10" s="1375"/>
      <c r="O10" s="1225"/>
      <c r="P10" s="1190"/>
    </row>
    <row r="11" spans="1:16" s="1192" customFormat="1" ht="55.4" customHeight="1">
      <c r="A11" s="723" t="s">
        <v>319</v>
      </c>
      <c r="B11" s="738" t="s">
        <v>1154</v>
      </c>
      <c r="C11" s="739" t="s">
        <v>1155</v>
      </c>
      <c r="D11" s="740" t="s">
        <v>1156</v>
      </c>
      <c r="E11" s="738" t="s">
        <v>2199</v>
      </c>
      <c r="F11" s="777" t="s">
        <v>2200</v>
      </c>
      <c r="G11" s="1026" t="s">
        <v>2188</v>
      </c>
      <c r="H11" s="738" t="s">
        <v>2078</v>
      </c>
      <c r="I11" s="738" t="s">
        <v>2079</v>
      </c>
      <c r="J11" s="738" t="s">
        <v>2189</v>
      </c>
      <c r="K11" s="742" t="s">
        <v>2080</v>
      </c>
      <c r="L11" s="743" t="s">
        <v>2081</v>
      </c>
      <c r="M11" s="741" t="s">
        <v>2077</v>
      </c>
      <c r="N11" s="738" t="s">
        <v>2078</v>
      </c>
      <c r="O11" s="738" t="s">
        <v>2079</v>
      </c>
      <c r="P11" s="738" t="s">
        <v>168</v>
      </c>
    </row>
    <row r="12" spans="1:16" s="762" customFormat="1" ht="13">
      <c r="A12" s="744" t="s">
        <v>576</v>
      </c>
      <c r="B12" s="472" t="s">
        <v>2883</v>
      </c>
      <c r="C12" s="1043">
        <f>M115</f>
        <v>0.43996175510061986</v>
      </c>
      <c r="D12" s="1242">
        <f>$D$4*C12</f>
        <v>477817169.12308151</v>
      </c>
      <c r="E12" s="956">
        <v>28264.3853800875</v>
      </c>
      <c r="F12" s="768"/>
      <c r="G12" s="1104">
        <v>1787.1306072908001</v>
      </c>
      <c r="H12" s="957">
        <v>0</v>
      </c>
      <c r="I12" s="958">
        <v>1.2E-2</v>
      </c>
      <c r="J12" s="1044">
        <f>(E12+F12)-G12</f>
        <v>26477.254772796699</v>
      </c>
      <c r="K12" s="1193">
        <f>D12/(J12*10^6)</f>
        <v>1.8046325920993936E-2</v>
      </c>
      <c r="L12" s="745"/>
      <c r="N12" s="720"/>
      <c r="O12" s="719"/>
      <c r="P12" s="759"/>
    </row>
    <row r="13" spans="1:16" s="762" customFormat="1" ht="13.5" thickBot="1">
      <c r="A13" s="744" t="s">
        <v>578</v>
      </c>
      <c r="B13" s="472" t="s">
        <v>2884</v>
      </c>
      <c r="C13" s="1043">
        <f>M116</f>
        <v>7.252975732135776E-2</v>
      </c>
      <c r="D13" s="747">
        <f>$D$4*C13</f>
        <v>78770399.742017105</v>
      </c>
      <c r="E13" s="956">
        <v>5540.3616439985863</v>
      </c>
      <c r="F13" s="768"/>
      <c r="G13" s="1104">
        <v>18.592899584196999</v>
      </c>
      <c r="H13" s="957">
        <v>0</v>
      </c>
      <c r="I13" s="958">
        <v>0.51</v>
      </c>
      <c r="J13" s="1044">
        <f t="shared" ref="J13:J27" si="0">(E13+F13)-G13</f>
        <v>5521.7687444143894</v>
      </c>
      <c r="K13" s="1193">
        <f>D13/(J13*10^6)</f>
        <v>1.4265428957288049E-2</v>
      </c>
      <c r="L13" s="745"/>
      <c r="M13" s="963">
        <v>5830.5112259999996</v>
      </c>
      <c r="N13" s="964">
        <v>28196.110779450977</v>
      </c>
      <c r="O13" s="965">
        <v>0.51</v>
      </c>
      <c r="P13" s="759"/>
    </row>
    <row r="14" spans="1:16" s="762" customFormat="1" ht="15.5" thickBot="1">
      <c r="A14" s="744" t="s">
        <v>2082</v>
      </c>
      <c r="B14" s="472" t="s">
        <v>2885</v>
      </c>
      <c r="C14" s="1194"/>
      <c r="D14" s="1194"/>
      <c r="E14" s="959"/>
      <c r="F14" s="768"/>
      <c r="G14" s="768"/>
      <c r="H14" s="959"/>
      <c r="I14" s="959"/>
      <c r="J14" s="1044">
        <f t="shared" si="0"/>
        <v>0</v>
      </c>
      <c r="K14" s="746"/>
      <c r="L14" s="1195">
        <f>N14</f>
        <v>2.9498124732659172</v>
      </c>
      <c r="M14" s="1196">
        <f>K13*M13*10^6</f>
        <v>83174743.67917344</v>
      </c>
      <c r="N14" s="1197">
        <f>M14/((N13+O13)*10^3)</f>
        <v>2.9498124732659172</v>
      </c>
      <c r="O14" s="1198"/>
      <c r="P14" s="1018" t="s">
        <v>2201</v>
      </c>
    </row>
    <row r="15" spans="1:16" s="762" customFormat="1" ht="13">
      <c r="A15" s="744" t="s">
        <v>581</v>
      </c>
      <c r="B15" s="472" t="s">
        <v>2886</v>
      </c>
      <c r="C15" s="1043">
        <f t="shared" ref="C15:C26" si="1">M117</f>
        <v>4.8758263555490701E-4</v>
      </c>
      <c r="D15" s="747">
        <f t="shared" ref="D15:D26" si="2">$D$4*C15</f>
        <v>529535.4696935761</v>
      </c>
      <c r="E15" s="1447">
        <v>56.223340480992299</v>
      </c>
      <c r="F15" s="965"/>
      <c r="G15" s="768">
        <v>0</v>
      </c>
      <c r="H15" s="957">
        <v>0</v>
      </c>
      <c r="I15" s="958">
        <v>0</v>
      </c>
      <c r="J15" s="1044">
        <f t="shared" si="0"/>
        <v>56.223340480992299</v>
      </c>
      <c r="K15" s="1193">
        <f>D15/(J15*10^6)</f>
        <v>9.4184277412794198E-3</v>
      </c>
      <c r="L15" s="745"/>
      <c r="N15" s="720"/>
      <c r="O15" s="719"/>
      <c r="P15" s="759"/>
    </row>
    <row r="16" spans="1:16" s="762" customFormat="1" ht="13">
      <c r="A16" s="744" t="s">
        <v>1157</v>
      </c>
      <c r="B16" s="472" t="s">
        <v>2887</v>
      </c>
      <c r="C16" s="1043">
        <f t="shared" si="1"/>
        <v>0.15843819722103017</v>
      </c>
      <c r="D16" s="747">
        <f t="shared" si="2"/>
        <v>172070617.50129485</v>
      </c>
      <c r="E16" s="956">
        <v>12514.674364582601</v>
      </c>
      <c r="F16" s="768"/>
      <c r="G16" s="1104">
        <v>111.98929543109999</v>
      </c>
      <c r="H16" s="957">
        <v>42762.466156253002</v>
      </c>
      <c r="I16" s="958">
        <v>35.951999999999998</v>
      </c>
      <c r="J16" s="1044">
        <f t="shared" si="0"/>
        <v>12402.685069151501</v>
      </c>
      <c r="K16" s="745"/>
      <c r="L16" s="1199">
        <f t="shared" ref="L16:L25" si="3">D16/((I16+H16)*10^3)</f>
        <v>4.0204901235620714</v>
      </c>
      <c r="N16" s="720"/>
      <c r="O16" s="1200"/>
      <c r="P16" s="759"/>
    </row>
    <row r="17" spans="1:16" s="762" customFormat="1" ht="13">
      <c r="A17" s="744" t="s">
        <v>1158</v>
      </c>
      <c r="B17" s="472" t="s">
        <v>2888</v>
      </c>
      <c r="C17" s="1043">
        <f t="shared" si="1"/>
        <v>8.2348938732870261E-2</v>
      </c>
      <c r="D17" s="747">
        <f t="shared" si="2"/>
        <v>89434448.175231203</v>
      </c>
      <c r="E17" s="956">
        <v>7043.3982366778009</v>
      </c>
      <c r="F17" s="768"/>
      <c r="G17" s="1104">
        <v>131.62874431302001</v>
      </c>
      <c r="H17" s="957">
        <v>20378.812427954403</v>
      </c>
      <c r="I17" s="958">
        <v>72.162000000000006</v>
      </c>
      <c r="J17" s="1044">
        <f t="shared" si="0"/>
        <v>6911.7694923647805</v>
      </c>
      <c r="K17" s="745"/>
      <c r="L17" s="1199">
        <f t="shared" si="3"/>
        <v>4.3731142733709261</v>
      </c>
      <c r="N17" s="720"/>
      <c r="O17" s="1200"/>
      <c r="P17" s="759"/>
    </row>
    <row r="18" spans="1:16" s="762" customFormat="1" ht="13">
      <c r="A18" s="744" t="s">
        <v>1159</v>
      </c>
      <c r="B18" s="472" t="s">
        <v>2889</v>
      </c>
      <c r="C18" s="1043">
        <f t="shared" si="1"/>
        <v>8.4785165008404439E-2</v>
      </c>
      <c r="D18" s="747">
        <f t="shared" si="2"/>
        <v>92080293.476154655</v>
      </c>
      <c r="E18" s="960">
        <v>7651.5166691183322</v>
      </c>
      <c r="F18" s="768"/>
      <c r="G18" s="1104">
        <v>58.469260020572001</v>
      </c>
      <c r="H18" s="961">
        <v>19458.7621271916</v>
      </c>
      <c r="I18" s="962">
        <v>0</v>
      </c>
      <c r="J18" s="1044">
        <f t="shared" si="0"/>
        <v>7593.0474090977605</v>
      </c>
      <c r="K18" s="745"/>
      <c r="L18" s="1199">
        <f>D18/((I18+H18)*10^3)</f>
        <v>4.7320735447750817</v>
      </c>
      <c r="N18" s="720"/>
      <c r="O18" s="1200"/>
      <c r="P18" s="759"/>
    </row>
    <row r="19" spans="1:16" s="762" customFormat="1" ht="13">
      <c r="A19" s="744" t="s">
        <v>1160</v>
      </c>
      <c r="B19" s="472" t="s">
        <v>2890</v>
      </c>
      <c r="C19" s="1043">
        <f t="shared" si="1"/>
        <v>5.488667565685746E-2</v>
      </c>
      <c r="D19" s="747">
        <f t="shared" si="2"/>
        <v>59609263.034552872</v>
      </c>
      <c r="E19" s="960">
        <v>5154.7846386339234</v>
      </c>
      <c r="F19" s="768"/>
      <c r="G19" s="1104">
        <v>34.835888022363001</v>
      </c>
      <c r="H19" s="961">
        <v>11961.491480184199</v>
      </c>
      <c r="I19" s="962">
        <v>0</v>
      </c>
      <c r="J19" s="1044">
        <f t="shared" si="0"/>
        <v>5119.9487506115602</v>
      </c>
      <c r="K19" s="745"/>
      <c r="L19" s="1199">
        <f t="shared" si="3"/>
        <v>4.9834306309797185</v>
      </c>
      <c r="N19" s="720"/>
      <c r="O19" s="1200"/>
      <c r="P19" s="759"/>
    </row>
    <row r="20" spans="1:16" s="762" customFormat="1" ht="13">
      <c r="A20" s="744" t="s">
        <v>1161</v>
      </c>
      <c r="B20" s="472" t="s">
        <v>2891</v>
      </c>
      <c r="C20" s="1043">
        <f t="shared" si="1"/>
        <v>6.6570442969133961E-2</v>
      </c>
      <c r="D20" s="747">
        <f t="shared" si="2"/>
        <v>72298331.020855412</v>
      </c>
      <c r="E20" s="960">
        <v>5921.9079677060172</v>
      </c>
      <c r="F20" s="768"/>
      <c r="G20" s="1104">
        <v>2.148167116097</v>
      </c>
      <c r="H20" s="961">
        <v>11970.573258242301</v>
      </c>
      <c r="I20" s="962">
        <v>0</v>
      </c>
      <c r="J20" s="1044">
        <f t="shared" si="0"/>
        <v>5919.7598005899199</v>
      </c>
      <c r="K20" s="745"/>
      <c r="L20" s="1199">
        <f t="shared" si="3"/>
        <v>6.0396715730447266</v>
      </c>
      <c r="N20" s="1201"/>
      <c r="O20" s="1202"/>
      <c r="P20" s="759"/>
    </row>
    <row r="21" spans="1:16" s="762" customFormat="1" ht="13">
      <c r="A21" s="744" t="s">
        <v>1162</v>
      </c>
      <c r="B21" s="472" t="s">
        <v>2892</v>
      </c>
      <c r="C21" s="1043">
        <f t="shared" si="1"/>
        <v>9.036902522756953E-4</v>
      </c>
      <c r="D21" s="747">
        <f t="shared" si="2"/>
        <v>981446.03047995188</v>
      </c>
      <c r="E21" s="961">
        <v>95.981247449251399</v>
      </c>
      <c r="F21" s="961">
        <v>87.389652595392604</v>
      </c>
      <c r="G21" s="1104">
        <v>0</v>
      </c>
      <c r="H21" s="961">
        <v>293.83783247494699</v>
      </c>
      <c r="I21" s="962">
        <v>238.488</v>
      </c>
      <c r="J21" s="1044">
        <f t="shared" si="0"/>
        <v>183.370900044644</v>
      </c>
      <c r="K21" s="745"/>
      <c r="L21" s="1199">
        <f t="shared" si="3"/>
        <v>1.843694163623258</v>
      </c>
      <c r="N21" s="1203"/>
      <c r="O21" s="1204"/>
      <c r="P21" s="759"/>
    </row>
    <row r="22" spans="1:16" s="762" customFormat="1" ht="13">
      <c r="A22" s="744" t="s">
        <v>1163</v>
      </c>
      <c r="B22" s="472" t="s">
        <v>2893</v>
      </c>
      <c r="C22" s="1043">
        <f t="shared" si="1"/>
        <v>1.8800879927839643E-3</v>
      </c>
      <c r="D22" s="747">
        <f t="shared" si="2"/>
        <v>2041855.4840269675</v>
      </c>
      <c r="E22" s="961">
        <v>416.52306694598417</v>
      </c>
      <c r="F22" s="961">
        <v>209.95141272049975</v>
      </c>
      <c r="G22" s="1104">
        <v>0</v>
      </c>
      <c r="H22" s="961">
        <v>1071.3825210661905</v>
      </c>
      <c r="I22" s="962">
        <v>1194.4179999999999</v>
      </c>
      <c r="J22" s="1044">
        <f t="shared" si="0"/>
        <v>626.47447966648394</v>
      </c>
      <c r="K22" s="745"/>
      <c r="L22" s="1199">
        <f t="shared" si="3"/>
        <v>0.90116295103778876</v>
      </c>
      <c r="N22" s="1203"/>
      <c r="O22" s="1204"/>
      <c r="P22" s="759"/>
    </row>
    <row r="23" spans="1:16" s="762" customFormat="1" ht="13">
      <c r="A23" s="744" t="s">
        <v>1164</v>
      </c>
      <c r="B23" s="472" t="s">
        <v>2894</v>
      </c>
      <c r="C23" s="1043">
        <f t="shared" si="1"/>
        <v>4.3111881672037809E-3</v>
      </c>
      <c r="D23" s="747">
        <f t="shared" si="2"/>
        <v>4682133.6212260565</v>
      </c>
      <c r="E23" s="961">
        <v>1927.4217044865136</v>
      </c>
      <c r="F23" s="961">
        <v>535.92002153881651</v>
      </c>
      <c r="G23" s="1104">
        <v>0</v>
      </c>
      <c r="H23" s="961">
        <v>3819.9697398027993</v>
      </c>
      <c r="I23" s="962">
        <v>7996.9960000000001</v>
      </c>
      <c r="J23" s="1044">
        <f t="shared" si="0"/>
        <v>2463.34172602533</v>
      </c>
      <c r="K23" s="745"/>
      <c r="L23" s="1199">
        <f t="shared" si="3"/>
        <v>0.39622130793316418</v>
      </c>
      <c r="N23" s="1201"/>
      <c r="O23" s="1202"/>
      <c r="P23" s="759"/>
    </row>
    <row r="24" spans="1:16" s="762" customFormat="1" ht="13">
      <c r="A24" s="744" t="s">
        <v>1165</v>
      </c>
      <c r="B24" s="472" t="s">
        <v>2895</v>
      </c>
      <c r="C24" s="1043">
        <f t="shared" si="1"/>
        <v>1.6123730307797846E-2</v>
      </c>
      <c r="D24" s="747">
        <f t="shared" si="2"/>
        <v>17511056.54539004</v>
      </c>
      <c r="E24" s="956">
        <v>1803.6217157521851</v>
      </c>
      <c r="F24" s="768"/>
      <c r="G24" s="1104">
        <v>26.287482731404999</v>
      </c>
      <c r="H24" s="956">
        <v>8350.1591458027797</v>
      </c>
      <c r="I24" s="956">
        <v>0.40200000000000002</v>
      </c>
      <c r="J24" s="1044">
        <f t="shared" si="0"/>
        <v>1777.3342330207802</v>
      </c>
      <c r="K24" s="745"/>
      <c r="L24" s="1199">
        <f t="shared" si="3"/>
        <v>2.0969915960907102</v>
      </c>
      <c r="N24" s="1205"/>
      <c r="O24" s="1205"/>
      <c r="P24" s="1206"/>
    </row>
    <row r="25" spans="1:16" s="762" customFormat="1" ht="13">
      <c r="A25" s="744" t="s">
        <v>1166</v>
      </c>
      <c r="B25" s="472" t="s">
        <v>2896</v>
      </c>
      <c r="C25" s="1043">
        <f t="shared" si="1"/>
        <v>1.2753167493852406E-2</v>
      </c>
      <c r="D25" s="747">
        <f t="shared" si="2"/>
        <v>13850482.044448221</v>
      </c>
      <c r="E25" s="956">
        <v>1493.2413571287309</v>
      </c>
      <c r="F25" s="768"/>
      <c r="G25" s="1104">
        <v>35.250478017610995</v>
      </c>
      <c r="H25" s="956">
        <v>5090.3381812117095</v>
      </c>
      <c r="I25" s="956">
        <v>18.39</v>
      </c>
      <c r="J25" s="1044">
        <f t="shared" si="0"/>
        <v>1457.99087911112</v>
      </c>
      <c r="K25" s="745"/>
      <c r="L25" s="1199">
        <f t="shared" si="3"/>
        <v>2.7111409245428093</v>
      </c>
      <c r="M25" s="1200"/>
      <c r="N25" s="719"/>
      <c r="O25" s="727"/>
      <c r="P25" s="759"/>
    </row>
    <row r="26" spans="1:16" s="762" customFormat="1" ht="13">
      <c r="A26" s="744" t="s">
        <v>1167</v>
      </c>
      <c r="B26" s="472" t="s">
        <v>2897</v>
      </c>
      <c r="C26" s="1043">
        <f t="shared" si="1"/>
        <v>4.0196211402571801E-3</v>
      </c>
      <c r="D26" s="747">
        <f t="shared" si="2"/>
        <v>4365479.4352425588</v>
      </c>
      <c r="E26" s="956">
        <v>552.69713695108601</v>
      </c>
      <c r="F26" s="768"/>
      <c r="G26" s="768">
        <v>0</v>
      </c>
      <c r="H26" s="957">
        <v>0</v>
      </c>
      <c r="I26" s="958">
        <v>0</v>
      </c>
      <c r="J26" s="1044">
        <f t="shared" si="0"/>
        <v>552.69713695108601</v>
      </c>
      <c r="K26" s="1193">
        <f>D26/(J26*10^6)</f>
        <v>7.8985019884930327E-3</v>
      </c>
      <c r="L26" s="745"/>
      <c r="M26" s="719"/>
      <c r="N26" s="719"/>
      <c r="O26" s="727"/>
      <c r="P26" s="759"/>
    </row>
    <row r="27" spans="1:16" s="762" customFormat="1" ht="13">
      <c r="A27" s="744" t="s">
        <v>1169</v>
      </c>
      <c r="B27" s="748" t="s">
        <v>76</v>
      </c>
      <c r="C27" s="1043"/>
      <c r="D27" s="747"/>
      <c r="E27" s="956"/>
      <c r="F27" s="768"/>
      <c r="G27" s="768"/>
      <c r="H27" s="957"/>
      <c r="I27" s="958"/>
      <c r="J27" s="1044">
        <f t="shared" si="0"/>
        <v>0</v>
      </c>
      <c r="K27" s="1193"/>
      <c r="L27" s="745"/>
      <c r="M27" s="719"/>
      <c r="N27" s="719"/>
      <c r="O27" s="727"/>
      <c r="P27" s="759"/>
    </row>
    <row r="28" spans="1:16" s="762" customFormat="1" ht="13">
      <c r="A28" s="744">
        <v>2</v>
      </c>
      <c r="B28" s="475" t="s">
        <v>197</v>
      </c>
      <c r="C28" s="1231">
        <f t="shared" ref="C28:D28" si="4">SUM(C12:C27)</f>
        <v>0.99999999999999956</v>
      </c>
      <c r="D28" s="1233">
        <f t="shared" si="4"/>
        <v>1086042510.7036951</v>
      </c>
      <c r="E28" s="1230">
        <f t="shared" ref="E28:J28" si="5">SUM(E12:E27)</f>
        <v>78436.738469999516</v>
      </c>
      <c r="F28" s="1230">
        <f t="shared" si="5"/>
        <v>833.26108685470888</v>
      </c>
      <c r="G28" s="1230">
        <f t="shared" si="5"/>
        <v>2206.3328225271653</v>
      </c>
      <c r="H28" s="1230">
        <f t="shared" si="5"/>
        <v>125157.79287018393</v>
      </c>
      <c r="I28" s="1230">
        <f t="shared" si="5"/>
        <v>9557.33</v>
      </c>
      <c r="J28" s="1230">
        <f t="shared" si="5"/>
        <v>77063.666734327053</v>
      </c>
      <c r="K28" s="733"/>
      <c r="L28" s="719"/>
      <c r="M28" s="719"/>
      <c r="N28" s="719"/>
      <c r="O28" s="719"/>
      <c r="P28" s="759"/>
    </row>
    <row r="29" spans="1:16" s="730" customFormat="1" ht="13">
      <c r="A29" s="744">
        <f>A28+1</f>
        <v>3</v>
      </c>
      <c r="B29" s="722"/>
      <c r="C29" s="722"/>
      <c r="D29" s="722"/>
      <c r="E29" s="722"/>
      <c r="F29" s="722"/>
      <c r="G29" s="722"/>
      <c r="H29" s="722"/>
      <c r="I29" s="722"/>
      <c r="J29" s="749"/>
      <c r="K29" s="749"/>
      <c r="M29" s="721"/>
    </row>
    <row r="30" spans="1:16" s="730" customFormat="1" ht="13">
      <c r="A30" s="744">
        <f t="shared" ref="A30:A34" si="6">A29+1</f>
        <v>4</v>
      </c>
      <c r="B30" s="722"/>
      <c r="C30" s="722"/>
      <c r="D30" s="722"/>
      <c r="E30" s="722"/>
      <c r="G30" s="1019"/>
      <c r="I30" s="770"/>
      <c r="J30" s="750"/>
      <c r="K30" s="750"/>
      <c r="L30" s="750"/>
      <c r="M30" s="721"/>
    </row>
    <row r="31" spans="1:16" s="730" customFormat="1" ht="15.5">
      <c r="A31" s="744">
        <f t="shared" si="6"/>
        <v>5</v>
      </c>
      <c r="B31" s="1027" t="s">
        <v>2202</v>
      </c>
      <c r="C31" s="722"/>
      <c r="D31" s="722"/>
      <c r="E31" s="722"/>
      <c r="F31" s="722"/>
      <c r="G31" s="722"/>
      <c r="H31" s="722"/>
      <c r="I31" s="722"/>
      <c r="J31" s="722"/>
      <c r="K31" s="722"/>
      <c r="L31" s="722"/>
      <c r="M31" s="721"/>
    </row>
    <row r="32" spans="1:16" s="762" customFormat="1" ht="13">
      <c r="A32" s="744">
        <f t="shared" si="6"/>
        <v>6</v>
      </c>
      <c r="B32" s="719"/>
      <c r="C32" s="732" t="s">
        <v>358</v>
      </c>
      <c r="D32" s="732" t="s">
        <v>342</v>
      </c>
      <c r="E32" s="732" t="s">
        <v>343</v>
      </c>
      <c r="F32" s="732" t="s">
        <v>344</v>
      </c>
      <c r="G32" s="732" t="s">
        <v>345</v>
      </c>
      <c r="H32" s="732" t="s">
        <v>346</v>
      </c>
      <c r="I32" s="732" t="s">
        <v>347</v>
      </c>
      <c r="J32" s="732" t="s">
        <v>534</v>
      </c>
      <c r="K32" s="719"/>
      <c r="M32" s="759"/>
    </row>
    <row r="33" spans="1:13" s="1191" customFormat="1" ht="42.75" customHeight="1">
      <c r="A33" s="744">
        <f t="shared" si="6"/>
        <v>7</v>
      </c>
      <c r="B33" s="1189"/>
      <c r="C33" s="1190" t="s">
        <v>2083</v>
      </c>
      <c r="D33" s="1226" t="s">
        <v>2203</v>
      </c>
      <c r="E33" s="1226" t="s">
        <v>2204</v>
      </c>
      <c r="F33" s="1235"/>
      <c r="H33" s="1017" t="s">
        <v>2083</v>
      </c>
      <c r="I33" s="1017" t="s">
        <v>1173</v>
      </c>
      <c r="J33" s="1227" t="s">
        <v>2205</v>
      </c>
      <c r="K33" s="1028"/>
      <c r="L33" s="1028"/>
      <c r="M33" s="1028"/>
    </row>
    <row r="34" spans="1:13" s="762" customFormat="1" ht="13">
      <c r="A34" s="744">
        <f t="shared" si="6"/>
        <v>8</v>
      </c>
      <c r="B34" s="719"/>
      <c r="C34" s="732"/>
      <c r="D34" s="732"/>
      <c r="E34" s="732"/>
      <c r="F34" s="1029"/>
      <c r="K34" s="1029"/>
      <c r="L34" s="1029"/>
      <c r="M34" s="1030"/>
    </row>
    <row r="35" spans="1:13" s="754" customFormat="1" ht="47.9" customHeight="1">
      <c r="A35" s="744">
        <v>9</v>
      </c>
      <c r="B35" s="752" t="s">
        <v>1154</v>
      </c>
      <c r="C35" s="743" t="s">
        <v>2206</v>
      </c>
      <c r="D35" s="752" t="s">
        <v>2207</v>
      </c>
      <c r="E35" s="752" t="s">
        <v>2208</v>
      </c>
      <c r="F35" s="1031"/>
      <c r="G35" s="752" t="s">
        <v>1154</v>
      </c>
      <c r="H35" s="752" t="s">
        <v>2209</v>
      </c>
      <c r="I35" s="752" t="s">
        <v>2210</v>
      </c>
      <c r="J35" s="752" t="s">
        <v>2211</v>
      </c>
      <c r="K35" s="1031"/>
      <c r="L35" s="1032"/>
      <c r="M35" s="1032"/>
    </row>
    <row r="36" spans="1:13" s="756" customFormat="1" ht="13">
      <c r="A36" s="755" t="s">
        <v>2084</v>
      </c>
      <c r="B36" s="1248" t="s">
        <v>2892</v>
      </c>
      <c r="C36" s="1033">
        <f>D21</f>
        <v>981446.03047995188</v>
      </c>
      <c r="D36" s="1207">
        <f>I21</f>
        <v>238.488</v>
      </c>
      <c r="E36" s="1208">
        <f>C36/D36/10^3</f>
        <v>4.1152847542851294</v>
      </c>
      <c r="F36" s="1034"/>
      <c r="G36" s="1248" t="s">
        <v>2892</v>
      </c>
      <c r="H36" s="747">
        <f>D18</f>
        <v>92080293.476154655</v>
      </c>
      <c r="I36" s="1025">
        <f>H18+H21</f>
        <v>19752.599959666546</v>
      </c>
      <c r="J36" s="756">
        <f>H36/(I36*10^3)</f>
        <v>4.6616796606105675</v>
      </c>
      <c r="K36" s="1035"/>
      <c r="L36" s="1036"/>
      <c r="M36" s="1034"/>
    </row>
    <row r="37" spans="1:13" s="756" customFormat="1" ht="13">
      <c r="A37" s="755" t="s">
        <v>2085</v>
      </c>
      <c r="B37" s="1248" t="s">
        <v>2893</v>
      </c>
      <c r="C37" s="1033">
        <f>D22</f>
        <v>2041855.4840269675</v>
      </c>
      <c r="D37" s="1207">
        <f>I22</f>
        <v>1194.4179999999999</v>
      </c>
      <c r="E37" s="1208">
        <f t="shared" ref="E37:E38" si="7">C37/D37/10^3</f>
        <v>1.70949825272808</v>
      </c>
      <c r="F37" s="1034"/>
      <c r="G37" s="1248" t="s">
        <v>2893</v>
      </c>
      <c r="H37" s="747">
        <f t="shared" ref="H37:H38" si="8">D19</f>
        <v>59609263.034552872</v>
      </c>
      <c r="I37" s="1025">
        <f t="shared" ref="I37:I38" si="9">H19+H22</f>
        <v>13032.874001250389</v>
      </c>
      <c r="J37" s="756">
        <f t="shared" ref="J37:J38" si="10">H37/(I37*10^3)</f>
        <v>4.5737619368401692</v>
      </c>
      <c r="K37" s="1035"/>
      <c r="L37" s="1036"/>
      <c r="M37" s="1034"/>
    </row>
    <row r="38" spans="1:13" s="756" customFormat="1" ht="13">
      <c r="A38" s="755" t="s">
        <v>2086</v>
      </c>
      <c r="B38" s="1248" t="s">
        <v>2894</v>
      </c>
      <c r="C38" s="1033">
        <f>D23</f>
        <v>4682133.6212260565</v>
      </c>
      <c r="D38" s="1207">
        <f>I23</f>
        <v>7996.9960000000001</v>
      </c>
      <c r="E38" s="1208">
        <f t="shared" si="7"/>
        <v>0.58548655285385376</v>
      </c>
      <c r="F38" s="1034"/>
      <c r="G38" s="1248" t="s">
        <v>2894</v>
      </c>
      <c r="H38" s="747">
        <f t="shared" si="8"/>
        <v>72298331.020855412</v>
      </c>
      <c r="I38" s="1025">
        <f t="shared" si="9"/>
        <v>15790.542998045101</v>
      </c>
      <c r="J38" s="756">
        <f t="shared" si="10"/>
        <v>4.5785842215689527</v>
      </c>
      <c r="K38" s="1035"/>
      <c r="L38" s="1036"/>
      <c r="M38" s="1034"/>
    </row>
    <row r="39" spans="1:13" s="762" customFormat="1" ht="13">
      <c r="A39" s="755" t="s">
        <v>2087</v>
      </c>
      <c r="B39" s="1249" t="s">
        <v>76</v>
      </c>
      <c r="C39" s="732"/>
      <c r="D39" s="732"/>
      <c r="E39" s="732"/>
      <c r="F39" s="732"/>
      <c r="G39" s="1249" t="s">
        <v>76</v>
      </c>
      <c r="H39" s="732"/>
      <c r="I39" s="751"/>
      <c r="K39" s="719"/>
      <c r="M39" s="759"/>
    </row>
    <row r="40" spans="1:13" s="730" customFormat="1" ht="13">
      <c r="A40" s="744">
        <v>10</v>
      </c>
      <c r="B40" s="722"/>
      <c r="C40" s="732"/>
      <c r="D40" s="732"/>
      <c r="E40" s="732"/>
      <c r="F40" s="732"/>
      <c r="G40" s="732"/>
      <c r="H40" s="732"/>
      <c r="I40" s="751"/>
      <c r="K40" s="722"/>
      <c r="M40" s="721"/>
    </row>
    <row r="41" spans="1:13" s="762" customFormat="1" ht="13">
      <c r="A41" s="744">
        <v>11</v>
      </c>
      <c r="B41" s="1218" t="s">
        <v>1626</v>
      </c>
      <c r="C41" s="719"/>
      <c r="D41" s="719"/>
      <c r="E41" s="719"/>
      <c r="G41" s="719"/>
      <c r="H41" s="719"/>
      <c r="I41" s="719"/>
      <c r="J41" s="719"/>
      <c r="K41" s="719"/>
      <c r="L41" s="719"/>
      <c r="M41" s="759"/>
    </row>
    <row r="42" spans="1:13" s="762" customFormat="1" ht="13">
      <c r="A42" s="744">
        <v>12</v>
      </c>
      <c r="B42" s="719"/>
      <c r="C42" s="732" t="s">
        <v>358</v>
      </c>
      <c r="D42" s="732" t="s">
        <v>342</v>
      </c>
      <c r="E42" s="732" t="s">
        <v>343</v>
      </c>
      <c r="F42" s="732" t="s">
        <v>344</v>
      </c>
      <c r="G42" s="732" t="s">
        <v>345</v>
      </c>
      <c r="H42" s="732" t="s">
        <v>346</v>
      </c>
      <c r="I42" s="732" t="s">
        <v>347</v>
      </c>
      <c r="J42" s="732" t="s">
        <v>534</v>
      </c>
      <c r="K42" s="732" t="s">
        <v>951</v>
      </c>
      <c r="L42" s="732" t="s">
        <v>963</v>
      </c>
      <c r="M42" s="732" t="s">
        <v>966</v>
      </c>
    </row>
    <row r="43" spans="1:13" s="1191" customFormat="1" ht="56.9" customHeight="1">
      <c r="A43" s="758">
        <v>13</v>
      </c>
      <c r="B43" s="1189"/>
      <c r="C43" s="1226" t="s">
        <v>2212</v>
      </c>
      <c r="D43" s="1226" t="s">
        <v>2213</v>
      </c>
      <c r="E43" s="1226" t="s">
        <v>2214</v>
      </c>
      <c r="G43" s="1226" t="s">
        <v>2215</v>
      </c>
      <c r="H43" s="1226" t="s">
        <v>2216</v>
      </c>
      <c r="I43" s="1226" t="s">
        <v>2217</v>
      </c>
      <c r="J43" s="1226" t="s">
        <v>2088</v>
      </c>
      <c r="K43" s="1226" t="s">
        <v>2089</v>
      </c>
      <c r="L43" s="772"/>
      <c r="M43" s="1226" t="s">
        <v>2215</v>
      </c>
    </row>
    <row r="44" spans="1:13" s="762" customFormat="1" ht="13">
      <c r="A44" s="744">
        <v>14</v>
      </c>
      <c r="B44" s="719"/>
      <c r="C44" s="759"/>
      <c r="D44" s="1234" t="s">
        <v>2190</v>
      </c>
      <c r="E44" s="1020"/>
      <c r="G44" s="759"/>
      <c r="H44" s="759" t="s">
        <v>2191</v>
      </c>
      <c r="I44" s="759" t="s">
        <v>2218</v>
      </c>
      <c r="J44" s="759"/>
      <c r="K44" s="759"/>
      <c r="L44" s="759"/>
      <c r="M44" s="1015"/>
    </row>
    <row r="45" spans="1:13" s="1192" customFormat="1" ht="64.400000000000006" customHeight="1">
      <c r="A45" s="744">
        <v>15</v>
      </c>
      <c r="B45" s="741" t="str">
        <f>B11</f>
        <v>CPUC Rate Group</v>
      </c>
      <c r="C45" s="743" t="s">
        <v>2219</v>
      </c>
      <c r="D45" s="743" t="s">
        <v>2090</v>
      </c>
      <c r="E45" s="743" t="s">
        <v>2091</v>
      </c>
      <c r="G45" s="743" t="s">
        <v>1174</v>
      </c>
      <c r="H45" s="743" t="s">
        <v>2092</v>
      </c>
      <c r="I45" s="753" t="s">
        <v>2093</v>
      </c>
      <c r="J45" s="743" t="s">
        <v>2094</v>
      </c>
      <c r="K45" s="753" t="s">
        <v>2095</v>
      </c>
      <c r="L45" s="760" t="s">
        <v>168</v>
      </c>
      <c r="M45" s="1148" t="s">
        <v>2448</v>
      </c>
    </row>
    <row r="46" spans="1:13" s="762" customFormat="1" ht="13.5" thickBot="1">
      <c r="A46" s="744" t="s">
        <v>2096</v>
      </c>
      <c r="B46" s="472" t="s">
        <v>2883</v>
      </c>
      <c r="C46" s="1033">
        <f>D46+E46</f>
        <v>477817169.12308151</v>
      </c>
      <c r="D46" s="1033">
        <f>D12-E46</f>
        <v>477817169.12308151</v>
      </c>
      <c r="E46" s="1209"/>
      <c r="G46" s="1209">
        <f>D46/(J12*10^6)</f>
        <v>1.8046325920993936E-2</v>
      </c>
      <c r="H46" s="1209"/>
      <c r="I46" s="1210"/>
      <c r="J46" s="1211"/>
      <c r="K46" s="1209"/>
      <c r="L46" s="1209"/>
      <c r="M46" s="1147"/>
    </row>
    <row r="47" spans="1:13" s="762" customFormat="1" ht="13.5" thickBot="1">
      <c r="A47" s="744" t="s">
        <v>2097</v>
      </c>
      <c r="B47" s="472" t="s">
        <v>2884</v>
      </c>
      <c r="C47" s="1033">
        <f t="shared" ref="C47:C59" si="11">D47+E47</f>
        <v>78770399.742017105</v>
      </c>
      <c r="D47" s="1033">
        <f t="shared" ref="D47" si="12">D13-E47</f>
        <v>78768895.337655738</v>
      </c>
      <c r="E47" s="1033">
        <f>I47*I13*10^3</f>
        <v>1504.4043613656177</v>
      </c>
      <c r="G47" s="1209">
        <f>D47/(J13*10^6)</f>
        <v>1.4265156507565687E-2</v>
      </c>
      <c r="H47" s="1212">
        <f>(M14-E47)/N13/10^3</f>
        <v>2.9498124732659172</v>
      </c>
      <c r="I47" s="1213">
        <f>MIN($I$54,L14)</f>
        <v>2.9498124732659172</v>
      </c>
      <c r="J47" s="1213"/>
      <c r="K47" s="1213"/>
      <c r="L47" s="1018" t="s">
        <v>2220</v>
      </c>
      <c r="M47" s="1193">
        <f>$D47/(J13*10^6)</f>
        <v>1.4265156507565687E-2</v>
      </c>
    </row>
    <row r="48" spans="1:13" s="762" customFormat="1" ht="13.5" thickBot="1">
      <c r="A48" s="744" t="s">
        <v>2098</v>
      </c>
      <c r="B48" s="472" t="s">
        <v>2886</v>
      </c>
      <c r="C48" s="1033">
        <f t="shared" si="11"/>
        <v>529535.4696935761</v>
      </c>
      <c r="D48" s="1033">
        <f>D15-E48</f>
        <v>529535.4696935761</v>
      </c>
      <c r="E48" s="1209"/>
      <c r="G48" s="1209">
        <f>D48/(J15*10^6)</f>
        <v>9.4184277412794198E-3</v>
      </c>
      <c r="H48" s="1209"/>
      <c r="I48" s="1210"/>
      <c r="J48" s="1211"/>
      <c r="K48" s="1209"/>
      <c r="L48" s="1209"/>
      <c r="M48" s="1243"/>
    </row>
    <row r="49" spans="1:13" s="762" customFormat="1" ht="13">
      <c r="A49" s="744" t="s">
        <v>2099</v>
      </c>
      <c r="B49" s="472" t="s">
        <v>2887</v>
      </c>
      <c r="C49" s="1033">
        <f t="shared" si="11"/>
        <v>172070617.50129485</v>
      </c>
      <c r="D49" s="1033">
        <f t="shared" ref="D49:D50" si="13">D16-E49</f>
        <v>171926072.84037256</v>
      </c>
      <c r="E49" s="1033">
        <f>I49*I16*10^3</f>
        <v>144544.66092230359</v>
      </c>
      <c r="G49" s="1033"/>
      <c r="H49" s="1037">
        <f t="shared" ref="H49:H58" si="14">D49/H16/10^3</f>
        <v>4.0204901235620722</v>
      </c>
      <c r="I49" s="1038">
        <f>MIN($I$54,L16)</f>
        <v>4.0204901235620714</v>
      </c>
      <c r="J49" s="1211"/>
      <c r="K49" s="1209"/>
      <c r="L49" s="1512" t="s">
        <v>2221</v>
      </c>
      <c r="M49" s="1244">
        <f>($D49+D50)/((J16+J17)*10^6)</f>
        <v>1.3516485956446821E-2</v>
      </c>
    </row>
    <row r="50" spans="1:13" s="762" customFormat="1" ht="13.5" thickBot="1">
      <c r="A50" s="744" t="s">
        <v>2100</v>
      </c>
      <c r="B50" s="472" t="s">
        <v>2888</v>
      </c>
      <c r="C50" s="1033">
        <f t="shared" si="11"/>
        <v>89434448.175231203</v>
      </c>
      <c r="D50" s="1033">
        <f t="shared" si="13"/>
        <v>89137480.99679248</v>
      </c>
      <c r="E50" s="1033">
        <f>I50*I17*10^3</f>
        <v>296967.17843872349</v>
      </c>
      <c r="G50" s="1033"/>
      <c r="H50" s="1037">
        <f t="shared" si="14"/>
        <v>4.3740272556078468</v>
      </c>
      <c r="I50" s="1038">
        <f>MIN($I$54,L17)</f>
        <v>4.1152847542851294</v>
      </c>
      <c r="J50" s="1211"/>
      <c r="K50" s="1209"/>
      <c r="L50" s="1513"/>
      <c r="M50" s="1245">
        <f>M49</f>
        <v>1.3516485956446821E-2</v>
      </c>
    </row>
    <row r="51" spans="1:13" s="762" customFormat="1" ht="13">
      <c r="A51" s="744" t="s">
        <v>2101</v>
      </c>
      <c r="B51" s="472" t="s">
        <v>2889</v>
      </c>
      <c r="C51" s="1033">
        <f t="shared" si="11"/>
        <v>90710515.628988296</v>
      </c>
      <c r="D51" s="1033">
        <f>J36*H18*1000</f>
        <v>90710515.628988296</v>
      </c>
      <c r="E51" s="1209"/>
      <c r="G51" s="1033"/>
      <c r="H51" s="1037">
        <f t="shared" si="14"/>
        <v>4.6616796606105675</v>
      </c>
      <c r="I51" s="1210"/>
      <c r="J51" s="1211"/>
      <c r="K51" s="1209"/>
      <c r="L51" s="1209"/>
      <c r="M51" s="1193">
        <f>$D51/(J18*10^6)</f>
        <v>1.1946523015291817E-2</v>
      </c>
    </row>
    <row r="52" spans="1:13" s="762" customFormat="1" ht="13">
      <c r="A52" s="744" t="s">
        <v>2102</v>
      </c>
      <c r="B52" s="472" t="s">
        <v>2890</v>
      </c>
      <c r="C52" s="1033">
        <f t="shared" si="11"/>
        <v>54709014.439904466</v>
      </c>
      <c r="D52" s="1033">
        <f t="shared" ref="D52:D53" si="15">J37*H19*1000</f>
        <v>54709014.439904466</v>
      </c>
      <c r="E52" s="1209"/>
      <c r="G52" s="1033"/>
      <c r="H52" s="1037">
        <f t="shared" si="14"/>
        <v>4.5737619368401692</v>
      </c>
      <c r="I52" s="1210"/>
      <c r="J52" s="1211"/>
      <c r="K52" s="1209"/>
      <c r="L52" s="1209"/>
      <c r="M52" s="1193">
        <f>$D52/(J19*10^6)</f>
        <v>1.0685461340481126E-2</v>
      </c>
    </row>
    <row r="53" spans="1:13" s="762" customFormat="1" ht="13">
      <c r="A53" s="744" t="s">
        <v>2103</v>
      </c>
      <c r="B53" s="472" t="s">
        <v>2891</v>
      </c>
      <c r="C53" s="1033">
        <f t="shared" si="11"/>
        <v>54808277.843323447</v>
      </c>
      <c r="D53" s="1033">
        <f t="shared" si="15"/>
        <v>54808277.843323447</v>
      </c>
      <c r="E53" s="1209"/>
      <c r="G53" s="1033"/>
      <c r="H53" s="1037">
        <f t="shared" si="14"/>
        <v>4.5785842215689527</v>
      </c>
      <c r="I53" s="1210"/>
      <c r="J53" s="1214"/>
      <c r="K53" s="1215"/>
      <c r="L53" s="1215"/>
      <c r="M53" s="1193">
        <f>$D53/(J20*10^6)</f>
        <v>9.2585306988066732E-3</v>
      </c>
    </row>
    <row r="54" spans="1:13" s="762" customFormat="1" ht="13">
      <c r="A54" s="744" t="s">
        <v>2104</v>
      </c>
      <c r="B54" s="472" t="s">
        <v>2892</v>
      </c>
      <c r="C54" s="1033">
        <f t="shared" si="11"/>
        <v>2351223.8776463075</v>
      </c>
      <c r="D54" s="1033">
        <f>J36*H21*1000</f>
        <v>1369777.8471663557</v>
      </c>
      <c r="E54" s="1033">
        <f>I54*I21*10^3</f>
        <v>981446.03047995188</v>
      </c>
      <c r="G54" s="1033"/>
      <c r="H54" s="1037">
        <f>J36</f>
        <v>4.6616796606105675</v>
      </c>
      <c r="I54" s="1038">
        <f>E36</f>
        <v>4.1152847542851294</v>
      </c>
      <c r="J54" s="1214"/>
      <c r="K54" s="1215"/>
      <c r="L54" s="1215"/>
      <c r="M54" s="733"/>
    </row>
    <row r="55" spans="1:13" s="762" customFormat="1" ht="13">
      <c r="A55" s="744" t="s">
        <v>2105</v>
      </c>
      <c r="B55" s="472" t="s">
        <v>2893</v>
      </c>
      <c r="C55" s="1033">
        <f t="shared" si="11"/>
        <v>6942104.0786753707</v>
      </c>
      <c r="D55" s="1033">
        <f t="shared" ref="D55:D56" si="16">J37*H22*1000</f>
        <v>4900248.5946484031</v>
      </c>
      <c r="E55" s="1033">
        <f>I55*I22*10^3</f>
        <v>2041855.4840269675</v>
      </c>
      <c r="G55" s="1033"/>
      <c r="H55" s="1037">
        <f>J37</f>
        <v>4.5737619368401692</v>
      </c>
      <c r="I55" s="1038">
        <f>E37</f>
        <v>1.70949825272808</v>
      </c>
      <c r="J55" s="1214"/>
      <c r="K55" s="1215"/>
      <c r="L55" s="1215"/>
      <c r="M55" s="733"/>
    </row>
    <row r="56" spans="1:13" s="762" customFormat="1" ht="13.5" thickBot="1">
      <c r="A56" s="744" t="s">
        <v>2106</v>
      </c>
      <c r="B56" s="472" t="s">
        <v>2894</v>
      </c>
      <c r="C56" s="1033">
        <f t="shared" si="11"/>
        <v>22172186.798758011</v>
      </c>
      <c r="D56" s="1033">
        <f t="shared" si="16"/>
        <v>17490053.177531954</v>
      </c>
      <c r="E56" s="1033">
        <f>I56*I23*10^3</f>
        <v>4682133.6212260574</v>
      </c>
      <c r="G56" s="1033"/>
      <c r="H56" s="1037">
        <f>J38</f>
        <v>4.5785842215689527</v>
      </c>
      <c r="I56" s="1038">
        <f>E38</f>
        <v>0.58548655285385376</v>
      </c>
      <c r="J56" s="1214"/>
      <c r="K56" s="1215"/>
      <c r="L56" s="1215"/>
      <c r="M56" s="733"/>
    </row>
    <row r="57" spans="1:13" s="762" customFormat="1" ht="13.5" thickBot="1">
      <c r="A57" s="744" t="s">
        <v>2107</v>
      </c>
      <c r="B57" s="472" t="s">
        <v>2895</v>
      </c>
      <c r="C57" s="1033">
        <f t="shared" si="11"/>
        <v>17511056.54539004</v>
      </c>
      <c r="D57" s="1033">
        <f t="shared" ref="D57:D59" si="17">D24-E57</f>
        <v>17510213.55476841</v>
      </c>
      <c r="E57" s="1033">
        <f>I57*I24*10^3</f>
        <v>842.99062162846553</v>
      </c>
      <c r="G57" s="1033"/>
      <c r="H57" s="1037">
        <f t="shared" si="14"/>
        <v>2.0969915960907097</v>
      </c>
      <c r="I57" s="1038">
        <f>MIN($I$54,L24)</f>
        <v>2.0969915960907102</v>
      </c>
      <c r="J57" s="1216">
        <f>H57*0.746</f>
        <v>1.5643557306836695</v>
      </c>
      <c r="K57" s="1213">
        <f>I57*0.746</f>
        <v>1.5643557306836697</v>
      </c>
      <c r="L57" s="1018" t="s">
        <v>2239</v>
      </c>
      <c r="M57" s="733"/>
    </row>
    <row r="58" spans="1:13" s="762" customFormat="1" ht="13">
      <c r="A58" s="744" t="s">
        <v>2108</v>
      </c>
      <c r="B58" s="472" t="s">
        <v>2896</v>
      </c>
      <c r="C58" s="1033">
        <f t="shared" si="11"/>
        <v>13850482.044448221</v>
      </c>
      <c r="D58" s="1033">
        <f t="shared" si="17"/>
        <v>13800624.162845878</v>
      </c>
      <c r="E58" s="1033">
        <f>I58*I25*10^3</f>
        <v>49857.88160234227</v>
      </c>
      <c r="G58" s="1033"/>
      <c r="H58" s="1037">
        <f t="shared" si="14"/>
        <v>2.7111409245428093</v>
      </c>
      <c r="I58" s="1038">
        <f>MIN($I$54,L25)</f>
        <v>2.7111409245428093</v>
      </c>
      <c r="J58" s="1211"/>
      <c r="K58" s="1209"/>
      <c r="L58" s="1209"/>
      <c r="M58" s="733"/>
    </row>
    <row r="59" spans="1:13" s="762" customFormat="1" ht="13">
      <c r="A59" s="744" t="s">
        <v>2109</v>
      </c>
      <c r="B59" s="472" t="s">
        <v>2897</v>
      </c>
      <c r="C59" s="1033">
        <f t="shared" si="11"/>
        <v>4365479.4352425588</v>
      </c>
      <c r="D59" s="1033">
        <f t="shared" si="17"/>
        <v>4365479.4352425588</v>
      </c>
      <c r="E59" s="1209"/>
      <c r="G59" s="1209">
        <f>D59/(J26*10^6)</f>
        <v>7.8985019884930327E-3</v>
      </c>
      <c r="H59" s="1209"/>
      <c r="I59" s="1210"/>
      <c r="J59" s="1211"/>
      <c r="K59" s="1209"/>
      <c r="L59" s="1209"/>
      <c r="M59" s="733"/>
    </row>
    <row r="60" spans="1:13" s="762" customFormat="1" ht="13">
      <c r="A60" s="744" t="s">
        <v>2110</v>
      </c>
      <c r="B60" s="748" t="s">
        <v>76</v>
      </c>
      <c r="C60" s="1033"/>
      <c r="D60" s="1033"/>
      <c r="E60" s="1209"/>
      <c r="G60" s="1209"/>
      <c r="H60" s="1209"/>
      <c r="I60" s="1210"/>
      <c r="J60" s="1211"/>
      <c r="K60" s="1209"/>
      <c r="L60" s="1209"/>
      <c r="M60" s="733"/>
    </row>
    <row r="61" spans="1:13" s="762" customFormat="1" ht="13">
      <c r="A61" s="744">
        <v>17</v>
      </c>
      <c r="B61" s="473" t="s">
        <v>197</v>
      </c>
      <c r="C61" s="1233">
        <f>SUM(C46:C60)</f>
        <v>1086042510.7036951</v>
      </c>
      <c r="D61" s="1233">
        <f>SUM(D46:D60)</f>
        <v>1077843358.4520154</v>
      </c>
      <c r="E61" s="1233">
        <f>SUM(E46:E59)</f>
        <v>8199152.2516793394</v>
      </c>
      <c r="G61" s="1217"/>
      <c r="H61" s="1217"/>
      <c r="I61" s="1217"/>
      <c r="J61" s="1217"/>
      <c r="K61" s="719"/>
      <c r="L61" s="719"/>
      <c r="M61" s="733"/>
    </row>
    <row r="62" spans="1:13" s="762" customFormat="1" ht="13">
      <c r="A62" s="744">
        <v>18</v>
      </c>
      <c r="B62" s="719"/>
      <c r="C62" s="719"/>
      <c r="D62" s="719"/>
      <c r="E62" s="719"/>
      <c r="F62" s="719"/>
      <c r="G62" s="719"/>
      <c r="H62" s="719"/>
      <c r="I62" s="719"/>
      <c r="J62" s="719"/>
      <c r="K62" s="719"/>
      <c r="L62" s="719"/>
      <c r="M62" s="759"/>
    </row>
    <row r="63" spans="1:13" s="762" customFormat="1" ht="13">
      <c r="A63" s="744">
        <v>19</v>
      </c>
      <c r="B63" s="761" t="s">
        <v>230</v>
      </c>
      <c r="C63" s="719"/>
      <c r="D63" s="719"/>
      <c r="E63" s="719"/>
      <c r="F63" s="719"/>
      <c r="G63" s="719"/>
      <c r="H63" s="719"/>
      <c r="I63" s="719"/>
      <c r="J63" s="719"/>
      <c r="K63" s="719"/>
      <c r="L63" s="719"/>
      <c r="M63" s="759"/>
    </row>
    <row r="64" spans="1:13" s="762" customFormat="1">
      <c r="A64" s="719"/>
      <c r="B64" s="762" t="s">
        <v>2111</v>
      </c>
      <c r="M64" s="759"/>
    </row>
    <row r="65" spans="1:13" s="762" customFormat="1">
      <c r="A65" s="719"/>
      <c r="B65" s="762" t="s">
        <v>2192</v>
      </c>
      <c r="M65" s="759"/>
    </row>
    <row r="66" spans="1:13" s="762" customFormat="1">
      <c r="A66" s="719"/>
      <c r="B66" s="762" t="s">
        <v>2222</v>
      </c>
      <c r="M66" s="759"/>
    </row>
    <row r="67" spans="1:13" s="762" customFormat="1">
      <c r="A67" s="719"/>
      <c r="B67" s="1021" t="s">
        <v>2223</v>
      </c>
      <c r="M67" s="759"/>
    </row>
    <row r="68" spans="1:13" s="762" customFormat="1">
      <c r="A68" s="719"/>
      <c r="B68" s="1021" t="s">
        <v>2224</v>
      </c>
      <c r="M68" s="759"/>
    </row>
    <row r="69" spans="1:13" s="762" customFormat="1">
      <c r="A69" s="719"/>
      <c r="B69" s="1039" t="s">
        <v>2225</v>
      </c>
      <c r="M69" s="759"/>
    </row>
    <row r="70" spans="1:13" s="762" customFormat="1">
      <c r="A70" s="719"/>
      <c r="B70" s="762" t="s">
        <v>2226</v>
      </c>
      <c r="M70" s="759"/>
    </row>
    <row r="71" spans="1:13" s="762" customFormat="1">
      <c r="A71" s="719"/>
      <c r="B71" s="762" t="s">
        <v>2227</v>
      </c>
      <c r="M71" s="759"/>
    </row>
    <row r="72" spans="1:13" s="762" customFormat="1">
      <c r="A72" s="719"/>
      <c r="B72" s="762" t="s">
        <v>2228</v>
      </c>
      <c r="M72" s="759"/>
    </row>
    <row r="73" spans="1:13" s="762" customFormat="1">
      <c r="A73" s="719"/>
      <c r="B73" s="762" t="s">
        <v>2229</v>
      </c>
      <c r="M73" s="759"/>
    </row>
    <row r="74" spans="1:13" s="762" customFormat="1">
      <c r="A74" s="719"/>
      <c r="B74" s="762" t="s">
        <v>2230</v>
      </c>
      <c r="M74" s="759"/>
    </row>
    <row r="75" spans="1:13" s="762" customFormat="1">
      <c r="A75" s="719"/>
      <c r="B75" s="1021" t="s">
        <v>2231</v>
      </c>
      <c r="M75" s="759"/>
    </row>
    <row r="76" spans="1:13" s="762" customFormat="1">
      <c r="A76" s="719"/>
      <c r="B76" s="1021" t="s">
        <v>2232</v>
      </c>
      <c r="M76" s="759"/>
    </row>
    <row r="77" spans="1:13" s="762" customFormat="1">
      <c r="A77" s="719"/>
      <c r="B77" s="1021" t="s">
        <v>2233</v>
      </c>
      <c r="M77" s="759"/>
    </row>
    <row r="78" spans="1:13" s="762" customFormat="1" ht="15.5">
      <c r="A78" s="719"/>
      <c r="B78" s="762" t="s">
        <v>2466</v>
      </c>
      <c r="M78" s="759"/>
    </row>
    <row r="79" spans="1:13" s="762" customFormat="1">
      <c r="A79" s="719"/>
      <c r="B79" s="762" t="s">
        <v>2468</v>
      </c>
      <c r="M79" s="759"/>
    </row>
    <row r="80" spans="1:13" s="762" customFormat="1">
      <c r="A80" s="719"/>
      <c r="B80" s="762" t="s">
        <v>2234</v>
      </c>
      <c r="M80" s="759"/>
    </row>
    <row r="81" spans="1:13" s="762" customFormat="1">
      <c r="A81" s="719"/>
      <c r="B81" s="719" t="s">
        <v>2449</v>
      </c>
      <c r="M81" s="759"/>
    </row>
    <row r="82" spans="1:13" s="762" customFormat="1">
      <c r="A82" s="719"/>
      <c r="B82" s="719" t="s">
        <v>2450</v>
      </c>
      <c r="M82" s="759"/>
    </row>
    <row r="83" spans="1:13" s="762" customFormat="1">
      <c r="A83" s="719"/>
      <c r="B83" s="762" t="s">
        <v>2451</v>
      </c>
      <c r="M83" s="759"/>
    </row>
    <row r="84" spans="1:13" s="762" customFormat="1">
      <c r="A84" s="719"/>
      <c r="B84" s="762" t="s">
        <v>2452</v>
      </c>
      <c r="M84" s="759"/>
    </row>
    <row r="85" spans="1:13" ht="13">
      <c r="A85" s="744">
        <v>20</v>
      </c>
    </row>
    <row r="86" spans="1:13" s="730" customFormat="1" ht="13">
      <c r="A86" s="744">
        <v>21</v>
      </c>
      <c r="B86" s="763"/>
      <c r="C86" s="722"/>
      <c r="D86" s="722"/>
      <c r="M86" s="721"/>
    </row>
    <row r="87" spans="1:13" s="762" customFormat="1" ht="15.5">
      <c r="A87" s="744">
        <v>22</v>
      </c>
      <c r="B87" s="718" t="s">
        <v>1175</v>
      </c>
      <c r="C87" s="719"/>
      <c r="D87" s="719"/>
      <c r="E87" s="719"/>
      <c r="F87" s="719"/>
      <c r="G87" s="719"/>
      <c r="H87" s="719"/>
      <c r="I87" s="719"/>
      <c r="J87" s="719"/>
      <c r="K87" s="719"/>
      <c r="L87" s="719"/>
      <c r="M87" s="759"/>
    </row>
    <row r="88" spans="1:13" s="719" customFormat="1" ht="13">
      <c r="A88" s="744">
        <v>23</v>
      </c>
      <c r="M88" s="759"/>
    </row>
    <row r="89" spans="1:13" s="719" customFormat="1" ht="13">
      <c r="A89" s="744">
        <v>24</v>
      </c>
      <c r="M89" s="759"/>
    </row>
    <row r="90" spans="1:13" s="762" customFormat="1" ht="25.5" customHeight="1">
      <c r="A90" s="744">
        <v>25</v>
      </c>
      <c r="B90" s="741" t="str">
        <f>B11</f>
        <v>CPUC Rate Group</v>
      </c>
      <c r="C90" s="764" t="s">
        <v>1176</v>
      </c>
      <c r="D90" s="765"/>
      <c r="E90" s="1246" t="s">
        <v>1176</v>
      </c>
      <c r="F90" s="765"/>
      <c r="G90" s="765"/>
      <c r="H90" s="765"/>
      <c r="I90" s="765"/>
      <c r="J90" s="765"/>
      <c r="K90" s="1247"/>
      <c r="L90" s="720"/>
      <c r="M90" s="1206"/>
    </row>
    <row r="91" spans="1:13" s="762" customFormat="1" ht="13">
      <c r="A91" s="744" t="s">
        <v>2112</v>
      </c>
      <c r="B91" s="766" t="s">
        <v>2883</v>
      </c>
      <c r="C91" s="767" t="s">
        <v>2898</v>
      </c>
      <c r="D91" s="768"/>
      <c r="E91" s="768"/>
      <c r="F91" s="768"/>
      <c r="G91" s="768"/>
      <c r="H91" s="768"/>
      <c r="I91" s="768"/>
      <c r="J91" s="768"/>
      <c r="K91" s="768"/>
      <c r="M91" s="759"/>
    </row>
    <row r="92" spans="1:13" s="762" customFormat="1" ht="13">
      <c r="A92" s="744"/>
      <c r="B92" s="1022" t="s">
        <v>2899</v>
      </c>
      <c r="C92" s="1152" t="s">
        <v>2900</v>
      </c>
      <c r="D92" s="768"/>
      <c r="E92" s="1024"/>
      <c r="F92" s="1024"/>
      <c r="G92" s="1024"/>
      <c r="H92" s="1024"/>
      <c r="I92" s="768"/>
      <c r="J92" s="768"/>
      <c r="K92" s="768"/>
      <c r="M92" s="759"/>
    </row>
    <row r="93" spans="1:13" s="762" customFormat="1" ht="13">
      <c r="A93" s="744" t="s">
        <v>2113</v>
      </c>
      <c r="B93" s="766" t="s">
        <v>2884</v>
      </c>
      <c r="C93" s="767" t="s">
        <v>2901</v>
      </c>
      <c r="D93" s="768"/>
      <c r="E93" s="768"/>
      <c r="F93" s="768"/>
      <c r="G93" s="768"/>
      <c r="H93" s="768"/>
      <c r="I93" s="768"/>
      <c r="J93" s="766"/>
      <c r="K93" s="768"/>
      <c r="M93" s="759"/>
    </row>
    <row r="94" spans="1:13" s="762" customFormat="1" ht="13">
      <c r="A94" s="744" t="s">
        <v>2114</v>
      </c>
      <c r="B94" s="766" t="s">
        <v>2886</v>
      </c>
      <c r="C94" s="767" t="s">
        <v>2902</v>
      </c>
      <c r="D94" s="768"/>
      <c r="E94" s="768"/>
      <c r="F94" s="768"/>
      <c r="G94" s="768"/>
      <c r="H94" s="768"/>
      <c r="I94" s="768"/>
      <c r="J94" s="766"/>
      <c r="K94" s="768"/>
      <c r="M94" s="759"/>
    </row>
    <row r="95" spans="1:13" s="762" customFormat="1" ht="13">
      <c r="A95" s="744" t="s">
        <v>2115</v>
      </c>
      <c r="B95" s="766" t="s">
        <v>2887</v>
      </c>
      <c r="C95" s="767" t="s">
        <v>2903</v>
      </c>
      <c r="D95" s="768"/>
      <c r="E95" s="768"/>
      <c r="F95" s="768"/>
      <c r="G95" s="768"/>
      <c r="H95" s="768"/>
      <c r="I95" s="768"/>
      <c r="J95" s="766"/>
      <c r="K95" s="768"/>
      <c r="M95" s="759"/>
    </row>
    <row r="96" spans="1:13" s="762" customFormat="1" ht="13">
      <c r="A96" s="744" t="s">
        <v>2116</v>
      </c>
      <c r="B96" s="766" t="s">
        <v>2888</v>
      </c>
      <c r="C96" s="767" t="s">
        <v>2904</v>
      </c>
      <c r="D96" s="768"/>
      <c r="E96" s="768"/>
      <c r="F96" s="768"/>
      <c r="G96" s="768"/>
      <c r="H96" s="768"/>
      <c r="I96" s="768"/>
      <c r="J96" s="766"/>
      <c r="K96" s="768"/>
      <c r="M96" s="759"/>
    </row>
    <row r="97" spans="1:13" s="762" customFormat="1" ht="13">
      <c r="A97" s="744" t="s">
        <v>2117</v>
      </c>
      <c r="B97" s="1022" t="s">
        <v>2889</v>
      </c>
      <c r="C97" s="1023" t="s">
        <v>2905</v>
      </c>
      <c r="D97" s="1024"/>
      <c r="E97" s="1024"/>
      <c r="F97" s="1024"/>
      <c r="G97" s="1024"/>
      <c r="H97" s="1024"/>
      <c r="I97" s="1024"/>
      <c r="J97" s="1022"/>
      <c r="K97" s="768"/>
      <c r="M97" s="759"/>
    </row>
    <row r="98" spans="1:13" s="719" customFormat="1" ht="13">
      <c r="A98" s="744" t="s">
        <v>2118</v>
      </c>
      <c r="B98" s="1022" t="s">
        <v>2890</v>
      </c>
      <c r="C98" s="1023" t="s">
        <v>2905</v>
      </c>
      <c r="D98" s="1024"/>
      <c r="E98" s="1024"/>
      <c r="F98" s="1024"/>
      <c r="G98" s="1024"/>
      <c r="H98" s="1024"/>
      <c r="I98" s="1024"/>
      <c r="J98" s="1022"/>
      <c r="K98" s="768"/>
      <c r="L98" s="762"/>
      <c r="M98" s="759"/>
    </row>
    <row r="99" spans="1:13" s="719" customFormat="1" ht="13">
      <c r="A99" s="744" t="s">
        <v>2119</v>
      </c>
      <c r="B99" s="1022" t="s">
        <v>2891</v>
      </c>
      <c r="C99" s="1023" t="s">
        <v>2905</v>
      </c>
      <c r="D99" s="1024"/>
      <c r="E99" s="1024"/>
      <c r="F99" s="1024"/>
      <c r="G99" s="1024"/>
      <c r="H99" s="1024"/>
      <c r="I99" s="1024"/>
      <c r="J99" s="1022"/>
      <c r="K99" s="768"/>
      <c r="L99" s="762"/>
      <c r="M99" s="759"/>
    </row>
    <row r="100" spans="1:13" s="719" customFormat="1" ht="13">
      <c r="A100" s="744" t="s">
        <v>2120</v>
      </c>
      <c r="B100" s="1022" t="s">
        <v>2892</v>
      </c>
      <c r="C100" s="1023" t="s">
        <v>2906</v>
      </c>
      <c r="D100" s="1024"/>
      <c r="E100" s="1024"/>
      <c r="F100" s="1024"/>
      <c r="G100" s="1024"/>
      <c r="H100" s="1024"/>
      <c r="I100" s="1024"/>
      <c r="J100" s="1022"/>
      <c r="K100" s="768"/>
      <c r="L100" s="762"/>
      <c r="M100" s="759"/>
    </row>
    <row r="101" spans="1:13" s="719" customFormat="1" ht="13">
      <c r="A101" s="744" t="s">
        <v>2121</v>
      </c>
      <c r="B101" s="1022" t="s">
        <v>2893</v>
      </c>
      <c r="C101" s="1023" t="s">
        <v>2907</v>
      </c>
      <c r="D101" s="1024"/>
      <c r="E101" s="1024"/>
      <c r="F101" s="1024"/>
      <c r="G101" s="1024"/>
      <c r="H101" s="1024"/>
      <c r="I101" s="1024"/>
      <c r="J101" s="1022"/>
      <c r="K101" s="768"/>
      <c r="L101" s="762"/>
      <c r="M101" s="759"/>
    </row>
    <row r="102" spans="1:13" s="719" customFormat="1" ht="13">
      <c r="A102" s="744" t="s">
        <v>2122</v>
      </c>
      <c r="B102" s="1022" t="s">
        <v>2894</v>
      </c>
      <c r="C102" s="1023" t="s">
        <v>2907</v>
      </c>
      <c r="D102" s="1024"/>
      <c r="E102" s="1024"/>
      <c r="F102" s="1024"/>
      <c r="G102" s="1024"/>
      <c r="H102" s="1024"/>
      <c r="I102" s="1024"/>
      <c r="J102" s="1022"/>
      <c r="K102" s="768"/>
      <c r="L102" s="762"/>
      <c r="M102" s="759"/>
    </row>
    <row r="103" spans="1:13" s="719" customFormat="1" ht="13">
      <c r="A103" s="744" t="s">
        <v>2123</v>
      </c>
      <c r="B103" s="766" t="s">
        <v>2895</v>
      </c>
      <c r="C103" s="767" t="s">
        <v>2908</v>
      </c>
      <c r="D103" s="768"/>
      <c r="E103" s="768"/>
      <c r="F103" s="768"/>
      <c r="G103" s="768"/>
      <c r="H103" s="768"/>
      <c r="I103" s="768"/>
      <c r="J103" s="766"/>
      <c r="K103" s="768"/>
      <c r="L103" s="762"/>
      <c r="M103" s="759"/>
    </row>
    <row r="104" spans="1:13" s="719" customFormat="1" ht="13">
      <c r="A104" s="744" t="s">
        <v>2124</v>
      </c>
      <c r="B104" s="766" t="s">
        <v>2896</v>
      </c>
      <c r="C104" s="767" t="s">
        <v>2909</v>
      </c>
      <c r="D104" s="768"/>
      <c r="E104" s="768"/>
      <c r="F104" s="768"/>
      <c r="G104" s="768"/>
      <c r="H104" s="768"/>
      <c r="I104" s="768"/>
      <c r="J104" s="766"/>
      <c r="K104" s="768"/>
      <c r="L104" s="762"/>
      <c r="M104" s="759"/>
    </row>
    <row r="105" spans="1:13" s="719" customFormat="1" ht="13">
      <c r="A105" s="744" t="s">
        <v>2125</v>
      </c>
      <c r="B105" s="766" t="s">
        <v>2897</v>
      </c>
      <c r="C105" s="767" t="s">
        <v>2910</v>
      </c>
      <c r="D105" s="768"/>
      <c r="E105" s="768"/>
      <c r="F105" s="768"/>
      <c r="G105" s="768"/>
      <c r="H105" s="768"/>
      <c r="I105" s="768"/>
      <c r="J105" s="766"/>
      <c r="K105" s="768"/>
      <c r="L105" s="762"/>
      <c r="M105" s="759"/>
    </row>
    <row r="106" spans="1:13" s="719" customFormat="1" ht="13">
      <c r="A106" s="744" t="s">
        <v>2126</v>
      </c>
      <c r="B106" s="769" t="s">
        <v>76</v>
      </c>
      <c r="C106" s="767"/>
      <c r="D106" s="768"/>
      <c r="E106" s="768"/>
      <c r="F106" s="768"/>
      <c r="G106" s="768"/>
      <c r="H106" s="768"/>
      <c r="I106" s="768"/>
      <c r="J106" s="766"/>
      <c r="K106" s="768"/>
      <c r="L106" s="762"/>
      <c r="M106" s="759"/>
    </row>
    <row r="107" spans="1:13" s="719" customFormat="1" ht="13">
      <c r="A107" s="744">
        <v>27</v>
      </c>
      <c r="M107" s="759"/>
    </row>
    <row r="108" spans="1:13" s="719" customFormat="1" ht="13">
      <c r="A108" s="744">
        <f t="shared" ref="A108:A114" si="18">A107+1</f>
        <v>28</v>
      </c>
      <c r="M108" s="759"/>
    </row>
    <row r="109" spans="1:13" s="719" customFormat="1" ht="15.5">
      <c r="A109" s="744">
        <f t="shared" si="18"/>
        <v>29</v>
      </c>
      <c r="B109" s="718" t="s">
        <v>1177</v>
      </c>
      <c r="M109" s="759"/>
    </row>
    <row r="110" spans="1:13" s="719" customFormat="1" ht="13">
      <c r="A110" s="744">
        <f t="shared" si="18"/>
        <v>30</v>
      </c>
      <c r="C110" s="732" t="s">
        <v>358</v>
      </c>
      <c r="D110" s="732" t="s">
        <v>342</v>
      </c>
      <c r="E110" s="732" t="s">
        <v>343</v>
      </c>
      <c r="F110" s="732" t="s">
        <v>344</v>
      </c>
      <c r="G110" s="770" t="s">
        <v>345</v>
      </c>
      <c r="H110" s="770" t="s">
        <v>346</v>
      </c>
      <c r="I110" s="770" t="s">
        <v>347</v>
      </c>
      <c r="J110" s="770" t="s">
        <v>534</v>
      </c>
      <c r="K110" s="770" t="s">
        <v>951</v>
      </c>
      <c r="L110" s="770" t="s">
        <v>963</v>
      </c>
      <c r="M110" s="770" t="s">
        <v>966</v>
      </c>
    </row>
    <row r="111" spans="1:13" s="1189" customFormat="1" ht="37.5">
      <c r="A111" s="771">
        <f t="shared" si="18"/>
        <v>31</v>
      </c>
      <c r="C111" s="737"/>
      <c r="D111" s="737"/>
      <c r="E111" s="737"/>
      <c r="F111" s="1226" t="s">
        <v>2127</v>
      </c>
      <c r="G111" s="772"/>
      <c r="H111" s="1226"/>
      <c r="I111" s="1227" t="s">
        <v>2128</v>
      </c>
      <c r="J111" s="1227" t="s">
        <v>2235</v>
      </c>
      <c r="K111" s="1227" t="s">
        <v>2236</v>
      </c>
      <c r="L111" s="1227" t="s">
        <v>2237</v>
      </c>
      <c r="M111" s="1227" t="s">
        <v>2238</v>
      </c>
    </row>
    <row r="112" spans="1:13" s="1040" customFormat="1" ht="13">
      <c r="A112" s="744">
        <f t="shared" si="18"/>
        <v>32</v>
      </c>
      <c r="C112" s="773"/>
      <c r="D112" s="773"/>
      <c r="E112" s="773"/>
      <c r="F112" s="1228"/>
      <c r="G112" s="774"/>
      <c r="H112" s="1228"/>
      <c r="I112" s="1017" t="s">
        <v>2453</v>
      </c>
      <c r="J112" s="1229"/>
      <c r="K112" s="1228"/>
      <c r="L112" s="1228"/>
      <c r="M112" s="1228"/>
    </row>
    <row r="113" spans="1:13" s="719" customFormat="1" ht="21.75" customHeight="1">
      <c r="A113" s="744">
        <f t="shared" si="18"/>
        <v>33</v>
      </c>
      <c r="B113" s="1219"/>
      <c r="C113" s="1507" t="s">
        <v>1447</v>
      </c>
      <c r="D113" s="1508"/>
      <c r="E113" s="1508"/>
      <c r="F113" s="1511"/>
      <c r="G113" s="1219"/>
      <c r="H113" s="775"/>
      <c r="I113" s="1220"/>
      <c r="J113" s="1220"/>
      <c r="K113" s="1219"/>
      <c r="L113" s="1221" t="s">
        <v>148</v>
      </c>
      <c r="M113" s="776"/>
    </row>
    <row r="114" spans="1:13" s="733" customFormat="1" ht="51.75" customHeight="1">
      <c r="A114" s="744">
        <f t="shared" si="18"/>
        <v>34</v>
      </c>
      <c r="B114" s="777" t="str">
        <f>B11</f>
        <v>CPUC Rate Group</v>
      </c>
      <c r="C114" s="778">
        <v>2016</v>
      </c>
      <c r="D114" s="779">
        <v>2017</v>
      </c>
      <c r="E114" s="779">
        <v>2018</v>
      </c>
      <c r="F114" s="777" t="s">
        <v>2129</v>
      </c>
      <c r="G114" s="777" t="s">
        <v>1178</v>
      </c>
      <c r="H114" s="780" t="s">
        <v>2911</v>
      </c>
      <c r="I114" s="1041" t="s">
        <v>2240</v>
      </c>
      <c r="J114" s="777" t="s">
        <v>2200</v>
      </c>
      <c r="K114" s="777" t="s">
        <v>2241</v>
      </c>
      <c r="L114" s="777" t="s">
        <v>1448</v>
      </c>
      <c r="M114" s="777" t="s">
        <v>2130</v>
      </c>
    </row>
    <row r="115" spans="1:13" s="719" customFormat="1" ht="13">
      <c r="A115" s="744" t="s">
        <v>2131</v>
      </c>
      <c r="B115" s="472" t="s">
        <v>2883</v>
      </c>
      <c r="C115" s="1042">
        <v>70601.36</v>
      </c>
      <c r="D115" s="1042">
        <v>78359.38</v>
      </c>
      <c r="E115" s="1042">
        <v>66767.509999999995</v>
      </c>
      <c r="F115" s="1025">
        <f>(C115+D115+E115)/3</f>
        <v>71909.416666666672</v>
      </c>
      <c r="G115" s="1222">
        <v>1.0905</v>
      </c>
      <c r="H115" s="954">
        <v>29574.961746666668</v>
      </c>
      <c r="I115" s="1025">
        <f>E12</f>
        <v>28264.3853800875</v>
      </c>
      <c r="J115" s="1025">
        <f>F12</f>
        <v>0</v>
      </c>
      <c r="K115" s="1044">
        <f>I115+J115</f>
        <v>28264.3853800875</v>
      </c>
      <c r="L115" s="1025">
        <f>(F115*G115)*(K115/H115)</f>
        <v>74942.260744174229</v>
      </c>
      <c r="M115" s="1043">
        <f t="shared" ref="M115:M128" si="19">L115/$L$130</f>
        <v>0.43996175510061986</v>
      </c>
    </row>
    <row r="116" spans="1:13" s="719" customFormat="1" ht="13">
      <c r="A116" s="744" t="s">
        <v>2132</v>
      </c>
      <c r="B116" s="472" t="s">
        <v>2884</v>
      </c>
      <c r="C116" s="1042">
        <v>12483.47</v>
      </c>
      <c r="D116" s="1042">
        <v>12202.27</v>
      </c>
      <c r="E116" s="1042">
        <v>11735.3</v>
      </c>
      <c r="F116" s="1025">
        <f t="shared" ref="F116:F128" si="20">(C116+D116+E116)/3</f>
        <v>12140.346666666665</v>
      </c>
      <c r="G116" s="1222">
        <v>1.0909</v>
      </c>
      <c r="H116" s="954">
        <v>5939.1740866666669</v>
      </c>
      <c r="I116" s="1025">
        <f t="shared" ref="I116" si="21">E13</f>
        <v>5540.3616439985863</v>
      </c>
      <c r="J116" s="1025">
        <f>F13</f>
        <v>0</v>
      </c>
      <c r="K116" s="1044">
        <f t="shared" ref="K116:K128" si="22">I116+J116</f>
        <v>5540.3616439985863</v>
      </c>
      <c r="L116" s="1025">
        <f t="shared" ref="L116:L128" si="23">(F116*G116)*(K116/H116)</f>
        <v>12354.582919703456</v>
      </c>
      <c r="M116" s="1043">
        <f t="shared" si="19"/>
        <v>7.252975732135776E-2</v>
      </c>
    </row>
    <row r="117" spans="1:13" s="719" customFormat="1" ht="13">
      <c r="A117" s="744" t="s">
        <v>2133</v>
      </c>
      <c r="B117" s="472" t="s">
        <v>2886</v>
      </c>
      <c r="C117" s="1042">
        <v>81.87</v>
      </c>
      <c r="D117" s="1042">
        <v>82.93</v>
      </c>
      <c r="E117" s="1042">
        <v>76.02</v>
      </c>
      <c r="F117" s="1025">
        <f t="shared" si="20"/>
        <v>80.273333333333326</v>
      </c>
      <c r="G117" s="1222">
        <v>1.0916999999999999</v>
      </c>
      <c r="H117" s="954">
        <v>59.324099999999994</v>
      </c>
      <c r="I117" s="1025">
        <f t="shared" ref="I117:J119" si="24">E15</f>
        <v>56.223340480992299</v>
      </c>
      <c r="J117" s="1025">
        <f t="shared" si="24"/>
        <v>0</v>
      </c>
      <c r="K117" s="1044">
        <f t="shared" si="22"/>
        <v>56.223340480992299</v>
      </c>
      <c r="L117" s="1025">
        <f t="shared" si="23"/>
        <v>83.05391226501186</v>
      </c>
      <c r="M117" s="1043">
        <f t="shared" si="19"/>
        <v>4.8758263555490701E-4</v>
      </c>
    </row>
    <row r="118" spans="1:13" s="719" customFormat="1" ht="13">
      <c r="A118" s="744" t="s">
        <v>2134</v>
      </c>
      <c r="B118" s="472" t="s">
        <v>2887</v>
      </c>
      <c r="C118" s="1042">
        <v>29451.81</v>
      </c>
      <c r="D118" s="1042">
        <v>28687.18</v>
      </c>
      <c r="E118" s="1042">
        <v>27970.65</v>
      </c>
      <c r="F118" s="1025">
        <f t="shared" si="20"/>
        <v>28703.213333333337</v>
      </c>
      <c r="G118" s="1222">
        <v>1.0905</v>
      </c>
      <c r="H118" s="954">
        <v>14514.56371</v>
      </c>
      <c r="I118" s="1025">
        <f t="shared" si="24"/>
        <v>12514.674364582601</v>
      </c>
      <c r="J118" s="1025">
        <f t="shared" si="24"/>
        <v>0</v>
      </c>
      <c r="K118" s="1044">
        <f t="shared" si="22"/>
        <v>12514.674364582601</v>
      </c>
      <c r="L118" s="1025">
        <f t="shared" si="23"/>
        <v>26988.065554152105</v>
      </c>
      <c r="M118" s="1043">
        <f t="shared" si="19"/>
        <v>0.15843819722103017</v>
      </c>
    </row>
    <row r="119" spans="1:13" s="719" customFormat="1" ht="13">
      <c r="A119" s="744" t="s">
        <v>2135</v>
      </c>
      <c r="B119" s="472" t="s">
        <v>2888</v>
      </c>
      <c r="C119" s="1042">
        <v>15946.69</v>
      </c>
      <c r="D119" s="1042">
        <v>15513.31</v>
      </c>
      <c r="E119" s="1042">
        <v>14472.22</v>
      </c>
      <c r="F119" s="1025">
        <f t="shared" si="20"/>
        <v>15310.74</v>
      </c>
      <c r="G119" s="1222">
        <v>1.0900000000000001</v>
      </c>
      <c r="H119" s="954">
        <v>8379.8270033333338</v>
      </c>
      <c r="I119" s="1025">
        <f t="shared" si="24"/>
        <v>7043.3982366778009</v>
      </c>
      <c r="J119" s="1025">
        <f t="shared" si="24"/>
        <v>0</v>
      </c>
      <c r="K119" s="1044">
        <f t="shared" si="22"/>
        <v>7043.3982366778009</v>
      </c>
      <c r="L119" s="1025">
        <f t="shared" si="23"/>
        <v>14027.163877263332</v>
      </c>
      <c r="M119" s="1043">
        <f t="shared" si="19"/>
        <v>8.2348938732870261E-2</v>
      </c>
    </row>
    <row r="120" spans="1:13" s="719" customFormat="1" ht="13">
      <c r="A120" s="744" t="s">
        <v>2136</v>
      </c>
      <c r="B120" s="472" t="s">
        <v>2889</v>
      </c>
      <c r="C120" s="1042">
        <v>14707.02</v>
      </c>
      <c r="D120" s="1042">
        <v>14237.300000000001</v>
      </c>
      <c r="E120" s="1042">
        <v>14200.609999999999</v>
      </c>
      <c r="F120" s="1025">
        <f t="shared" si="20"/>
        <v>14381.643333333333</v>
      </c>
      <c r="G120" s="1222">
        <v>1.0909</v>
      </c>
      <c r="H120" s="955">
        <v>8416.3384166666674</v>
      </c>
      <c r="I120" s="1025">
        <f>E18+E21</f>
        <v>7747.4979165675832</v>
      </c>
      <c r="J120" s="1025">
        <f t="shared" ref="J120:J128" si="25">F18</f>
        <v>0</v>
      </c>
      <c r="K120" s="1044">
        <f>I120+J120</f>
        <v>7747.4979165675832</v>
      </c>
      <c r="L120" s="1025">
        <f t="shared" si="23"/>
        <v>14442.146094822529</v>
      </c>
      <c r="M120" s="1043">
        <f t="shared" si="19"/>
        <v>8.4785165008404439E-2</v>
      </c>
    </row>
    <row r="121" spans="1:13" s="719" customFormat="1" ht="13">
      <c r="A121" s="744" t="s">
        <v>2137</v>
      </c>
      <c r="B121" s="472" t="s">
        <v>2890</v>
      </c>
      <c r="C121" s="1042">
        <v>9683.99</v>
      </c>
      <c r="D121" s="1042">
        <v>9644.42</v>
      </c>
      <c r="E121" s="1042">
        <v>9263.0499999999993</v>
      </c>
      <c r="F121" s="1025">
        <f t="shared" si="20"/>
        <v>9530.4866666666658</v>
      </c>
      <c r="G121" s="1222">
        <v>1.0644</v>
      </c>
      <c r="H121" s="955">
        <v>6045.0277333333333</v>
      </c>
      <c r="I121" s="1025">
        <f>E19+E22</f>
        <v>5571.3077055799076</v>
      </c>
      <c r="J121" s="1025">
        <f t="shared" si="25"/>
        <v>0</v>
      </c>
      <c r="K121" s="1044">
        <f t="shared" si="22"/>
        <v>5571.3077055799076</v>
      </c>
      <c r="L121" s="1025">
        <f t="shared" si="23"/>
        <v>9349.2934573742841</v>
      </c>
      <c r="M121" s="1043">
        <f t="shared" si="19"/>
        <v>5.488667565685746E-2</v>
      </c>
    </row>
    <row r="122" spans="1:13" s="719" customFormat="1" ht="13">
      <c r="A122" s="744" t="s">
        <v>2138</v>
      </c>
      <c r="B122" s="472" t="s">
        <v>2891</v>
      </c>
      <c r="C122" s="1042">
        <v>11021.36</v>
      </c>
      <c r="D122" s="1042">
        <v>11029.240000000002</v>
      </c>
      <c r="E122" s="1042">
        <v>11532.400000000001</v>
      </c>
      <c r="F122" s="1025">
        <f t="shared" si="20"/>
        <v>11194.333333333334</v>
      </c>
      <c r="G122" s="1222">
        <v>1.0315000000000001</v>
      </c>
      <c r="H122" s="955">
        <v>7992.9431833333338</v>
      </c>
      <c r="I122" s="1025">
        <f>E20+E23</f>
        <v>7849.3296721925308</v>
      </c>
      <c r="J122" s="1025">
        <f t="shared" si="25"/>
        <v>0</v>
      </c>
      <c r="K122" s="1044">
        <f t="shared" si="22"/>
        <v>7849.3296721925308</v>
      </c>
      <c r="L122" s="1025">
        <f t="shared" si="23"/>
        <v>11339.484482479709</v>
      </c>
      <c r="M122" s="1043">
        <f t="shared" si="19"/>
        <v>6.6570442969133961E-2</v>
      </c>
    </row>
    <row r="123" spans="1:13" s="719" customFormat="1" ht="13">
      <c r="A123" s="744" t="s">
        <v>2139</v>
      </c>
      <c r="B123" s="472" t="s">
        <v>2892</v>
      </c>
      <c r="C123" s="1042">
        <v>155.46</v>
      </c>
      <c r="D123" s="1042">
        <v>142.24</v>
      </c>
      <c r="E123" s="1042">
        <v>137.02000000000001</v>
      </c>
      <c r="F123" s="1025">
        <f t="shared" si="20"/>
        <v>144.90666666666667</v>
      </c>
      <c r="G123" s="1222">
        <v>1.0911</v>
      </c>
      <c r="H123" s="955">
        <v>89.759716666666677</v>
      </c>
      <c r="I123" s="1044">
        <f>E21*0</f>
        <v>0</v>
      </c>
      <c r="J123" s="1025">
        <f t="shared" si="25"/>
        <v>87.389652595392604</v>
      </c>
      <c r="K123" s="1044">
        <f t="shared" si="22"/>
        <v>87.389652595392604</v>
      </c>
      <c r="L123" s="1025">
        <f t="shared" si="23"/>
        <v>153.93290378734179</v>
      </c>
      <c r="M123" s="1043">
        <f t="shared" si="19"/>
        <v>9.036902522756953E-4</v>
      </c>
    </row>
    <row r="124" spans="1:13" s="719" customFormat="1" ht="13">
      <c r="A124" s="744" t="s">
        <v>2140</v>
      </c>
      <c r="B124" s="472" t="s">
        <v>2893</v>
      </c>
      <c r="C124" s="1042">
        <v>372.99</v>
      </c>
      <c r="D124" s="1042">
        <v>301.33999999999997</v>
      </c>
      <c r="E124" s="1042">
        <v>296.75</v>
      </c>
      <c r="F124" s="1025">
        <f t="shared" si="20"/>
        <v>323.69333333333333</v>
      </c>
      <c r="G124" s="1222">
        <v>1.0645</v>
      </c>
      <c r="H124" s="955">
        <v>225.89581333333334</v>
      </c>
      <c r="I124" s="1044">
        <f>E22*0</f>
        <v>0</v>
      </c>
      <c r="J124" s="1025">
        <f t="shared" si="25"/>
        <v>209.95141272049975</v>
      </c>
      <c r="K124" s="1044">
        <f t="shared" si="22"/>
        <v>209.95141272049975</v>
      </c>
      <c r="L124" s="1025">
        <f t="shared" si="23"/>
        <v>320.25066484468277</v>
      </c>
      <c r="M124" s="1043">
        <f t="shared" si="19"/>
        <v>1.8800879927839643E-3</v>
      </c>
    </row>
    <row r="125" spans="1:13" s="719" customFormat="1" ht="13">
      <c r="A125" s="744" t="s">
        <v>2141</v>
      </c>
      <c r="B125" s="472" t="s">
        <v>2894</v>
      </c>
      <c r="C125" s="959">
        <v>713.8</v>
      </c>
      <c r="D125" s="959">
        <v>601.61</v>
      </c>
      <c r="E125" s="959">
        <v>789.23</v>
      </c>
      <c r="F125" s="1025">
        <f t="shared" si="20"/>
        <v>701.54666666666662</v>
      </c>
      <c r="G125" s="1222">
        <v>1.0316000000000001</v>
      </c>
      <c r="H125" s="955">
        <v>528.15213333333338</v>
      </c>
      <c r="I125" s="1044">
        <f>E23*0</f>
        <v>0</v>
      </c>
      <c r="J125" s="1025">
        <f t="shared" si="25"/>
        <v>535.92002153881651</v>
      </c>
      <c r="K125" s="1044">
        <f t="shared" si="22"/>
        <v>535.92002153881651</v>
      </c>
      <c r="L125" s="1025">
        <f t="shared" si="23"/>
        <v>734.35971194790136</v>
      </c>
      <c r="M125" s="1043">
        <f t="shared" si="19"/>
        <v>4.3111881672037809E-3</v>
      </c>
    </row>
    <row r="126" spans="1:13" s="719" customFormat="1" ht="13">
      <c r="A126" s="744" t="s">
        <v>2142</v>
      </c>
      <c r="B126" s="472" t="s">
        <v>2895</v>
      </c>
      <c r="C126" s="1042">
        <v>2748.37</v>
      </c>
      <c r="D126" s="1042">
        <v>2325.3000000000002</v>
      </c>
      <c r="E126" s="1042">
        <v>2677.66</v>
      </c>
      <c r="F126" s="1025">
        <f t="shared" si="20"/>
        <v>2583.7766666666666</v>
      </c>
      <c r="G126" s="1222">
        <v>1.091</v>
      </c>
      <c r="H126" s="954">
        <v>1851.17633</v>
      </c>
      <c r="I126" s="1025">
        <f>E24</f>
        <v>1803.6217157521851</v>
      </c>
      <c r="J126" s="1025">
        <f t="shared" si="25"/>
        <v>0</v>
      </c>
      <c r="K126" s="1044">
        <f t="shared" si="22"/>
        <v>1803.6217157521851</v>
      </c>
      <c r="L126" s="1025">
        <f t="shared" si="23"/>
        <v>2746.485999946472</v>
      </c>
      <c r="M126" s="1043">
        <f t="shared" si="19"/>
        <v>1.6123730307797846E-2</v>
      </c>
    </row>
    <row r="127" spans="1:13" s="719" customFormat="1" ht="13">
      <c r="A127" s="744" t="s">
        <v>2143</v>
      </c>
      <c r="B127" s="472" t="s">
        <v>2896</v>
      </c>
      <c r="C127" s="1042">
        <v>1891.42</v>
      </c>
      <c r="D127" s="1042">
        <v>1857.81</v>
      </c>
      <c r="E127" s="1042">
        <v>1924.38</v>
      </c>
      <c r="F127" s="1025">
        <f t="shared" si="20"/>
        <v>1891.2033333333336</v>
      </c>
      <c r="G127" s="1222">
        <v>1.0895999999999999</v>
      </c>
      <c r="H127" s="954">
        <v>1416.4635433333333</v>
      </c>
      <c r="I127" s="1025">
        <f>E25</f>
        <v>1493.2413571287309</v>
      </c>
      <c r="J127" s="1025">
        <f t="shared" si="25"/>
        <v>0</v>
      </c>
      <c r="K127" s="1044">
        <f t="shared" si="22"/>
        <v>1493.2413571287309</v>
      </c>
      <c r="L127" s="1025">
        <f t="shared" si="23"/>
        <v>2172.3506476598914</v>
      </c>
      <c r="M127" s="1043">
        <f t="shared" si="19"/>
        <v>1.2753167493852406E-2</v>
      </c>
    </row>
    <row r="128" spans="1:13" s="719" customFormat="1" ht="13">
      <c r="A128" s="744" t="s">
        <v>2144</v>
      </c>
      <c r="B128" s="472" t="s">
        <v>2897</v>
      </c>
      <c r="C128" s="1042">
        <v>684.89</v>
      </c>
      <c r="D128" s="1042">
        <v>959.84</v>
      </c>
      <c r="E128" s="1042">
        <v>708.84</v>
      </c>
      <c r="F128" s="1025">
        <f t="shared" si="20"/>
        <v>784.52333333333343</v>
      </c>
      <c r="G128" s="1222">
        <v>1.0938000000000001</v>
      </c>
      <c r="H128" s="954">
        <v>692.68217666666669</v>
      </c>
      <c r="I128" s="1025">
        <f>E26</f>
        <v>552.69713695108601</v>
      </c>
      <c r="J128" s="1025">
        <f t="shared" si="25"/>
        <v>0</v>
      </c>
      <c r="K128" s="1044">
        <f t="shared" si="22"/>
        <v>552.69713695108601</v>
      </c>
      <c r="L128" s="1025">
        <f t="shared" si="23"/>
        <v>684.69473106146381</v>
      </c>
      <c r="M128" s="1043">
        <f t="shared" si="19"/>
        <v>4.0196211402571801E-3</v>
      </c>
    </row>
    <row r="129" spans="1:13" s="719" customFormat="1" ht="13">
      <c r="A129" s="744" t="s">
        <v>2145</v>
      </c>
      <c r="B129" s="748" t="s">
        <v>76</v>
      </c>
      <c r="C129" s="1042"/>
      <c r="D129" s="1042"/>
      <c r="E129" s="1042"/>
      <c r="F129" s="1025"/>
      <c r="G129" s="1222"/>
      <c r="H129" s="954"/>
      <c r="K129" s="1044"/>
      <c r="L129" s="1025"/>
      <c r="M129" s="1043"/>
    </row>
    <row r="130" spans="1:13" s="719" customFormat="1" ht="13">
      <c r="A130" s="744">
        <v>36</v>
      </c>
      <c r="B130" s="475" t="s">
        <v>197</v>
      </c>
      <c r="C130" s="1230">
        <f>SUM(C115:C129)</f>
        <v>170544.5</v>
      </c>
      <c r="D130" s="1230">
        <f>SUM(D115:D129)</f>
        <v>175944.16999999995</v>
      </c>
      <c r="E130" s="1230">
        <f>SUM(E115:E129)</f>
        <v>162551.63999999998</v>
      </c>
      <c r="F130" s="1230">
        <f>SUM(F115:F129)</f>
        <v>169680.10333333336</v>
      </c>
      <c r="G130" s="1231"/>
      <c r="H130" s="1230">
        <f t="shared" ref="H130:M130" si="26">SUM(H115:H129)</f>
        <v>85726.289693333354</v>
      </c>
      <c r="I130" s="1230">
        <f t="shared" si="26"/>
        <v>78436.738469999502</v>
      </c>
      <c r="J130" s="1230">
        <f t="shared" si="26"/>
        <v>833.26108685470888</v>
      </c>
      <c r="K130" s="1230">
        <f t="shared" si="26"/>
        <v>79269.999556854207</v>
      </c>
      <c r="L130" s="1230">
        <f t="shared" si="26"/>
        <v>170338.12570148247</v>
      </c>
      <c r="M130" s="1232">
        <f t="shared" si="26"/>
        <v>0.99999999999999956</v>
      </c>
    </row>
    <row r="131" spans="1:13">
      <c r="J131" s="781"/>
      <c r="L131" s="756"/>
      <c r="M131" s="757"/>
    </row>
    <row r="132" spans="1:13">
      <c r="J132" s="781"/>
      <c r="L132" s="756"/>
      <c r="M132" s="757"/>
    </row>
    <row r="133" spans="1:13">
      <c r="J133" s="781"/>
      <c r="L133" s="756"/>
      <c r="M133" s="757"/>
    </row>
    <row r="134" spans="1:13">
      <c r="J134" s="781"/>
      <c r="L134" s="756"/>
      <c r="M134" s="757"/>
    </row>
    <row r="135" spans="1:13">
      <c r="J135" s="781"/>
      <c r="L135" s="756"/>
      <c r="M135" s="757"/>
    </row>
    <row r="136" spans="1:13">
      <c r="J136" s="781"/>
      <c r="L136" s="756"/>
      <c r="M136" s="757"/>
    </row>
    <row r="137" spans="1:13">
      <c r="J137" s="781"/>
      <c r="L137" s="756"/>
      <c r="M137" s="757"/>
    </row>
    <row r="138" spans="1:13">
      <c r="J138" s="781"/>
      <c r="L138" s="756"/>
      <c r="M138" s="757"/>
    </row>
    <row r="139" spans="1:13">
      <c r="J139" s="781"/>
      <c r="L139" s="756"/>
      <c r="M139" s="757"/>
    </row>
    <row r="140" spans="1:13">
      <c r="L140" s="756"/>
    </row>
    <row r="144" spans="1:13">
      <c r="M144" s="722"/>
    </row>
    <row r="145" spans="13:13">
      <c r="M145" s="722"/>
    </row>
    <row r="146" spans="13:13">
      <c r="M146" s="722"/>
    </row>
    <row r="147" spans="13:13">
      <c r="M147" s="722"/>
    </row>
    <row r="148" spans="13:13">
      <c r="M148" s="722"/>
    </row>
    <row r="149" spans="13:13">
      <c r="M149" s="722"/>
    </row>
    <row r="150" spans="13:13">
      <c r="M150" s="722"/>
    </row>
    <row r="151" spans="13:13">
      <c r="M151" s="722"/>
    </row>
    <row r="152" spans="13:13">
      <c r="M152" s="722"/>
    </row>
    <row r="153" spans="13:13">
      <c r="M153" s="722"/>
    </row>
    <row r="154" spans="13:13">
      <c r="M154" s="722"/>
    </row>
    <row r="155" spans="13:13">
      <c r="M155" s="722"/>
    </row>
    <row r="156" spans="13:13">
      <c r="M156" s="722"/>
    </row>
    <row r="157" spans="13:13">
      <c r="M157" s="722"/>
    </row>
    <row r="158" spans="13:13">
      <c r="M158" s="722"/>
    </row>
    <row r="159" spans="13:13">
      <c r="M159" s="722"/>
    </row>
    <row r="160" spans="13:13">
      <c r="M160" s="722"/>
    </row>
    <row r="161" spans="13:13">
      <c r="M161" s="722"/>
    </row>
    <row r="162" spans="13:13">
      <c r="M162" s="722"/>
    </row>
    <row r="163" spans="13:13">
      <c r="M163" s="722"/>
    </row>
    <row r="164" spans="13:13">
      <c r="M164" s="722"/>
    </row>
    <row r="165" spans="13:13">
      <c r="M165" s="722"/>
    </row>
    <row r="166" spans="13:13">
      <c r="M166" s="722"/>
    </row>
    <row r="167" spans="13:13">
      <c r="M167" s="722"/>
    </row>
    <row r="168" spans="13:13">
      <c r="M168" s="722"/>
    </row>
    <row r="169" spans="13:13">
      <c r="M169" s="722"/>
    </row>
    <row r="170" spans="13:13">
      <c r="M170" s="722"/>
    </row>
    <row r="171" spans="13:13">
      <c r="M171" s="722"/>
    </row>
    <row r="172" spans="13:13">
      <c r="M172" s="722"/>
    </row>
    <row r="173" spans="13:13">
      <c r="M173" s="722"/>
    </row>
    <row r="174" spans="13:13">
      <c r="M174" s="722"/>
    </row>
    <row r="175" spans="13:13">
      <c r="M175" s="722"/>
    </row>
    <row r="176" spans="13:13">
      <c r="M176" s="722"/>
    </row>
    <row r="177" spans="13:13">
      <c r="M177" s="722"/>
    </row>
    <row r="178" spans="13:13">
      <c r="M178" s="722"/>
    </row>
    <row r="179" spans="13:13">
      <c r="M179" s="722"/>
    </row>
    <row r="180" spans="13:13">
      <c r="M180" s="722"/>
    </row>
    <row r="181" spans="13:13">
      <c r="M181" s="722"/>
    </row>
    <row r="182" spans="13:13">
      <c r="M182" s="722"/>
    </row>
    <row r="183" spans="13:13">
      <c r="M183" s="722"/>
    </row>
    <row r="184" spans="13:13">
      <c r="M184" s="722"/>
    </row>
    <row r="185" spans="13:13">
      <c r="M185" s="722"/>
    </row>
    <row r="186" spans="13:13">
      <c r="M186" s="722"/>
    </row>
    <row r="187" spans="13:13">
      <c r="M187" s="722"/>
    </row>
    <row r="188" spans="13:13">
      <c r="M188" s="722"/>
    </row>
    <row r="189" spans="13:13">
      <c r="M189" s="722"/>
    </row>
    <row r="190" spans="13:13">
      <c r="M190" s="722"/>
    </row>
    <row r="191" spans="13:13">
      <c r="M191" s="722"/>
    </row>
    <row r="192" spans="13:13">
      <c r="M192" s="722"/>
    </row>
    <row r="193" spans="13:13">
      <c r="M193" s="722"/>
    </row>
    <row r="194" spans="13:13">
      <c r="M194" s="722"/>
    </row>
    <row r="195" spans="13:13">
      <c r="M195" s="722"/>
    </row>
    <row r="196" spans="13:13">
      <c r="M196" s="722"/>
    </row>
    <row r="197" spans="13:13">
      <c r="M197" s="722"/>
    </row>
    <row r="198" spans="13:13">
      <c r="M198" s="722"/>
    </row>
    <row r="199" spans="13:13">
      <c r="M199" s="722"/>
    </row>
    <row r="200" spans="13:13">
      <c r="M200" s="722"/>
    </row>
    <row r="201" spans="13:13">
      <c r="M201" s="722"/>
    </row>
    <row r="202" spans="13:13">
      <c r="M202" s="722"/>
    </row>
    <row r="203" spans="13:13">
      <c r="M203" s="722"/>
    </row>
    <row r="204" spans="13:13">
      <c r="M204" s="722"/>
    </row>
    <row r="205" spans="13:13">
      <c r="M205" s="722"/>
    </row>
    <row r="206" spans="13:13">
      <c r="M206" s="722"/>
    </row>
    <row r="207" spans="13:13">
      <c r="M207" s="722"/>
    </row>
    <row r="208" spans="13:13">
      <c r="M208" s="722"/>
    </row>
    <row r="209" spans="13:13">
      <c r="M209" s="722"/>
    </row>
    <row r="210" spans="13:13">
      <c r="M210" s="722"/>
    </row>
    <row r="211" spans="13:13">
      <c r="M211" s="722"/>
    </row>
    <row r="212" spans="13:13">
      <c r="M212" s="722"/>
    </row>
    <row r="213" spans="13:13">
      <c r="M213" s="722"/>
    </row>
    <row r="214" spans="13:13">
      <c r="M214" s="722"/>
    </row>
    <row r="215" spans="13:13">
      <c r="M215" s="722"/>
    </row>
    <row r="216" spans="13:13">
      <c r="M216" s="722"/>
    </row>
    <row r="217" spans="13:13">
      <c r="M217" s="722"/>
    </row>
    <row r="218" spans="13:13">
      <c r="M218" s="722"/>
    </row>
    <row r="219" spans="13:13">
      <c r="M219" s="722"/>
    </row>
    <row r="220" spans="13:13">
      <c r="M220" s="722"/>
    </row>
    <row r="221" spans="13:13">
      <c r="M221" s="722"/>
    </row>
    <row r="222" spans="13:13">
      <c r="M222" s="722"/>
    </row>
    <row r="223" spans="13:13">
      <c r="M223" s="722"/>
    </row>
    <row r="224" spans="13:13">
      <c r="M224" s="722"/>
    </row>
    <row r="225" spans="13:13">
      <c r="M225" s="722"/>
    </row>
    <row r="226" spans="13:13">
      <c r="M226" s="722"/>
    </row>
    <row r="227" spans="13:13">
      <c r="M227" s="722"/>
    </row>
    <row r="228" spans="13:13">
      <c r="M228" s="722"/>
    </row>
    <row r="229" spans="13:13">
      <c r="M229" s="722"/>
    </row>
    <row r="230" spans="13:13">
      <c r="M230" s="722"/>
    </row>
    <row r="231" spans="13:13">
      <c r="M231" s="722"/>
    </row>
    <row r="232" spans="13:13">
      <c r="M232" s="722"/>
    </row>
    <row r="233" spans="13:13">
      <c r="M233" s="722"/>
    </row>
    <row r="234" spans="13:13">
      <c r="M234" s="722"/>
    </row>
    <row r="235" spans="13:13">
      <c r="M235" s="722"/>
    </row>
    <row r="236" spans="13:13">
      <c r="M236" s="722"/>
    </row>
    <row r="237" spans="13:13">
      <c r="M237" s="722"/>
    </row>
    <row r="238" spans="13:13">
      <c r="M238" s="722"/>
    </row>
    <row r="239" spans="13:13">
      <c r="M239" s="722"/>
    </row>
    <row r="240" spans="13:13">
      <c r="M240" s="722"/>
    </row>
    <row r="241" spans="13:13">
      <c r="M241" s="722"/>
    </row>
    <row r="242" spans="13:13">
      <c r="M242" s="722"/>
    </row>
    <row r="243" spans="13:13">
      <c r="M243" s="722"/>
    </row>
    <row r="244" spans="13:13">
      <c r="M244" s="722"/>
    </row>
    <row r="245" spans="13:13">
      <c r="M245" s="722"/>
    </row>
    <row r="246" spans="13:13">
      <c r="M246" s="722"/>
    </row>
    <row r="247" spans="13:13">
      <c r="M247" s="722"/>
    </row>
    <row r="248" spans="13:13">
      <c r="M248" s="722"/>
    </row>
    <row r="249" spans="13:13">
      <c r="M249" s="722"/>
    </row>
    <row r="250" spans="13:13">
      <c r="M250" s="722"/>
    </row>
    <row r="251" spans="13:13">
      <c r="M251" s="722"/>
    </row>
    <row r="252" spans="13:13">
      <c r="M252" s="722"/>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&amp;RTO2021 Draft Annual Update 
Attachment 1</oddHeader>
    <oddFooter>&amp;R33-RetailRates</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73"/>
  <sheetViews>
    <sheetView tabSelected="1" zoomScale="90" zoomScaleNormal="90" zoomScalePageLayoutView="85" workbookViewId="0"/>
  </sheetViews>
  <sheetFormatPr defaultRowHeight="12.5"/>
  <cols>
    <col min="1" max="1" width="4.54296875" customWidth="1"/>
    <col min="7" max="7" width="13.54296875" customWidth="1"/>
    <col min="8" max="8" width="24.54296875" customWidth="1"/>
    <col min="9" max="9" width="29.453125" customWidth="1"/>
    <col min="10" max="10" width="2.54296875" customWidth="1"/>
    <col min="11" max="11" width="21.54296875" bestFit="1" customWidth="1"/>
    <col min="12" max="12" width="1.54296875" customWidth="1"/>
    <col min="13" max="13" width="58.453125" customWidth="1"/>
    <col min="14" max="14" width="22.54296875" customWidth="1"/>
    <col min="15" max="15" width="12.453125" bestFit="1" customWidth="1"/>
  </cols>
  <sheetData>
    <row r="1" spans="1:13" ht="13">
      <c r="A1" s="1" t="s">
        <v>166</v>
      </c>
    </row>
    <row r="2" spans="1:13">
      <c r="I2" s="97" t="s">
        <v>301</v>
      </c>
      <c r="J2" s="97"/>
      <c r="K2" s="14"/>
      <c r="L2" s="14"/>
    </row>
    <row r="3" spans="1:13" ht="13">
      <c r="A3" s="1" t="s">
        <v>167</v>
      </c>
      <c r="L3" s="14"/>
    </row>
    <row r="4" spans="1:13" ht="13">
      <c r="H4" s="2"/>
      <c r="I4" s="2" t="s">
        <v>169</v>
      </c>
      <c r="K4" s="245">
        <v>2019</v>
      </c>
    </row>
    <row r="5" spans="1:13" ht="13">
      <c r="A5" s="53" t="s">
        <v>319</v>
      </c>
      <c r="H5" s="3" t="s">
        <v>168</v>
      </c>
      <c r="I5" s="3" t="s">
        <v>170</v>
      </c>
      <c r="K5" s="3" t="s">
        <v>171</v>
      </c>
    </row>
    <row r="7" spans="1:13" ht="13">
      <c r="A7" s="10" t="s">
        <v>176</v>
      </c>
      <c r="B7" s="11"/>
      <c r="C7" s="11"/>
      <c r="D7" s="11"/>
      <c r="E7" s="11"/>
      <c r="F7" s="11"/>
      <c r="G7" s="11"/>
      <c r="H7" s="9"/>
      <c r="I7" s="9"/>
      <c r="J7" s="9"/>
      <c r="K7" s="9"/>
    </row>
    <row r="9" spans="1:13" ht="13">
      <c r="A9" s="2">
        <v>1</v>
      </c>
      <c r="B9" s="50" t="s">
        <v>1045</v>
      </c>
      <c r="I9" s="15" t="str">
        <f>"6-PlantInService, Line "&amp;'6-PlantInService'!A44&amp;""</f>
        <v>6-PlantInService, Line 19</v>
      </c>
      <c r="K9" s="7">
        <f>'6-PlantInService'!D44</f>
        <v>9285531120.7645969</v>
      </c>
      <c r="M9" s="14"/>
    </row>
    <row r="10" spans="1:13" ht="13">
      <c r="A10" s="2">
        <f>A9+1</f>
        <v>2</v>
      </c>
      <c r="B10" s="50" t="s">
        <v>317</v>
      </c>
      <c r="I10" s="15" t="str">
        <f>"6-PlantInService, Line "&amp;'6-PlantInService'!A64&amp;""</f>
        <v>6-PlantInService, Line 27</v>
      </c>
      <c r="K10" s="7">
        <f>'6-PlantInService'!F64</f>
        <v>295082246.65901393</v>
      </c>
      <c r="M10" s="14"/>
    </row>
    <row r="11" spans="1:13" ht="13">
      <c r="A11" s="2">
        <f>A10+1</f>
        <v>3</v>
      </c>
      <c r="B11" s="50" t="s">
        <v>157</v>
      </c>
      <c r="I11" s="15" t="str">
        <f>"11-PHFU, Line "&amp;'11-PHFU'!A39&amp;""</f>
        <v>11-PHFU, Line 8</v>
      </c>
      <c r="K11" s="7">
        <f>'11-PHFU'!E39</f>
        <v>9942155</v>
      </c>
      <c r="M11" s="14"/>
    </row>
    <row r="12" spans="1:13" ht="13">
      <c r="A12" s="2">
        <f>A11+1</f>
        <v>4</v>
      </c>
      <c r="B12" s="109" t="s">
        <v>312</v>
      </c>
      <c r="C12" s="14"/>
      <c r="D12" s="14"/>
      <c r="E12" s="14"/>
      <c r="F12" s="14"/>
      <c r="G12" s="14"/>
      <c r="H12" s="14"/>
      <c r="I12" s="15" t="str">
        <f>"12-AbandonedPlant, Line "&amp;'12-AbandonedPlant'!A20&amp;""</f>
        <v>12-AbandonedPlant, Line 3</v>
      </c>
      <c r="K12" s="7">
        <f>'12-AbandonedPlant'!G20</f>
        <v>0</v>
      </c>
      <c r="M12" s="14"/>
    </row>
    <row r="13" spans="1:13" ht="13">
      <c r="A13" s="2"/>
      <c r="B13" s="109"/>
      <c r="C13" s="14"/>
      <c r="D13" s="14"/>
      <c r="E13" s="14"/>
      <c r="F13" s="14"/>
      <c r="G13" s="14"/>
      <c r="H13" s="14"/>
      <c r="I13" s="14"/>
      <c r="K13" s="7"/>
      <c r="M13" s="14"/>
    </row>
    <row r="14" spans="1:13" ht="13">
      <c r="A14" s="2"/>
      <c r="B14" s="45" t="s">
        <v>243</v>
      </c>
      <c r="C14" s="14"/>
      <c r="D14" s="14"/>
      <c r="E14" s="14"/>
      <c r="F14" s="14"/>
      <c r="G14" s="14"/>
      <c r="H14" s="14"/>
      <c r="I14" s="14"/>
      <c r="K14" s="7"/>
      <c r="M14" s="14"/>
    </row>
    <row r="15" spans="1:13" ht="13">
      <c r="A15" s="2">
        <f>A12+1</f>
        <v>5</v>
      </c>
      <c r="B15" s="13" t="s">
        <v>91</v>
      </c>
      <c r="I15" s="15" t="str">
        <f>"13-WorkCap, Line "&amp;'13-WorkCap'!A26&amp;""</f>
        <v>13-WorkCap, Line 16</v>
      </c>
      <c r="K15" s="7">
        <f>'13-WorkCap'!F26</f>
        <v>23767744.786795456</v>
      </c>
      <c r="M15" s="14"/>
    </row>
    <row r="16" spans="1:13" ht="13">
      <c r="A16" s="2">
        <f>A15+1</f>
        <v>6</v>
      </c>
      <c r="B16" s="16" t="s">
        <v>92</v>
      </c>
      <c r="I16" s="15" t="str">
        <f>"13-WorkCap, Line "&amp;'13-WorkCap'!A55&amp;""</f>
        <v>13-WorkCap, Line 36</v>
      </c>
      <c r="K16" s="7">
        <f>'13-WorkCap'!F55</f>
        <v>14002734.713142229</v>
      </c>
      <c r="M16" s="14"/>
    </row>
    <row r="17" spans="1:13" ht="13">
      <c r="A17" s="2">
        <f>A16+1</f>
        <v>7</v>
      </c>
      <c r="B17" s="13" t="s">
        <v>172</v>
      </c>
      <c r="I17" s="15" t="str">
        <f>"(Line "&amp;A126&amp;" + Line "&amp;A127&amp;") / 8"</f>
        <v>(Line 66 + Line 67) / 8</v>
      </c>
      <c r="K17" s="102">
        <f>(K126+K127)/8</f>
        <v>24081483.480682343</v>
      </c>
      <c r="M17" s="14"/>
    </row>
    <row r="18" spans="1:13" ht="13">
      <c r="A18" s="2">
        <f>A17+1</f>
        <v>8</v>
      </c>
      <c r="B18" s="13" t="s">
        <v>90</v>
      </c>
      <c r="I18" s="15" t="str">
        <f>"Line "&amp;A15&amp;" + Line "&amp;A16&amp;" + Line "&amp;A17&amp;""</f>
        <v>Line 5 + Line 6 + Line 7</v>
      </c>
      <c r="K18" s="7">
        <f>SUM(K15:K17)</f>
        <v>61851962.980620027</v>
      </c>
      <c r="M18" s="14"/>
    </row>
    <row r="19" spans="1:13" ht="13">
      <c r="A19" s="2"/>
      <c r="B19" s="13"/>
      <c r="I19" s="14"/>
      <c r="K19" s="7"/>
      <c r="M19" s="14"/>
    </row>
    <row r="20" spans="1:13" ht="13">
      <c r="A20" s="2"/>
      <c r="B20" s="76" t="s">
        <v>165</v>
      </c>
      <c r="I20" s="14"/>
      <c r="K20" s="7"/>
      <c r="M20" s="14"/>
    </row>
    <row r="21" spans="1:13" ht="13">
      <c r="A21" s="2">
        <f>A18+1</f>
        <v>9</v>
      </c>
      <c r="B21" s="13" t="s">
        <v>1048</v>
      </c>
      <c r="H21" t="s">
        <v>151</v>
      </c>
      <c r="I21" s="15" t="str">
        <f>"8-AccDep, Line "&amp;'8-AccDep'!A24&amp;", Col. 12"</f>
        <v>8-AccDep, Line 13, Col. 12</v>
      </c>
      <c r="K21" s="7">
        <f>-'8-AccDep'!N24</f>
        <v>-1910452318.1000457</v>
      </c>
      <c r="M21" s="14"/>
    </row>
    <row r="22" spans="1:13" ht="13">
      <c r="A22" s="2">
        <f>A21+1</f>
        <v>10</v>
      </c>
      <c r="B22" s="13" t="s">
        <v>1049</v>
      </c>
      <c r="H22" t="s">
        <v>151</v>
      </c>
      <c r="I22" s="15" t="str">
        <f>"8-AccDep, Line "&amp;'8-AccDep'!A34&amp;", Col. 5"</f>
        <v>8-AccDep, Line 16, Col. 5</v>
      </c>
      <c r="K22" s="7">
        <f>-'8-AccDep'!G34</f>
        <v>0</v>
      </c>
      <c r="M22" s="14"/>
    </row>
    <row r="23" spans="1:13" ht="13">
      <c r="A23" s="2">
        <f>A22+1</f>
        <v>11</v>
      </c>
      <c r="B23" s="13" t="s">
        <v>308</v>
      </c>
      <c r="C23" s="22"/>
      <c r="H23" t="s">
        <v>151</v>
      </c>
      <c r="I23" s="15" t="str">
        <f>"8-AccDep, Line "&amp;'8-AccDep'!A60&amp;""</f>
        <v>8-AccDep, Line 26</v>
      </c>
      <c r="K23" s="57">
        <f>-'8-AccDep'!F60</f>
        <v>-105738760.6660711</v>
      </c>
      <c r="M23" s="14"/>
    </row>
    <row r="24" spans="1:13" ht="13">
      <c r="A24" s="2">
        <f>A23+1</f>
        <v>12</v>
      </c>
      <c r="B24" s="77" t="s">
        <v>163</v>
      </c>
      <c r="C24" s="22"/>
      <c r="I24" s="15" t="str">
        <f>"Line "&amp;A21&amp;" + Line "&amp;A22&amp;" + Line "&amp;A23&amp;""</f>
        <v>Line 9 + Line 10 + Line 11</v>
      </c>
      <c r="K24" s="7">
        <f>SUM(K21:K23)</f>
        <v>-2016191078.7661169</v>
      </c>
      <c r="M24" s="14"/>
    </row>
    <row r="25" spans="1:13">
      <c r="B25" s="12"/>
      <c r="I25" s="14"/>
      <c r="K25" s="7"/>
      <c r="M25" s="14"/>
    </row>
    <row r="26" spans="1:13" ht="13">
      <c r="A26" s="2">
        <f>A24+1</f>
        <v>13</v>
      </c>
      <c r="B26" s="537" t="s">
        <v>2769</v>
      </c>
      <c r="I26" s="15" t="str">
        <f>"9-ADIT-1, Line "&amp;'9-ADIT-1'!A14&amp;", Col. 2"</f>
        <v>9-ADIT-1, Line 5, Col. 2</v>
      </c>
      <c r="K26" s="7">
        <f>'9-ADIT-1'!D14</f>
        <v>-1621359578.4244325</v>
      </c>
      <c r="M26" s="14"/>
    </row>
    <row r="27" spans="1:13" ht="13">
      <c r="A27" s="2"/>
      <c r="B27" s="65"/>
      <c r="I27" s="14"/>
      <c r="M27" s="14"/>
    </row>
    <row r="28" spans="1:13" ht="13">
      <c r="A28" s="2">
        <f>A26+1</f>
        <v>14</v>
      </c>
      <c r="B28" s="50" t="s">
        <v>240</v>
      </c>
      <c r="I28" s="15" t="str">
        <f>"14-IncentivePlant, L "&amp;'14-IncentivePlant'!A37&amp;", Col 1"</f>
        <v>14-IncentivePlant, L 12, Col 1</v>
      </c>
      <c r="K28" s="7">
        <f>'14-IncentivePlant'!E37</f>
        <v>647481518.01999998</v>
      </c>
      <c r="M28" s="14"/>
    </row>
    <row r="29" spans="1:13" ht="13">
      <c r="A29" s="2"/>
      <c r="B29" s="50"/>
      <c r="I29" s="14"/>
      <c r="K29" s="7"/>
      <c r="M29" s="14"/>
    </row>
    <row r="30" spans="1:13" ht="13">
      <c r="A30" s="2">
        <f>A28+1</f>
        <v>15</v>
      </c>
      <c r="B30" s="50" t="s">
        <v>362</v>
      </c>
      <c r="I30" s="15" t="str">
        <f>"23-RegAssets, Line "&amp;'23-RegAssets'!A17&amp;""</f>
        <v>23-RegAssets, Line 14</v>
      </c>
      <c r="K30" s="63">
        <f>'23-RegAssets'!E17</f>
        <v>0</v>
      </c>
      <c r="M30" s="14"/>
    </row>
    <row r="31" spans="1:13" ht="13">
      <c r="A31" s="553">
        <f t="shared" ref="A31:A32" si="0">A30+1</f>
        <v>16</v>
      </c>
      <c r="B31" s="846" t="s">
        <v>1955</v>
      </c>
      <c r="C31" s="14"/>
      <c r="D31" s="14"/>
      <c r="E31" s="14"/>
      <c r="F31" s="14"/>
      <c r="G31" s="14"/>
      <c r="H31" s="14"/>
      <c r="I31" s="15" t="str">
        <f>"34-UnfundedReserves, Line "&amp;'34-UnfundedReserves'!A9&amp;""</f>
        <v>34-UnfundedReserves, Line 6</v>
      </c>
      <c r="J31" s="14"/>
      <c r="K31" s="63">
        <f>'34-UnfundedReserves'!K9</f>
        <v>-197765197.51234144</v>
      </c>
      <c r="M31" s="14"/>
    </row>
    <row r="32" spans="1:13" ht="13">
      <c r="A32" s="553">
        <f t="shared" si="0"/>
        <v>17</v>
      </c>
      <c r="B32" s="846" t="s">
        <v>55</v>
      </c>
      <c r="C32" s="14"/>
      <c r="D32" s="14"/>
      <c r="E32" s="14"/>
      <c r="F32" s="14"/>
      <c r="G32" s="14"/>
      <c r="H32" s="14" t="s">
        <v>151</v>
      </c>
      <c r="I32" s="15" t="str">
        <f>"22-NUCs, Line "&amp;'22-NUCs'!A11&amp;""</f>
        <v>22-NUCs, Line 4</v>
      </c>
      <c r="J32" s="14"/>
      <c r="K32" s="63">
        <f>-'22-NUCs'!E11</f>
        <v>-36762569.307422847</v>
      </c>
      <c r="M32" s="14"/>
    </row>
    <row r="33" spans="1:13" ht="13">
      <c r="A33" s="110"/>
      <c r="B33" s="846"/>
      <c r="C33" s="14"/>
      <c r="D33" s="14"/>
      <c r="E33" s="14"/>
      <c r="F33" s="14"/>
      <c r="G33" s="14"/>
      <c r="H33" s="14"/>
      <c r="I33" s="14"/>
      <c r="J33" s="14"/>
      <c r="K33" s="14"/>
      <c r="M33" s="14"/>
    </row>
    <row r="34" spans="1:13" ht="13">
      <c r="A34" s="553">
        <f>A32+1</f>
        <v>18</v>
      </c>
      <c r="B34" s="14" t="s">
        <v>173</v>
      </c>
      <c r="C34" s="14"/>
      <c r="D34" s="14"/>
      <c r="E34" s="14"/>
      <c r="F34" s="14"/>
      <c r="G34" s="14"/>
      <c r="H34" s="14"/>
      <c r="I34" s="15" t="str">
        <f>"L"&amp;A9&amp;" + L"&amp;A10&amp;" + L"&amp;A11&amp;" + L"&amp;A12&amp;" + L"&amp;A18&amp;" + L"&amp;A24&amp;" +"</f>
        <v>L1 + L2 + L3 + L4 + L8 + L12 +</v>
      </c>
      <c r="J34" s="14"/>
      <c r="K34" s="63">
        <f>K9+K10+K11+K12+K18+K24+K26+K28+K30+K31+K32</f>
        <v>6427810579.4139166</v>
      </c>
      <c r="M34" s="14"/>
    </row>
    <row r="35" spans="1:13" ht="13">
      <c r="A35" s="110"/>
      <c r="B35" s="14"/>
      <c r="C35" s="14"/>
      <c r="D35" s="14"/>
      <c r="E35" s="14"/>
      <c r="F35" s="14"/>
      <c r="G35" s="14"/>
      <c r="H35" s="14"/>
      <c r="I35" s="109" t="str">
        <f>"L"&amp;A26&amp;" + L"&amp;A28&amp;"+ L"&amp;A30&amp;"+ L"&amp;A31&amp;" + L"&amp;A32&amp;""</f>
        <v>L13 + L14+ L15+ L16 + L17</v>
      </c>
      <c r="J35" s="14"/>
      <c r="K35" s="63"/>
      <c r="M35" s="14"/>
    </row>
    <row r="36" spans="1:13">
      <c r="M36" s="14"/>
    </row>
    <row r="37" spans="1:13" ht="13">
      <c r="A37" s="10" t="s">
        <v>251</v>
      </c>
      <c r="B37" s="11"/>
      <c r="C37" s="11"/>
      <c r="D37" s="11"/>
      <c r="E37" s="11"/>
      <c r="F37" s="11"/>
      <c r="G37" s="11"/>
      <c r="H37" s="9"/>
      <c r="I37" s="9"/>
      <c r="J37" s="9"/>
      <c r="K37" s="9"/>
      <c r="M37" s="14"/>
    </row>
    <row r="38" spans="1:13">
      <c r="M38" s="14"/>
    </row>
    <row r="39" spans="1:13" ht="13">
      <c r="A39" s="2">
        <f>A34+1</f>
        <v>19</v>
      </c>
      <c r="B39" s="469" t="s">
        <v>1757</v>
      </c>
      <c r="C39" s="14"/>
      <c r="D39" s="14"/>
      <c r="H39" s="978" t="s">
        <v>2471</v>
      </c>
      <c r="I39" s="467" t="s">
        <v>2270</v>
      </c>
      <c r="K39" s="6">
        <v>329452981</v>
      </c>
      <c r="L39" s="469"/>
      <c r="M39" s="14"/>
    </row>
    <row r="40" spans="1:13" ht="13">
      <c r="A40" s="2">
        <f>A39+1</f>
        <v>20</v>
      </c>
      <c r="B40" s="113" t="s">
        <v>57</v>
      </c>
      <c r="C40" s="14"/>
      <c r="D40" s="14"/>
      <c r="H40" s="972"/>
      <c r="I40" s="15" t="str">
        <f>"27-Allocators, Line "&amp;'27-Allocators'!A28&amp;""</f>
        <v>27-Allocators, Line 22</v>
      </c>
      <c r="K40" s="8">
        <f>'27-Allocators'!G28</f>
        <v>0.18668038449535004</v>
      </c>
      <c r="L40" s="14"/>
      <c r="M40" s="14"/>
    </row>
    <row r="41" spans="1:13" ht="13">
      <c r="A41" s="2">
        <f>A40+1</f>
        <v>21</v>
      </c>
      <c r="B41" s="14" t="s">
        <v>60</v>
      </c>
      <c r="C41" s="14"/>
      <c r="D41" s="14"/>
      <c r="H41" s="972"/>
      <c r="I41" s="15" t="str">
        <f>"Line "&amp;A39&amp;" * Line "&amp;A40&amp;""</f>
        <v>Line 19 * Line 20</v>
      </c>
      <c r="K41" s="7">
        <f>K39*K40</f>
        <v>61502409.166219249</v>
      </c>
      <c r="L41" s="14"/>
      <c r="M41" s="14"/>
    </row>
    <row r="42" spans="1:13" ht="13">
      <c r="A42" s="2" t="s">
        <v>328</v>
      </c>
      <c r="B42" s="14"/>
      <c r="C42" s="14"/>
      <c r="D42" s="14"/>
      <c r="H42" s="467"/>
      <c r="I42" s="14"/>
      <c r="K42" s="8"/>
      <c r="L42" s="14"/>
      <c r="M42" s="14"/>
    </row>
    <row r="43" spans="1:13" ht="13">
      <c r="A43" s="2">
        <f>A41+1</f>
        <v>22</v>
      </c>
      <c r="B43" s="15" t="s">
        <v>252</v>
      </c>
      <c r="C43" s="14"/>
      <c r="D43" s="14"/>
      <c r="H43" s="972"/>
      <c r="I43" s="14"/>
      <c r="K43" s="8"/>
      <c r="L43" s="14"/>
      <c r="M43" s="14"/>
    </row>
    <row r="44" spans="1:13" ht="13">
      <c r="A44" s="2">
        <f t="shared" ref="A44:A56" si="1">A43+1</f>
        <v>23</v>
      </c>
      <c r="B44" s="113" t="s">
        <v>16</v>
      </c>
      <c r="C44" s="14"/>
      <c r="D44" s="14"/>
      <c r="E44" s="1"/>
      <c r="F44" s="1"/>
      <c r="G44" s="1"/>
      <c r="H44" s="972"/>
      <c r="I44" s="15" t="str">
        <f>"Line "&amp;A45&amp;" + Line "&amp;A46&amp;"+ Line "&amp;A47&amp;""</f>
        <v>Line 24 + Line 25+ Line 26</v>
      </c>
      <c r="K44" s="63">
        <f>SUM(K45:K47)</f>
        <v>117647986</v>
      </c>
      <c r="L44" s="14"/>
      <c r="M44" s="14"/>
    </row>
    <row r="45" spans="1:13" ht="13">
      <c r="A45" s="2">
        <f t="shared" si="1"/>
        <v>24</v>
      </c>
      <c r="B45" s="369" t="s">
        <v>39</v>
      </c>
      <c r="C45" s="14"/>
      <c r="D45" s="14"/>
      <c r="E45" s="1"/>
      <c r="F45" s="1"/>
      <c r="G45" s="1"/>
      <c r="H45" s="978" t="s">
        <v>2472</v>
      </c>
      <c r="I45" s="467" t="s">
        <v>2270</v>
      </c>
      <c r="K45" s="6">
        <v>116228864</v>
      </c>
      <c r="L45" s="469"/>
      <c r="M45" s="14"/>
    </row>
    <row r="46" spans="1:13" ht="13">
      <c r="A46" s="2">
        <f t="shared" si="1"/>
        <v>25</v>
      </c>
      <c r="B46" s="369" t="s">
        <v>40</v>
      </c>
      <c r="C46" s="14"/>
      <c r="D46" s="14"/>
      <c r="E46" s="1"/>
      <c r="F46" s="1"/>
      <c r="G46" s="1"/>
      <c r="H46" s="978" t="s">
        <v>2473</v>
      </c>
      <c r="I46" s="467" t="s">
        <v>2270</v>
      </c>
      <c r="K46" s="6">
        <v>1175852</v>
      </c>
      <c r="L46" s="469"/>
      <c r="M46" s="14"/>
    </row>
    <row r="47" spans="1:13" ht="13">
      <c r="A47" s="2">
        <f t="shared" si="1"/>
        <v>26</v>
      </c>
      <c r="B47" s="369" t="s">
        <v>41</v>
      </c>
      <c r="C47" s="14"/>
      <c r="D47" s="14"/>
      <c r="E47" s="1"/>
      <c r="F47" s="1"/>
      <c r="G47" s="1"/>
      <c r="H47" s="978" t="s">
        <v>2474</v>
      </c>
      <c r="I47" s="467" t="s">
        <v>2270</v>
      </c>
      <c r="K47" s="6">
        <v>243270</v>
      </c>
      <c r="L47" s="469"/>
      <c r="M47" s="14"/>
    </row>
    <row r="48" spans="1:13" ht="13">
      <c r="A48" s="2">
        <f t="shared" si="1"/>
        <v>27</v>
      </c>
      <c r="B48" s="466" t="s">
        <v>1758</v>
      </c>
      <c r="C48" s="14"/>
      <c r="D48" s="14"/>
      <c r="H48" s="978" t="s">
        <v>2475</v>
      </c>
      <c r="I48" s="467" t="s">
        <v>2270</v>
      </c>
      <c r="K48" s="6">
        <v>5948364</v>
      </c>
      <c r="L48" s="469"/>
      <c r="M48" s="14"/>
    </row>
    <row r="49" spans="1:13" ht="13">
      <c r="A49" s="2">
        <f t="shared" si="1"/>
        <v>28</v>
      </c>
      <c r="B49" s="113" t="s">
        <v>1759</v>
      </c>
      <c r="C49" s="14"/>
      <c r="D49" s="14"/>
      <c r="H49" s="978" t="s">
        <v>2476</v>
      </c>
      <c r="I49" s="467" t="s">
        <v>2270</v>
      </c>
      <c r="K49" s="6">
        <v>1718978</v>
      </c>
      <c r="L49" s="469"/>
      <c r="M49" s="14"/>
    </row>
    <row r="50" spans="1:13" ht="13">
      <c r="A50" s="541">
        <f t="shared" si="1"/>
        <v>29</v>
      </c>
      <c r="B50" s="113" t="s">
        <v>1618</v>
      </c>
      <c r="C50" s="14"/>
      <c r="D50" s="14"/>
      <c r="H50" s="978" t="s">
        <v>2477</v>
      </c>
      <c r="I50" s="467" t="s">
        <v>2270</v>
      </c>
      <c r="K50" s="6">
        <v>1879323</v>
      </c>
      <c r="L50" s="469"/>
      <c r="M50" s="14"/>
    </row>
    <row r="51" spans="1:13" ht="13">
      <c r="A51" s="541">
        <f t="shared" si="1"/>
        <v>30</v>
      </c>
      <c r="B51" s="113" t="s">
        <v>1760</v>
      </c>
      <c r="C51" s="14"/>
      <c r="D51" s="14"/>
      <c r="H51" s="978" t="s">
        <v>2478</v>
      </c>
      <c r="I51" s="467" t="s">
        <v>2270</v>
      </c>
      <c r="K51" s="6">
        <v>39927</v>
      </c>
      <c r="L51" s="469"/>
      <c r="M51" s="14"/>
    </row>
    <row r="52" spans="1:13" ht="13">
      <c r="A52" s="541">
        <f t="shared" si="1"/>
        <v>31</v>
      </c>
      <c r="B52" t="s">
        <v>61</v>
      </c>
      <c r="I52" s="15" t="str">
        <f>"Line "&amp;A44&amp;" + (Line "&amp;A48&amp;" to Line "&amp;A51&amp;")"</f>
        <v>Line 23 + (Line 27 to Line 30)</v>
      </c>
      <c r="K52" s="7">
        <f>K44+K48+K49+K50+K51</f>
        <v>127234578</v>
      </c>
      <c r="M52" s="14"/>
    </row>
    <row r="53" spans="1:13" ht="13">
      <c r="A53" s="541">
        <f t="shared" si="1"/>
        <v>32</v>
      </c>
      <c r="B53" s="469" t="s">
        <v>1619</v>
      </c>
      <c r="C53" s="14"/>
      <c r="D53" s="14"/>
      <c r="E53" s="14"/>
      <c r="F53" s="14"/>
      <c r="G53" s="14"/>
      <c r="H53" s="469"/>
      <c r="I53" s="469" t="str">
        <f>"26-TaxRates, Line "&amp;'26-TaxRates'!A22&amp;""</f>
        <v>26-TaxRates, Line 16</v>
      </c>
      <c r="K53" s="232">
        <f>'26-TaxRates'!F22</f>
        <v>57891732.990000002</v>
      </c>
      <c r="M53" s="14"/>
    </row>
    <row r="54" spans="1:13" ht="13">
      <c r="A54" s="541">
        <f t="shared" si="1"/>
        <v>33</v>
      </c>
      <c r="B54" s="14" t="s">
        <v>1309</v>
      </c>
      <c r="C54" s="14"/>
      <c r="D54" s="14"/>
      <c r="E54" s="14"/>
      <c r="F54" s="14"/>
      <c r="G54" s="14"/>
      <c r="I54" s="15" t="str">
        <f>"Line "&amp;A52&amp;" - Line "&amp;A53&amp;""</f>
        <v>Line 31 - Line 32</v>
      </c>
      <c r="K54" s="7">
        <f>K52-K53</f>
        <v>69342845.00999999</v>
      </c>
      <c r="M54" s="14"/>
    </row>
    <row r="55" spans="1:13" ht="13">
      <c r="A55" s="541">
        <f t="shared" si="1"/>
        <v>34</v>
      </c>
      <c r="B55" s="13" t="s">
        <v>93</v>
      </c>
      <c r="I55" s="15" t="str">
        <f>"27-Allocators, Line "&amp;'27-Allocators'!A15&amp;""</f>
        <v>27-Allocators, Line 9</v>
      </c>
      <c r="K55" s="8">
        <f>'27-Allocators'!G15</f>
        <v>6.5680595610890333E-2</v>
      </c>
      <c r="M55" s="14"/>
    </row>
    <row r="56" spans="1:13" ht="13">
      <c r="A56" s="541">
        <f t="shared" si="1"/>
        <v>35</v>
      </c>
      <c r="B56" s="50" t="s">
        <v>252</v>
      </c>
      <c r="I56" s="15" t="str">
        <f>"Line "&amp;A54&amp;" * Line "&amp;A55&amp;""</f>
        <v>Line 33 * Line 34</v>
      </c>
      <c r="K56" s="7">
        <f>K54*K55</f>
        <v>4554479.3616104536</v>
      </c>
      <c r="M56" s="14"/>
    </row>
    <row r="57" spans="1:13" ht="13">
      <c r="A57" s="2"/>
      <c r="K57" s="7"/>
      <c r="M57" s="14"/>
    </row>
    <row r="58" spans="1:13" ht="13">
      <c r="A58" s="2">
        <f>A56+1</f>
        <v>36</v>
      </c>
      <c r="B58" s="12" t="s">
        <v>79</v>
      </c>
      <c r="H58" s="467" t="s">
        <v>359</v>
      </c>
      <c r="I58" s="12" t="str">
        <f>"Line "&amp;A41&amp;" + Line "&amp;A56&amp;""</f>
        <v>Line 21 + Line 35</v>
      </c>
      <c r="K58" s="7">
        <f>K41+K56</f>
        <v>66056888.527829707</v>
      </c>
      <c r="M58" s="14"/>
    </row>
    <row r="59" spans="1:13">
      <c r="M59" s="14"/>
    </row>
    <row r="60" spans="1:13" ht="13">
      <c r="A60" s="10" t="s">
        <v>177</v>
      </c>
      <c r="B60" s="11"/>
      <c r="C60" s="11"/>
      <c r="D60" s="11"/>
      <c r="E60" s="11"/>
      <c r="F60" s="11"/>
      <c r="G60" s="11"/>
      <c r="H60" s="9"/>
      <c r="I60" s="9"/>
      <c r="J60" s="9"/>
      <c r="K60" s="9"/>
      <c r="M60" s="14"/>
    </row>
    <row r="61" spans="1:13" ht="13">
      <c r="A61" s="44"/>
      <c r="B61" s="15"/>
      <c r="C61" s="15"/>
      <c r="D61" s="15"/>
      <c r="E61" s="15"/>
      <c r="F61" s="15"/>
      <c r="G61" s="15"/>
      <c r="H61" s="15"/>
      <c r="I61" s="15"/>
      <c r="J61" s="15"/>
      <c r="K61" s="15"/>
      <c r="M61" s="14"/>
    </row>
    <row r="62" spans="1:13">
      <c r="A62" s="106"/>
      <c r="B62" s="45" t="s">
        <v>26</v>
      </c>
      <c r="C62" s="15"/>
      <c r="D62" s="15"/>
      <c r="E62" s="15"/>
      <c r="F62" s="15"/>
      <c r="G62" s="15"/>
      <c r="H62" s="15"/>
      <c r="I62" s="15"/>
      <c r="J62" s="15"/>
      <c r="K62" s="15"/>
      <c r="M62" s="14"/>
    </row>
    <row r="63" spans="1:13" ht="13">
      <c r="A63" s="110">
        <f>A58+1</f>
        <v>37</v>
      </c>
      <c r="B63" s="15" t="s">
        <v>209</v>
      </c>
      <c r="C63" s="15"/>
      <c r="D63" s="15"/>
      <c r="E63" s="15"/>
      <c r="F63" s="15"/>
      <c r="G63" s="15"/>
      <c r="H63" s="15"/>
      <c r="I63" s="15" t="str">
        <f>"5-ROR-1, Line "&amp;'5-ROR-1'!A12&amp;""</f>
        <v>5-ROR-1, Line 4</v>
      </c>
      <c r="J63" s="15"/>
      <c r="K63" s="47">
        <f>'5-ROR-1'!L12</f>
        <v>14367696054.361542</v>
      </c>
      <c r="M63" s="14"/>
    </row>
    <row r="64" spans="1:13" ht="13">
      <c r="A64" s="2">
        <f>A63+1</f>
        <v>38</v>
      </c>
      <c r="B64" s="15" t="s">
        <v>253</v>
      </c>
      <c r="C64" s="15"/>
      <c r="D64" s="15"/>
      <c r="E64" s="15"/>
      <c r="F64" s="15"/>
      <c r="G64" s="15"/>
      <c r="H64" s="15"/>
      <c r="I64" s="15" t="str">
        <f>"5-ROR-1, Line "&amp;'5-ROR-1'!A21&amp;""</f>
        <v>5-ROR-1, Line 11</v>
      </c>
      <c r="J64" s="469"/>
      <c r="K64" s="47">
        <f>'5-ROR-1'!L21</f>
        <v>655538361</v>
      </c>
      <c r="M64" s="14"/>
    </row>
    <row r="65" spans="1:13" ht="13">
      <c r="A65" s="2">
        <f>A64+1</f>
        <v>39</v>
      </c>
      <c r="B65" s="15" t="s">
        <v>254</v>
      </c>
      <c r="C65" s="15"/>
      <c r="D65" s="15"/>
      <c r="E65" s="15"/>
      <c r="F65" s="15"/>
      <c r="G65" s="15"/>
      <c r="I65" s="15" t="str">
        <f>"5-ROR-1, Line "&amp;'5-ROR-1'!A23&amp;""</f>
        <v>5-ROR-1, Line 12</v>
      </c>
      <c r="J65" s="15"/>
      <c r="K65" s="48">
        <f>'5-ROR-1'!L23</f>
        <v>4.5625851112085641E-2</v>
      </c>
      <c r="M65" s="14"/>
    </row>
    <row r="66" spans="1:13" ht="13">
      <c r="A66" s="110"/>
      <c r="B66" s="15"/>
      <c r="C66" s="15"/>
      <c r="D66" s="15"/>
      <c r="E66" s="15"/>
      <c r="F66" s="15"/>
      <c r="G66" s="15"/>
      <c r="I66" s="15"/>
      <c r="J66" s="15"/>
      <c r="K66" s="48"/>
      <c r="M66" s="14"/>
    </row>
    <row r="67" spans="1:13" ht="13">
      <c r="A67" s="110"/>
      <c r="B67" s="45" t="s">
        <v>27</v>
      </c>
      <c r="C67" s="15"/>
      <c r="D67" s="15"/>
      <c r="E67" s="15"/>
      <c r="F67" s="15"/>
      <c r="G67" s="15"/>
      <c r="H67" s="15"/>
      <c r="I67" s="15"/>
      <c r="J67" s="15"/>
      <c r="K67" s="15"/>
      <c r="M67" s="14"/>
    </row>
    <row r="68" spans="1:13" ht="13">
      <c r="A68" s="110">
        <f>A65+1</f>
        <v>40</v>
      </c>
      <c r="B68" s="469" t="s">
        <v>47</v>
      </c>
      <c r="C68" s="15"/>
      <c r="D68" s="15"/>
      <c r="E68" s="15"/>
      <c r="F68" s="15"/>
      <c r="G68" s="15"/>
      <c r="H68" s="15"/>
      <c r="I68" s="15" t="str">
        <f>"5-ROR-1, Line "&amp;'5-ROR-1'!A29&amp;""</f>
        <v>5-ROR-1, Line 16</v>
      </c>
      <c r="J68" s="469"/>
      <c r="K68" s="47">
        <f>'5-ROR-1'!L29</f>
        <v>2192067551.2041321</v>
      </c>
      <c r="M68" s="14"/>
    </row>
    <row r="69" spans="1:13" ht="13">
      <c r="A69" s="2">
        <f>A68+1</f>
        <v>41</v>
      </c>
      <c r="B69" s="469" t="s">
        <v>25</v>
      </c>
      <c r="C69" s="15"/>
      <c r="D69" s="15"/>
      <c r="E69" s="15"/>
      <c r="F69" s="15"/>
      <c r="G69" s="15"/>
      <c r="H69" s="15"/>
      <c r="I69" s="15" t="str">
        <f>"5-ROR-1, Line "&amp;'5-ROR-1'!A35&amp;""</f>
        <v>5-ROR-1, Line 20</v>
      </c>
      <c r="J69" s="469"/>
      <c r="K69" s="47">
        <f>'5-ROR-1'!L35</f>
        <v>125382686.05206428</v>
      </c>
      <c r="M69" s="14"/>
    </row>
    <row r="70" spans="1:13" ht="13">
      <c r="A70" s="2">
        <f>A69+1</f>
        <v>42</v>
      </c>
      <c r="B70" s="469" t="s">
        <v>43</v>
      </c>
      <c r="C70" s="15"/>
      <c r="D70" s="15"/>
      <c r="E70" s="15"/>
      <c r="F70" s="15"/>
      <c r="G70" s="15"/>
      <c r="I70" s="15" t="str">
        <f>"5-ROR-1, Line "&amp;'5-ROR-1'!A37&amp;""</f>
        <v>5-ROR-1, Line 21</v>
      </c>
      <c r="J70" s="469"/>
      <c r="K70" s="48">
        <f>'5-ROR-1'!L37</f>
        <v>5.719836780722834E-2</v>
      </c>
      <c r="M70" s="14"/>
    </row>
    <row r="71" spans="1:13" ht="13">
      <c r="A71" s="110"/>
      <c r="B71" s="15"/>
      <c r="C71" s="15"/>
      <c r="D71" s="15"/>
      <c r="E71" s="15"/>
      <c r="F71" s="15"/>
      <c r="G71" s="15"/>
      <c r="I71" s="15"/>
      <c r="J71" s="15"/>
      <c r="K71" s="48"/>
      <c r="M71" s="14"/>
    </row>
    <row r="72" spans="1:13" ht="13">
      <c r="A72" s="110"/>
      <c r="B72" s="45" t="s">
        <v>28</v>
      </c>
      <c r="C72" s="15"/>
      <c r="D72" s="15"/>
      <c r="E72" s="15"/>
      <c r="F72" s="15"/>
      <c r="G72" s="15"/>
      <c r="H72" s="15"/>
      <c r="I72" s="15"/>
      <c r="J72" s="15"/>
      <c r="K72" s="15"/>
      <c r="M72" s="14"/>
    </row>
    <row r="73" spans="1:13" ht="13">
      <c r="A73" s="110">
        <f>A70+1</f>
        <v>43</v>
      </c>
      <c r="B73" s="15" t="s">
        <v>44</v>
      </c>
      <c r="C73" s="15"/>
      <c r="D73" s="15"/>
      <c r="E73" s="15"/>
      <c r="F73" s="15"/>
      <c r="G73" s="15"/>
      <c r="H73" s="15"/>
      <c r="I73" s="15" t="str">
        <f>"5-ROR-1, Line "&amp;'5-ROR-1'!A45&amp;""</f>
        <v>5-ROR-1, Line 27</v>
      </c>
      <c r="J73" s="469"/>
      <c r="K73" s="47">
        <f>'5-ROR-1'!L45</f>
        <v>13448514639.555696</v>
      </c>
      <c r="M73" s="14"/>
    </row>
    <row r="74" spans="1:13" ht="13">
      <c r="A74" s="110"/>
      <c r="B74" s="15"/>
      <c r="C74" s="15"/>
      <c r="D74" s="15"/>
      <c r="E74" s="15"/>
      <c r="F74" s="15"/>
      <c r="G74" s="15"/>
      <c r="H74" s="15"/>
      <c r="I74" s="64"/>
      <c r="J74" s="15"/>
      <c r="K74" s="15"/>
      <c r="M74" s="14"/>
    </row>
    <row r="75" spans="1:13" ht="13">
      <c r="A75" s="2">
        <f>A73+1</f>
        <v>44</v>
      </c>
      <c r="B75" s="15" t="s">
        <v>46</v>
      </c>
      <c r="C75" s="15"/>
      <c r="D75" s="15"/>
      <c r="E75" s="15"/>
      <c r="F75" s="15"/>
      <c r="G75" s="15"/>
      <c r="H75" s="15"/>
      <c r="I75" s="12" t="str">
        <f>"Line "&amp;A63&amp;" + Line "&amp;A68&amp;" + Line "&amp;A73&amp;""</f>
        <v>Line 37 + Line 40 + Line 43</v>
      </c>
      <c r="J75" s="15"/>
      <c r="K75" s="47">
        <f>K63+K68+K73</f>
        <v>30008278245.121368</v>
      </c>
      <c r="M75" s="14"/>
    </row>
    <row r="76" spans="1:13" s="972" customFormat="1" ht="13">
      <c r="A76" s="553"/>
      <c r="B76" s="15"/>
      <c r="C76" s="15"/>
      <c r="D76" s="15"/>
      <c r="E76" s="15"/>
      <c r="F76" s="15"/>
      <c r="G76" s="15"/>
      <c r="H76" s="15"/>
      <c r="I76" s="12"/>
      <c r="J76" s="15"/>
      <c r="K76" s="47"/>
      <c r="M76" s="14"/>
    </row>
    <row r="77" spans="1:13" s="14" customFormat="1" ht="13">
      <c r="A77" s="110" t="s">
        <v>2536</v>
      </c>
      <c r="B77" s="469" t="s">
        <v>2482</v>
      </c>
      <c r="C77" s="15"/>
      <c r="D77" s="15"/>
      <c r="E77" s="15"/>
      <c r="F77" s="15"/>
      <c r="G77" s="15"/>
      <c r="H77" s="15"/>
      <c r="I77" s="15"/>
      <c r="J77" s="15"/>
      <c r="K77" s="1276">
        <v>0.47499999999999998</v>
      </c>
    </row>
    <row r="78" spans="1:13" ht="13">
      <c r="A78" s="110"/>
      <c r="B78" s="46"/>
      <c r="C78" s="15"/>
      <c r="D78" s="15"/>
      <c r="E78" s="15"/>
      <c r="F78" s="15"/>
      <c r="G78" s="15"/>
      <c r="I78" s="15"/>
      <c r="J78" s="15"/>
      <c r="K78" s="47"/>
      <c r="M78" s="14"/>
    </row>
    <row r="79" spans="1:13" ht="13">
      <c r="A79" s="110"/>
      <c r="B79" s="45" t="s">
        <v>48</v>
      </c>
      <c r="C79" s="15"/>
      <c r="D79" s="15"/>
      <c r="E79" s="15"/>
      <c r="F79" s="15"/>
      <c r="G79" s="15"/>
      <c r="H79" s="15"/>
      <c r="I79" s="15"/>
      <c r="J79" s="15"/>
      <c r="K79" s="15"/>
      <c r="M79" s="14"/>
    </row>
    <row r="80" spans="1:13" ht="13">
      <c r="A80" s="110">
        <f>A75+1</f>
        <v>45</v>
      </c>
      <c r="B80" s="15" t="s">
        <v>255</v>
      </c>
      <c r="C80" s="15"/>
      <c r="D80" s="15"/>
      <c r="E80" s="15"/>
      <c r="F80" s="15"/>
      <c r="G80" s="15"/>
      <c r="H80" s="15"/>
      <c r="I80" s="15" t="str">
        <f>"100% - (Line "&amp;A81&amp;" + Line "&amp;A82&amp;")"</f>
        <v>100% - (Line 46 + Line 47)</v>
      </c>
      <c r="J80" s="15"/>
      <c r="K80" s="48">
        <f>1-(K81+K82)</f>
        <v>0.45195123881155996</v>
      </c>
      <c r="M80" s="14"/>
    </row>
    <row r="81" spans="1:13" ht="13">
      <c r="A81" s="110">
        <f>A80+1</f>
        <v>46</v>
      </c>
      <c r="B81" s="469" t="s">
        <v>256</v>
      </c>
      <c r="C81" s="15"/>
      <c r="D81" s="15"/>
      <c r="E81" s="15"/>
      <c r="F81" s="15"/>
      <c r="G81" s="15"/>
      <c r="H81" s="15"/>
      <c r="I81" s="15" t="str">
        <f>"Line "&amp;A68&amp;" / Line "&amp;A75&amp;""</f>
        <v>Line 40 / Line 44</v>
      </c>
      <c r="J81" s="15"/>
      <c r="K81" s="48">
        <f>K68/K75</f>
        <v>7.3048761188440059E-2</v>
      </c>
      <c r="M81" s="14"/>
    </row>
    <row r="82" spans="1:13" ht="13">
      <c r="A82" s="110">
        <f>A81+1</f>
        <v>47</v>
      </c>
      <c r="B82" s="15" t="s">
        <v>49</v>
      </c>
      <c r="C82" s="15"/>
      <c r="D82" s="15"/>
      <c r="E82" s="15"/>
      <c r="F82" s="15"/>
      <c r="G82" s="15"/>
      <c r="H82" s="15"/>
      <c r="I82" s="15" t="str">
        <f>"Max Line "&amp;A77&amp;" or (Line "&amp;A73&amp;" / Line "&amp;A75&amp;")"</f>
        <v>Max Line 44a or (Line 43 / Line 44)</v>
      </c>
      <c r="J82" s="15"/>
      <c r="K82" s="49">
        <f>MAX((K73/K75),K77)</f>
        <v>0.47499999999999998</v>
      </c>
      <c r="M82" s="14"/>
    </row>
    <row r="83" spans="1:13" ht="13">
      <c r="A83" s="110"/>
      <c r="B83" s="15"/>
      <c r="C83" s="15"/>
      <c r="D83" s="15"/>
      <c r="E83" s="15"/>
      <c r="F83" s="15"/>
      <c r="G83" s="15"/>
      <c r="H83" s="15"/>
      <c r="I83" s="15" t="str">
        <f>"Line "&amp;A80&amp;" + Line "&amp;A81&amp;"+ Line "&amp;A82&amp;""</f>
        <v>Line 45 + Line 46+ Line 47</v>
      </c>
      <c r="J83" s="15"/>
      <c r="K83" s="48">
        <f>SUM(K80:K82)</f>
        <v>1</v>
      </c>
      <c r="M83" s="14"/>
    </row>
    <row r="84" spans="1:13" ht="13">
      <c r="A84" s="110"/>
      <c r="B84" s="45" t="s">
        <v>220</v>
      </c>
      <c r="C84" s="15"/>
      <c r="D84" s="15"/>
      <c r="E84" s="15"/>
      <c r="F84" s="15"/>
      <c r="G84" s="15"/>
      <c r="H84" s="15"/>
      <c r="I84" s="15"/>
      <c r="J84" s="15"/>
      <c r="K84" s="48"/>
      <c r="M84" s="14"/>
    </row>
    <row r="85" spans="1:13" ht="13">
      <c r="A85" s="110">
        <f>A82+1</f>
        <v>48</v>
      </c>
      <c r="B85" s="15" t="s">
        <v>254</v>
      </c>
      <c r="C85" s="15"/>
      <c r="D85" s="15"/>
      <c r="E85" s="15"/>
      <c r="F85" s="15"/>
      <c r="G85" s="15"/>
      <c r="I85" s="12" t="str">
        <f>"Line "&amp;A65&amp;""</f>
        <v>Line 39</v>
      </c>
      <c r="J85" s="15"/>
      <c r="K85" s="48">
        <f>K65</f>
        <v>4.5625851112085641E-2</v>
      </c>
      <c r="M85" s="14"/>
    </row>
    <row r="86" spans="1:13" ht="13">
      <c r="A86" s="110">
        <f>A85+1</f>
        <v>49</v>
      </c>
      <c r="B86" s="469" t="s">
        <v>43</v>
      </c>
      <c r="C86" s="15"/>
      <c r="D86" s="15"/>
      <c r="E86" s="15"/>
      <c r="F86" s="15"/>
      <c r="G86" s="15"/>
      <c r="I86" s="12" t="str">
        <f>"Line "&amp;A70&amp;""</f>
        <v>Line 42</v>
      </c>
      <c r="J86" s="15"/>
      <c r="K86" s="48">
        <f>K70</f>
        <v>5.719836780722834E-2</v>
      </c>
      <c r="M86" s="14"/>
    </row>
    <row r="87" spans="1:13" ht="13">
      <c r="A87" s="110">
        <f>A86+1</f>
        <v>50</v>
      </c>
      <c r="B87" s="469" t="s">
        <v>1711</v>
      </c>
      <c r="C87" s="15"/>
      <c r="D87" s="15"/>
      <c r="E87" s="15"/>
      <c r="F87" s="15"/>
      <c r="G87" s="15"/>
      <c r="H87" s="467" t="s">
        <v>360</v>
      </c>
      <c r="I87" s="15" t="s">
        <v>213</v>
      </c>
      <c r="J87" s="15"/>
      <c r="K87" s="1277">
        <v>0.10299999999999999</v>
      </c>
      <c r="M87" s="14"/>
    </row>
    <row r="88" spans="1:13" ht="13">
      <c r="A88" s="110"/>
      <c r="B88" s="15"/>
      <c r="C88" s="15"/>
      <c r="D88" s="15"/>
      <c r="E88" s="15"/>
      <c r="F88" s="15"/>
      <c r="G88" s="15"/>
      <c r="I88" s="69"/>
      <c r="J88" s="15"/>
      <c r="K88" s="48"/>
      <c r="M88" s="14"/>
    </row>
    <row r="89" spans="1:13" ht="13">
      <c r="A89" s="110"/>
      <c r="B89" s="45" t="s">
        <v>259</v>
      </c>
      <c r="C89" s="15"/>
      <c r="D89" s="15"/>
      <c r="E89" s="15"/>
      <c r="F89" s="15"/>
      <c r="G89" s="15"/>
      <c r="H89" s="15"/>
      <c r="I89" s="15"/>
      <c r="J89" s="15"/>
      <c r="K89" s="15"/>
      <c r="M89" s="14"/>
    </row>
    <row r="90" spans="1:13" ht="13">
      <c r="A90" s="110">
        <f>A87+1</f>
        <v>51</v>
      </c>
      <c r="B90" s="15" t="s">
        <v>50</v>
      </c>
      <c r="C90" s="15"/>
      <c r="D90" s="15"/>
      <c r="E90" s="15"/>
      <c r="F90" s="15"/>
      <c r="G90" s="15"/>
      <c r="I90" s="15" t="str">
        <f>"Line "&amp;A65&amp;" * Line "&amp;A80&amp;""</f>
        <v>Line 39 * Line 45</v>
      </c>
      <c r="J90" s="15"/>
      <c r="K90" s="48">
        <f>K65*K80</f>
        <v>2.0620659931938897E-2</v>
      </c>
      <c r="M90" s="14"/>
    </row>
    <row r="91" spans="1:13" ht="13">
      <c r="A91" s="110">
        <f>A90+1</f>
        <v>52</v>
      </c>
      <c r="B91" s="469" t="s">
        <v>51</v>
      </c>
      <c r="C91" s="15"/>
      <c r="D91" s="15"/>
      <c r="E91" s="15"/>
      <c r="F91" s="15"/>
      <c r="G91" s="15"/>
      <c r="I91" s="15" t="str">
        <f>"Line "&amp;A70&amp;" * Line "&amp;A81&amp;""</f>
        <v>Line 42 * Line 46</v>
      </c>
      <c r="J91" s="15"/>
      <c r="K91" s="48">
        <f>K70*K81</f>
        <v>4.1782699103187805E-3</v>
      </c>
      <c r="M91" s="14"/>
    </row>
    <row r="92" spans="1:13" ht="13">
      <c r="A92" s="110">
        <f>A91+1</f>
        <v>53</v>
      </c>
      <c r="B92" s="15" t="s">
        <v>52</v>
      </c>
      <c r="C92" s="15"/>
      <c r="D92" s="15"/>
      <c r="E92" s="15"/>
      <c r="F92" s="15"/>
      <c r="G92" s="15"/>
      <c r="I92" s="15" t="str">
        <f>"Line "&amp;A82&amp;" * Line "&amp;A87&amp;""</f>
        <v>Line 47 * Line 50</v>
      </c>
      <c r="J92" s="15"/>
      <c r="K92" s="49">
        <f>K82*K87</f>
        <v>4.8924999999999996E-2</v>
      </c>
      <c r="M92" s="14"/>
    </row>
    <row r="93" spans="1:13" ht="13">
      <c r="A93" s="110">
        <f>A92+1</f>
        <v>54</v>
      </c>
      <c r="B93" s="46" t="s">
        <v>53</v>
      </c>
      <c r="C93" s="15"/>
      <c r="D93" s="15"/>
      <c r="E93" s="15"/>
      <c r="F93" s="15"/>
      <c r="G93" s="15"/>
      <c r="H93" s="14"/>
      <c r="I93" s="15" t="str">
        <f>"Line "&amp;A90&amp;" + Line "&amp;A91&amp;" + Line "&amp;A92&amp;""</f>
        <v>Line 51 + Line 52 + Line 53</v>
      </c>
      <c r="J93" s="15"/>
      <c r="K93" s="393">
        <f>SUM(K90:K92)</f>
        <v>7.3723929842257674E-2</v>
      </c>
      <c r="M93" s="14"/>
    </row>
    <row r="94" spans="1:13" ht="13">
      <c r="A94" s="110"/>
      <c r="B94" s="46"/>
      <c r="C94" s="15"/>
      <c r="D94" s="15"/>
      <c r="E94" s="15"/>
      <c r="F94" s="15"/>
      <c r="G94" s="15"/>
      <c r="I94" s="15"/>
      <c r="J94" s="15"/>
      <c r="K94" s="1108"/>
      <c r="M94" s="14"/>
    </row>
    <row r="95" spans="1:13" ht="13">
      <c r="A95" s="110">
        <f>A93+1</f>
        <v>55</v>
      </c>
      <c r="B95" s="848" t="s">
        <v>1712</v>
      </c>
      <c r="C95" s="15"/>
      <c r="D95" s="15"/>
      <c r="E95" s="15"/>
      <c r="F95" s="15"/>
      <c r="G95" s="15"/>
      <c r="H95" s="15" t="s">
        <v>215</v>
      </c>
      <c r="I95" s="15" t="str">
        <f>"Line "&amp;A91&amp;" + Line "&amp;A92&amp;""</f>
        <v>Line 52 + Line 53</v>
      </c>
      <c r="J95" s="15"/>
      <c r="K95" s="393">
        <f>K91+K92</f>
        <v>5.3103269910318773E-2</v>
      </c>
      <c r="M95" s="14"/>
    </row>
    <row r="96" spans="1:13" ht="13">
      <c r="A96" s="110"/>
      <c r="B96" s="15"/>
      <c r="C96" s="15"/>
      <c r="D96" s="15"/>
      <c r="E96" s="15"/>
      <c r="F96" s="15"/>
      <c r="G96" s="15"/>
      <c r="I96" s="15"/>
      <c r="J96" s="15"/>
      <c r="K96" s="1108"/>
      <c r="M96" s="14"/>
    </row>
    <row r="97" spans="1:13" ht="13">
      <c r="A97" s="110">
        <f>A95+1</f>
        <v>56</v>
      </c>
      <c r="B97" s="15" t="s">
        <v>54</v>
      </c>
      <c r="C97" s="15"/>
      <c r="D97" s="15"/>
      <c r="E97" s="15"/>
      <c r="F97" s="15"/>
      <c r="G97" s="15"/>
      <c r="I97" s="15" t="str">
        <f>"Line "&amp;A34&amp;" * Line "&amp;A93&amp;""</f>
        <v>Line 18 * Line 54</v>
      </c>
      <c r="J97" s="15"/>
      <c r="K97" s="47">
        <f>K34*K93</f>
        <v>473883456.19603324</v>
      </c>
      <c r="M97" s="14"/>
    </row>
    <row r="98" spans="1:13">
      <c r="A98" s="106"/>
      <c r="B98" s="12"/>
      <c r="C98" s="12"/>
      <c r="D98" s="12"/>
      <c r="E98" s="12"/>
      <c r="F98" s="12"/>
      <c r="G98" s="12"/>
      <c r="H98" s="12"/>
      <c r="I98" s="12"/>
      <c r="J98" s="12"/>
      <c r="K98" s="12"/>
      <c r="M98" s="14"/>
    </row>
    <row r="99" spans="1:13">
      <c r="A99" s="15"/>
      <c r="B99" s="12"/>
      <c r="C99" s="12"/>
      <c r="D99" s="12"/>
      <c r="E99" s="12"/>
      <c r="F99" s="12"/>
      <c r="G99" s="12"/>
      <c r="H99" s="12"/>
      <c r="I99" s="12"/>
      <c r="J99" s="12"/>
      <c r="K99" s="12"/>
      <c r="M99" s="14"/>
    </row>
    <row r="100" spans="1:13" ht="13">
      <c r="A100" s="1269" t="s">
        <v>178</v>
      </c>
      <c r="B100" s="11"/>
      <c r="C100" s="11"/>
      <c r="D100" s="11"/>
      <c r="E100" s="11"/>
      <c r="F100" s="11"/>
      <c r="G100" s="11"/>
      <c r="H100" s="9"/>
      <c r="I100" s="9"/>
      <c r="J100" s="9"/>
      <c r="K100" s="9"/>
      <c r="M100" s="14"/>
    </row>
    <row r="101" spans="1:13">
      <c r="A101" s="14"/>
      <c r="M101" s="14"/>
    </row>
    <row r="102" spans="1:13" ht="13">
      <c r="A102" s="110">
        <f>A97+1</f>
        <v>57</v>
      </c>
      <c r="B102" t="s">
        <v>214</v>
      </c>
      <c r="I102" s="14" t="str">
        <f>"26-Tax Rates, Line "&amp;'26-TaxRates'!A7&amp;""</f>
        <v>26-Tax Rates, Line 1</v>
      </c>
      <c r="K102" s="67">
        <f>'26-TaxRates'!D7</f>
        <v>0.21</v>
      </c>
      <c r="M102" s="14"/>
    </row>
    <row r="103" spans="1:13" ht="13">
      <c r="A103" s="110">
        <f>A102+1</f>
        <v>58</v>
      </c>
      <c r="B103" s="12" t="s">
        <v>258</v>
      </c>
      <c r="I103" s="14" t="str">
        <f>"26-Tax Rates, Line "&amp;'26-TaxRates'!A14&amp;""</f>
        <v>26-Tax Rates, Line 8</v>
      </c>
      <c r="K103" s="67">
        <f>'26-TaxRates'!D14</f>
        <v>8.8400000000000006E-2</v>
      </c>
      <c r="M103" s="14"/>
    </row>
    <row r="104" spans="1:13" ht="13">
      <c r="A104" s="110">
        <f>A103+1</f>
        <v>59</v>
      </c>
      <c r="B104" s="12" t="s">
        <v>257</v>
      </c>
      <c r="H104" s="52" t="s">
        <v>1632</v>
      </c>
      <c r="I104" s="12" t="str">
        <f>"(L"&amp;A102&amp;" + L"&amp;A103&amp;") - (L"&amp;A102&amp;" * L"&amp;A103&amp;")"</f>
        <v>(L57 + L58) - (L57 * L58)</v>
      </c>
      <c r="K104" s="8">
        <f>(K102+K103)-(K102*K103)</f>
        <v>0.27983599999999997</v>
      </c>
      <c r="M104" s="14"/>
    </row>
    <row r="105" spans="1:13" ht="13">
      <c r="A105" s="110"/>
      <c r="K105" s="8"/>
      <c r="M105" s="14"/>
    </row>
    <row r="106" spans="1:13" ht="13">
      <c r="A106" s="110"/>
      <c r="B106" s="75" t="s">
        <v>260</v>
      </c>
      <c r="K106" s="8"/>
      <c r="M106" s="14"/>
    </row>
    <row r="107" spans="1:13" ht="13">
      <c r="A107" s="110">
        <f>A104+1</f>
        <v>60</v>
      </c>
      <c r="B107" s="537" t="s">
        <v>2768</v>
      </c>
      <c r="C107" s="14"/>
      <c r="D107" s="14"/>
      <c r="E107" s="14"/>
      <c r="F107" s="14"/>
      <c r="G107" s="14"/>
      <c r="H107" s="467"/>
      <c r="I107" s="465" t="s">
        <v>2915</v>
      </c>
      <c r="K107" s="63">
        <f>-'9-ADIT-2'!I49</f>
        <v>-29467842</v>
      </c>
      <c r="M107" s="14"/>
    </row>
    <row r="108" spans="1:13" ht="13">
      <c r="A108" s="110">
        <f>A107+1</f>
        <v>61</v>
      </c>
      <c r="B108" s="537" t="s">
        <v>1808</v>
      </c>
      <c r="C108" s="14"/>
      <c r="D108" s="14"/>
      <c r="E108" s="14"/>
      <c r="F108" s="14"/>
      <c r="G108" s="14"/>
      <c r="H108" s="467" t="s">
        <v>1153</v>
      </c>
      <c r="I108" s="14"/>
      <c r="K108" s="995">
        <v>-183000</v>
      </c>
      <c r="M108" s="14"/>
    </row>
    <row r="109" spans="1:13" ht="13">
      <c r="A109" s="110">
        <f t="shared" ref="A109:A110" si="2">A108+1</f>
        <v>62</v>
      </c>
      <c r="B109" s="537" t="s">
        <v>1809</v>
      </c>
      <c r="C109" s="14"/>
      <c r="D109" s="14"/>
      <c r="E109" s="14"/>
      <c r="F109" s="14"/>
      <c r="G109" s="14"/>
      <c r="H109" s="467" t="s">
        <v>1153</v>
      </c>
      <c r="I109" s="14"/>
      <c r="K109" s="111">
        <v>2606000</v>
      </c>
      <c r="M109" s="14"/>
    </row>
    <row r="110" spans="1:13" ht="13">
      <c r="A110" s="110">
        <f t="shared" si="2"/>
        <v>63</v>
      </c>
      <c r="B110" s="13" t="s">
        <v>261</v>
      </c>
      <c r="I110" s="467" t="str">
        <f>"Line "&amp;A107&amp;" + Line "&amp;A108&amp;"+ Line "&amp;A109&amp;""</f>
        <v>Line 60 + Line 61+ Line 62</v>
      </c>
      <c r="K110" s="63">
        <f>SUM(K107:K109)</f>
        <v>-27044842</v>
      </c>
      <c r="M110" s="14"/>
    </row>
    <row r="111" spans="1:13" ht="13">
      <c r="A111" s="1138"/>
      <c r="M111" s="14"/>
    </row>
    <row r="112" spans="1:13" ht="13">
      <c r="A112" s="110">
        <f>A110+1</f>
        <v>64</v>
      </c>
      <c r="B112" s="12" t="s">
        <v>262</v>
      </c>
      <c r="I112" t="str">
        <f>"Formula on Line "&amp;A114&amp;""</f>
        <v>Formula on Line 65</v>
      </c>
      <c r="K112" s="63">
        <f>(((K34*K95) + K121)*(K104/(1-K104)))+(K110/(1-K104))</f>
        <v>96602861.953460634</v>
      </c>
      <c r="M112" s="14"/>
    </row>
    <row r="113" spans="1:13" ht="13">
      <c r="A113" s="110"/>
      <c r="M113" s="14"/>
    </row>
    <row r="114" spans="1:13" ht="13">
      <c r="A114" s="110">
        <f>A112+1</f>
        <v>65</v>
      </c>
      <c r="B114" s="469" t="s">
        <v>2147</v>
      </c>
      <c r="C114" s="469"/>
      <c r="D114" s="469"/>
      <c r="E114" s="469"/>
      <c r="F114" s="469"/>
      <c r="G114" s="469"/>
      <c r="M114" s="14"/>
    </row>
    <row r="115" spans="1:13">
      <c r="A115" s="845"/>
      <c r="I115" s="12"/>
      <c r="M115" s="14"/>
    </row>
    <row r="116" spans="1:13">
      <c r="A116" s="845"/>
      <c r="C116" t="s">
        <v>216</v>
      </c>
      <c r="M116" s="14"/>
    </row>
    <row r="117" spans="1:13">
      <c r="A117" s="845"/>
      <c r="C117" s="113" t="s">
        <v>217</v>
      </c>
      <c r="D117" s="14"/>
      <c r="E117" s="14"/>
      <c r="F117" s="14"/>
      <c r="G117" s="14"/>
      <c r="H117" s="14"/>
      <c r="I117" s="15" t="str">
        <f>"Line "&amp;A34&amp;""</f>
        <v>Line 18</v>
      </c>
      <c r="M117" s="14"/>
    </row>
    <row r="118" spans="1:13">
      <c r="A118" s="845"/>
      <c r="C118" s="466" t="s">
        <v>1713</v>
      </c>
      <c r="D118" s="14"/>
      <c r="E118" s="14"/>
      <c r="F118" s="14"/>
      <c r="G118" s="14"/>
      <c r="H118" s="14"/>
      <c r="I118" s="15" t="str">
        <f>"Line "&amp;A95&amp;""</f>
        <v>Line 55</v>
      </c>
      <c r="M118" s="14"/>
    </row>
    <row r="119" spans="1:13">
      <c r="A119" s="845"/>
      <c r="C119" s="113" t="s">
        <v>218</v>
      </c>
      <c r="D119" s="14"/>
      <c r="E119" s="14"/>
      <c r="F119" s="14"/>
      <c r="G119" s="14"/>
      <c r="H119" s="14"/>
      <c r="I119" s="15" t="str">
        <f>"Line "&amp;A104&amp;""</f>
        <v>Line 59</v>
      </c>
      <c r="M119" s="14"/>
    </row>
    <row r="120" spans="1:13">
      <c r="A120" s="845"/>
      <c r="C120" s="113" t="s">
        <v>219</v>
      </c>
      <c r="D120" s="14"/>
      <c r="E120" s="14"/>
      <c r="F120" s="14"/>
      <c r="G120" s="14"/>
      <c r="H120" s="14"/>
      <c r="I120" s="15" t="str">
        <f>"Line "&amp;A110&amp;""</f>
        <v>Line 63</v>
      </c>
      <c r="M120" s="14"/>
    </row>
    <row r="121" spans="1:13">
      <c r="A121" s="845"/>
      <c r="C121" s="466" t="s">
        <v>1710</v>
      </c>
      <c r="D121" s="14"/>
      <c r="E121" s="14"/>
      <c r="F121" s="14"/>
      <c r="G121" s="14"/>
      <c r="H121" s="849" t="s">
        <v>2537</v>
      </c>
      <c r="I121" s="978" t="s">
        <v>2552</v>
      </c>
      <c r="K121" s="497">
        <v>3917123</v>
      </c>
      <c r="M121" s="14"/>
    </row>
    <row r="122" spans="1:13">
      <c r="A122" s="14"/>
      <c r="H122" s="37"/>
      <c r="M122" s="14"/>
    </row>
    <row r="123" spans="1:13" ht="13">
      <c r="A123" s="1269" t="s">
        <v>62</v>
      </c>
      <c r="B123" s="11"/>
      <c r="C123" s="11"/>
      <c r="D123" s="11"/>
      <c r="E123" s="11"/>
      <c r="F123" s="11"/>
      <c r="G123" s="11"/>
      <c r="H123" s="9"/>
      <c r="I123" s="9"/>
      <c r="J123" s="9"/>
      <c r="K123" s="9"/>
      <c r="M123" s="14"/>
    </row>
    <row r="124" spans="1:13">
      <c r="A124" s="14"/>
      <c r="M124" s="14"/>
    </row>
    <row r="125" spans="1:13">
      <c r="A125" s="14"/>
      <c r="B125" s="75" t="s">
        <v>263</v>
      </c>
      <c r="M125" s="14"/>
    </row>
    <row r="126" spans="1:13" ht="13">
      <c r="A126" s="110">
        <f>A114+1</f>
        <v>66</v>
      </c>
      <c r="B126" t="s">
        <v>101</v>
      </c>
      <c r="H126" s="16"/>
      <c r="I126" s="14" t="str">
        <f>"19-OandM, Line "&amp;'19-OandM'!A124&amp;", Col. 6"</f>
        <v>19-OandM, Line 91, Col. 6</v>
      </c>
      <c r="K126" s="63">
        <f>'19-OandM'!G124</f>
        <v>110879588.38578117</v>
      </c>
      <c r="M126" s="14"/>
    </row>
    <row r="127" spans="1:13" ht="13">
      <c r="A127" s="110">
        <f t="shared" ref="A127:A142" si="3">A126+1</f>
        <v>67</v>
      </c>
      <c r="B127" s="12" t="s">
        <v>264</v>
      </c>
      <c r="H127" s="16"/>
      <c r="I127" s="14" t="str">
        <f>"20-AandG, Line "&amp;'20-AandG'!A30&amp;""</f>
        <v>20-AandG, Line 23</v>
      </c>
      <c r="K127" s="63">
        <f>'20-AandG'!F30</f>
        <v>81772279.459677577</v>
      </c>
      <c r="M127" s="14"/>
    </row>
    <row r="128" spans="1:13" ht="13">
      <c r="A128" s="110">
        <f t="shared" si="3"/>
        <v>68</v>
      </c>
      <c r="B128" t="s">
        <v>56</v>
      </c>
      <c r="H128" s="16"/>
      <c r="I128" s="15" t="str">
        <f>"22-NUCs, Line "&amp;'22-NUCs'!A17&amp;""</f>
        <v>22-NUCs, Line 8</v>
      </c>
      <c r="K128" s="7">
        <f>'22-NUCs'!E17</f>
        <v>4075483.5901751588</v>
      </c>
      <c r="M128" s="14"/>
    </row>
    <row r="129" spans="1:13" ht="13">
      <c r="A129" s="110">
        <f t="shared" si="3"/>
        <v>69</v>
      </c>
      <c r="B129" s="12" t="s">
        <v>250</v>
      </c>
      <c r="H129" s="16"/>
      <c r="I129" s="14" t="str">
        <f>"17-Depreciation, Line "&amp;'17-Depreciation'!A94&amp;""</f>
        <v>17-Depreciation, Line 70</v>
      </c>
      <c r="K129" s="7">
        <f>'17-Depreciation'!F94</f>
        <v>255151988.45508885</v>
      </c>
      <c r="M129" s="14"/>
    </row>
    <row r="130" spans="1:13" ht="13">
      <c r="A130" s="110">
        <f t="shared" si="3"/>
        <v>70</v>
      </c>
      <c r="B130" s="12" t="s">
        <v>291</v>
      </c>
      <c r="H130" s="16"/>
      <c r="I130" s="14" t="str">
        <f>"12-AbandonedPlant, Line "&amp;'12-AbandonedPlant'!A18&amp;""</f>
        <v>12-AbandonedPlant, Line 1</v>
      </c>
      <c r="K130" s="7">
        <f>'12-AbandonedPlant'!G18</f>
        <v>0</v>
      </c>
      <c r="M130" s="14"/>
    </row>
    <row r="131" spans="1:13" ht="13">
      <c r="A131" s="110">
        <f t="shared" si="3"/>
        <v>71</v>
      </c>
      <c r="B131" s="12" t="s">
        <v>79</v>
      </c>
      <c r="H131" s="16"/>
      <c r="I131" s="14" t="str">
        <f>"Line "&amp;A58&amp;""</f>
        <v>Line 36</v>
      </c>
      <c r="K131" s="7">
        <f>K58</f>
        <v>66056888.527829707</v>
      </c>
      <c r="M131" s="14"/>
    </row>
    <row r="132" spans="1:13" ht="13">
      <c r="A132" s="110">
        <f t="shared" si="3"/>
        <v>72</v>
      </c>
      <c r="B132" t="s">
        <v>11</v>
      </c>
      <c r="H132" s="46" t="s">
        <v>151</v>
      </c>
      <c r="I132" s="14" t="str">
        <f>"21-Revenue Credits, Line "&amp;'21-RevenueCredits'!A236&amp;""</f>
        <v>21-Revenue Credits, Line 44</v>
      </c>
      <c r="K132" s="7">
        <f>-'21-RevenueCredits'!E236</f>
        <v>-54094032.244774804</v>
      </c>
      <c r="M132" s="14"/>
    </row>
    <row r="133" spans="1:13" ht="13">
      <c r="A133" s="110">
        <f t="shared" si="3"/>
        <v>73</v>
      </c>
      <c r="B133" t="s">
        <v>87</v>
      </c>
      <c r="H133" s="16"/>
      <c r="I133" s="14" t="str">
        <f>"Line "&amp;A97&amp;""</f>
        <v>Line 56</v>
      </c>
      <c r="K133" s="7">
        <f>K97</f>
        <v>473883456.19603324</v>
      </c>
      <c r="M133" s="14"/>
    </row>
    <row r="134" spans="1:13" ht="13">
      <c r="A134" s="110">
        <f t="shared" si="3"/>
        <v>74</v>
      </c>
      <c r="B134" t="s">
        <v>5</v>
      </c>
      <c r="H134" s="16"/>
      <c r="I134" s="14" t="str">
        <f>"Line "&amp;A112&amp;""</f>
        <v>Line 64</v>
      </c>
      <c r="K134" s="101">
        <f>K112</f>
        <v>96602861.953460634</v>
      </c>
      <c r="M134" s="14"/>
    </row>
    <row r="135" spans="1:13" ht="13">
      <c r="A135" s="110">
        <f t="shared" si="3"/>
        <v>75</v>
      </c>
      <c r="B135" t="s">
        <v>948</v>
      </c>
      <c r="H135" s="13" t="s">
        <v>1148</v>
      </c>
      <c r="I135" s="15" t="str">
        <f>"11-PHFU, Line "&amp;'11-PHFU'!A47&amp;""</f>
        <v>11-PHFU, Line 10</v>
      </c>
      <c r="K135" s="47">
        <f>-'11-PHFU'!E47</f>
        <v>0</v>
      </c>
      <c r="M135" s="14"/>
    </row>
    <row r="136" spans="1:13" ht="13">
      <c r="A136" s="110">
        <f t="shared" si="3"/>
        <v>76</v>
      </c>
      <c r="B136" s="569" t="s">
        <v>1699</v>
      </c>
      <c r="C136" s="674"/>
      <c r="D136" s="14"/>
      <c r="E136" s="14"/>
      <c r="H136" s="16"/>
      <c r="I136" s="15" t="str">
        <f>"23-RegAssets, Line "&amp;'23-RegAssets'!A19&amp;""</f>
        <v>23-RegAssets, Line 16</v>
      </c>
      <c r="K136" s="47">
        <f>'23-RegAssets'!E19</f>
        <v>0</v>
      </c>
      <c r="M136" s="14"/>
    </row>
    <row r="137" spans="1:13" ht="13">
      <c r="A137" s="110">
        <f t="shared" si="3"/>
        <v>77</v>
      </c>
      <c r="B137" s="12" t="s">
        <v>265</v>
      </c>
      <c r="H137" s="16"/>
      <c r="I137" s="14" t="str">
        <f>"15-IncentiveAdder, Line "&amp;'15-IncentiveAdder'!A44&amp;""</f>
        <v>15-IncentiveAdder, Line 14</v>
      </c>
      <c r="K137" s="474">
        <f>'15-IncentiveAdder'!G44</f>
        <v>26352647.066676423</v>
      </c>
      <c r="M137" s="14"/>
    </row>
    <row r="138" spans="1:13" s="972" customFormat="1" ht="13">
      <c r="A138" s="110" t="s">
        <v>2534</v>
      </c>
      <c r="B138" s="469" t="s">
        <v>2483</v>
      </c>
      <c r="C138" s="14"/>
      <c r="D138" s="14"/>
      <c r="E138" s="14"/>
      <c r="F138" s="14"/>
      <c r="G138" s="14"/>
      <c r="H138" s="466" t="s">
        <v>1170</v>
      </c>
      <c r="I138" s="469" t="s">
        <v>2535</v>
      </c>
      <c r="J138" s="14"/>
      <c r="K138" s="111">
        <f>-K137</f>
        <v>-26352647.066676423</v>
      </c>
      <c r="M138" s="14"/>
    </row>
    <row r="139" spans="1:13" ht="13">
      <c r="A139" s="110">
        <f>A137+1</f>
        <v>78</v>
      </c>
      <c r="B139" s="15" t="s">
        <v>1431</v>
      </c>
      <c r="C139" s="14"/>
      <c r="D139" s="14"/>
      <c r="E139" s="14"/>
      <c r="F139" s="14"/>
      <c r="G139" s="14"/>
      <c r="H139" s="113"/>
      <c r="I139" s="14" t="str">
        <f>"Sum of Lines "&amp;A126&amp;" to "&amp;A138&amp;""</f>
        <v>Sum of Lines 66 to 77a</v>
      </c>
      <c r="J139" s="14"/>
      <c r="K139" s="63">
        <f>SUM(K126:K138)</f>
        <v>1034328514.3232715</v>
      </c>
      <c r="M139" s="14"/>
    </row>
    <row r="140" spans="1:13" ht="13">
      <c r="A140" s="1138"/>
      <c r="B140" s="12"/>
      <c r="H140" s="16"/>
      <c r="I140" s="14"/>
      <c r="K140" s="7"/>
      <c r="M140" s="14"/>
    </row>
    <row r="141" spans="1:13" ht="13">
      <c r="A141" s="110">
        <f>A139+1</f>
        <v>79</v>
      </c>
      <c r="B141" s="12" t="s">
        <v>286</v>
      </c>
      <c r="I141" s="14" t="str">
        <f>"L "&amp;A139&amp;" * FF Factor (28-FFU, L "&amp;'28-FFU'!A22&amp;")"</f>
        <v>L 78 * FF Factor (28-FFU, L 5)</v>
      </c>
      <c r="J141" s="14"/>
      <c r="K141" s="7">
        <f>'28-FFU'!D22*K139</f>
        <v>9565550.6418958902</v>
      </c>
      <c r="M141" s="14"/>
    </row>
    <row r="142" spans="1:13" ht="13">
      <c r="A142" s="110">
        <f t="shared" si="3"/>
        <v>80</v>
      </c>
      <c r="B142" s="12" t="s">
        <v>285</v>
      </c>
      <c r="I142" s="14" t="str">
        <f>"L "&amp;A139&amp;" * U Factor (28-FFU, L "&amp;'28-FFU'!A22&amp;")"</f>
        <v>L 78 * U Factor (28-FFU, L 5)</v>
      </c>
      <c r="J142" s="14"/>
      <c r="K142" s="7">
        <f>'28-FFU'!E22*K139</f>
        <v>2207264.8952941624</v>
      </c>
      <c r="M142" s="14"/>
    </row>
    <row r="143" spans="1:13" ht="13">
      <c r="A143" s="110"/>
      <c r="B143" s="12"/>
      <c r="K143" s="7"/>
      <c r="M143" s="14"/>
    </row>
    <row r="144" spans="1:13" ht="13">
      <c r="A144" s="110">
        <f>A142+1</f>
        <v>81</v>
      </c>
      <c r="B144" s="12" t="s">
        <v>95</v>
      </c>
      <c r="I144" t="str">
        <f>"Line "&amp;A139&amp;" + Line "&amp;A141&amp;"+ Line "&amp;A142&amp;""</f>
        <v>Line 78 + Line 79+ Line 80</v>
      </c>
      <c r="K144" s="7">
        <f>K139+K141+K142</f>
        <v>1046101329.8604616</v>
      </c>
      <c r="M144" s="14"/>
    </row>
    <row r="145" spans="1:15">
      <c r="M145" s="14"/>
    </row>
    <row r="146" spans="1:15" ht="13">
      <c r="A146" s="10" t="s">
        <v>266</v>
      </c>
      <c r="B146" s="11"/>
      <c r="C146" s="11"/>
      <c r="D146" s="11"/>
      <c r="E146" s="11"/>
      <c r="F146" s="11"/>
      <c r="G146" s="11"/>
      <c r="H146" s="9"/>
      <c r="I146" s="9"/>
      <c r="J146" s="9"/>
      <c r="K146" s="9"/>
      <c r="M146" s="14"/>
    </row>
    <row r="147" spans="1:15">
      <c r="M147" s="14"/>
    </row>
    <row r="148" spans="1:15">
      <c r="B148" s="75" t="s">
        <v>1622</v>
      </c>
      <c r="M148" s="14"/>
    </row>
    <row r="149" spans="1:15" ht="13">
      <c r="A149" s="110">
        <f>A144+1</f>
        <v>82</v>
      </c>
      <c r="B149" t="s">
        <v>95</v>
      </c>
      <c r="I149" t="str">
        <f>"Line "&amp;A144&amp;""</f>
        <v>Line 81</v>
      </c>
      <c r="K149" s="7">
        <f>K144</f>
        <v>1046101329.8604616</v>
      </c>
      <c r="M149" s="14"/>
    </row>
    <row r="150" spans="1:15" ht="13">
      <c r="A150" s="110">
        <f>A149+1</f>
        <v>83</v>
      </c>
      <c r="B150" t="s">
        <v>318</v>
      </c>
      <c r="I150" s="15" t="str">
        <f>"2-IFPTRR, Line "&amp;'2-IFPTRR'!A91&amp;""</f>
        <v>2-IFPTRR, Line 82</v>
      </c>
      <c r="K150" s="7">
        <f>'2-IFPTRR'!D91</f>
        <v>99229917.350079104</v>
      </c>
      <c r="M150" s="14"/>
    </row>
    <row r="151" spans="1:15" ht="13">
      <c r="A151" s="110">
        <f>A150+1</f>
        <v>84</v>
      </c>
      <c r="B151" s="12" t="s">
        <v>29</v>
      </c>
      <c r="H151" s="12"/>
      <c r="I151" s="15" t="str">
        <f>"3-TrueUpAdjust, Line "&amp;'3-TrueUpAdjust'!A44&amp;""</f>
        <v>3-TrueUpAdjust, Line 30</v>
      </c>
      <c r="K151" s="101">
        <f>'3-TrueUpAdjust'!E44</f>
        <v>-59288736.506845497</v>
      </c>
      <c r="M151" s="14"/>
    </row>
    <row r="152" spans="1:15" ht="13">
      <c r="A152" s="110">
        <f>A151+1</f>
        <v>85</v>
      </c>
      <c r="B152" s="469" t="s">
        <v>1871</v>
      </c>
      <c r="C152" s="14"/>
      <c r="H152" s="467" t="s">
        <v>1168</v>
      </c>
      <c r="I152" s="14"/>
      <c r="K152" s="1250">
        <v>0</v>
      </c>
      <c r="M152" s="14"/>
    </row>
    <row r="153" spans="1:15" ht="13">
      <c r="A153" s="110"/>
      <c r="I153" s="14"/>
      <c r="K153" s="7"/>
      <c r="M153" s="14"/>
    </row>
    <row r="154" spans="1:15" ht="13">
      <c r="A154" s="110">
        <f>A152+1</f>
        <v>86</v>
      </c>
      <c r="B154" s="467" t="s">
        <v>1620</v>
      </c>
      <c r="H154" s="12" t="s">
        <v>267</v>
      </c>
      <c r="I154" s="14" t="str">
        <f>"L "&amp;A149&amp;" + L "&amp;A150&amp;" + L "&amp;A151&amp;" + L "&amp;A152&amp;""</f>
        <v>L 82 + L 83 + L 84 + L 85</v>
      </c>
      <c r="K154" s="7">
        <f>K149+K150+K151+K152</f>
        <v>1086042510.7036953</v>
      </c>
      <c r="M154" s="14"/>
      <c r="O154" s="7"/>
    </row>
    <row r="155" spans="1:15" ht="13">
      <c r="A155" s="110"/>
      <c r="I155" s="14"/>
      <c r="K155" s="7"/>
      <c r="M155" s="14"/>
    </row>
    <row r="156" spans="1:15" ht="13">
      <c r="A156" s="110"/>
      <c r="B156" s="75" t="s">
        <v>1621</v>
      </c>
      <c r="I156" s="14"/>
      <c r="K156" s="7"/>
      <c r="M156" s="14"/>
    </row>
    <row r="157" spans="1:15" ht="13">
      <c r="A157" s="110">
        <f>A154+1</f>
        <v>87</v>
      </c>
      <c r="B157" t="s">
        <v>1362</v>
      </c>
      <c r="I157" s="14" t="str">
        <f>"Line "&amp;A154&amp;""</f>
        <v>Line 86</v>
      </c>
      <c r="K157" s="7">
        <f>K154</f>
        <v>1086042510.7036953</v>
      </c>
      <c r="M157" s="14"/>
    </row>
    <row r="158" spans="1:15" ht="13">
      <c r="A158" s="110">
        <f>A157+1</f>
        <v>88</v>
      </c>
      <c r="B158" t="s">
        <v>1361</v>
      </c>
      <c r="I158" s="15" t="str">
        <f>"25-WholesaleDifference, Line "&amp;'25-WholesaleDifference'!A93&amp;""</f>
        <v>25-WholesaleDifference, Line 45</v>
      </c>
      <c r="K158" s="91">
        <f>'25-WholesaleDifference'!H93</f>
        <v>-4647859.4896229943</v>
      </c>
      <c r="M158" s="14"/>
    </row>
    <row r="159" spans="1:15" ht="13">
      <c r="A159" s="110">
        <f>A158+1</f>
        <v>89</v>
      </c>
      <c r="B159" t="s">
        <v>1621</v>
      </c>
      <c r="I159" t="str">
        <f>"Line "&amp;A157&amp;" + Line "&amp;A158&amp;""</f>
        <v>Line 87 + Line 88</v>
      </c>
      <c r="K159" s="7">
        <f>K157+K158</f>
        <v>1081394651.2140722</v>
      </c>
      <c r="M159" s="14"/>
    </row>
    <row r="160" spans="1:15">
      <c r="A160" s="14"/>
      <c r="H160" s="12"/>
    </row>
    <row r="161" spans="2:11" ht="13">
      <c r="B161" s="51" t="s">
        <v>230</v>
      </c>
    </row>
    <row r="162" spans="2:11" s="972" customFormat="1">
      <c r="B162" s="467" t="s">
        <v>2271</v>
      </c>
    </row>
    <row r="163" spans="2:11" s="972" customFormat="1">
      <c r="B163" s="471" t="s">
        <v>2272</v>
      </c>
    </row>
    <row r="164" spans="2:11">
      <c r="B164" s="469" t="s">
        <v>2273</v>
      </c>
      <c r="C164" s="14"/>
      <c r="D164" s="14"/>
      <c r="E164" s="14"/>
      <c r="F164" s="14"/>
      <c r="G164" s="14"/>
      <c r="H164" s="14"/>
      <c r="I164" s="14"/>
      <c r="J164" s="14"/>
      <c r="K164" s="14"/>
    </row>
    <row r="165" spans="2:11">
      <c r="B165" s="467" t="s">
        <v>2916</v>
      </c>
    </row>
    <row r="166" spans="2:11">
      <c r="B166" s="469" t="s">
        <v>1803</v>
      </c>
      <c r="C166" s="14"/>
      <c r="D166" s="14"/>
      <c r="E166" s="14"/>
      <c r="F166" s="14"/>
      <c r="G166" s="14"/>
      <c r="H166" s="14"/>
      <c r="I166" s="14"/>
      <c r="J166" s="14"/>
      <c r="K166" s="14"/>
    </row>
    <row r="167" spans="2:11">
      <c r="B167" s="469"/>
      <c r="C167" s="14" t="s">
        <v>1802</v>
      </c>
      <c r="D167" s="14"/>
      <c r="E167" s="14"/>
      <c r="F167" s="978" t="s">
        <v>2877</v>
      </c>
      <c r="G167" s="97"/>
      <c r="H167" s="97"/>
      <c r="I167" s="97"/>
      <c r="J167" s="14"/>
      <c r="K167" s="14"/>
    </row>
    <row r="168" spans="2:11">
      <c r="B168" s="467" t="s">
        <v>2446</v>
      </c>
      <c r="C168" s="469"/>
      <c r="D168" s="469"/>
      <c r="E168" s="469"/>
      <c r="F168" s="469"/>
      <c r="G168" s="469"/>
      <c r="H168" s="469"/>
      <c r="I168" s="14"/>
    </row>
    <row r="169" spans="2:11">
      <c r="B169" s="471" t="s">
        <v>2414</v>
      </c>
    </row>
    <row r="170" spans="2:11">
      <c r="B170" s="471" t="s">
        <v>2415</v>
      </c>
    </row>
    <row r="171" spans="2:11">
      <c r="B171" s="469" t="s">
        <v>2274</v>
      </c>
    </row>
    <row r="172" spans="2:11">
      <c r="B172" s="860" t="s">
        <v>2489</v>
      </c>
      <c r="C172" s="14"/>
      <c r="D172" s="14"/>
      <c r="E172" s="14"/>
      <c r="F172" s="14"/>
      <c r="G172" s="14"/>
      <c r="H172" s="14"/>
      <c r="I172" s="14"/>
    </row>
    <row r="173" spans="2:11">
      <c r="B173" s="466" t="s">
        <v>2917</v>
      </c>
      <c r="C173" s="14"/>
      <c r="D173" s="14"/>
      <c r="E173" s="14"/>
      <c r="F173" s="14"/>
      <c r="G173" s="14"/>
      <c r="H173" s="14"/>
      <c r="I173" s="14"/>
    </row>
  </sheetData>
  <phoneticPr fontId="23" type="noConversion"/>
  <pageMargins left="0.75" right="0.75" top="1" bottom="1" header="0.5" footer="0.5"/>
  <pageSetup scale="64" orientation="portrait" cellComments="asDisplayed" r:id="rId1"/>
  <headerFooter alignWithMargins="0">
    <oddHeader>&amp;CSchedule 1
Base TRR
&amp;RTO2021 Draft Annual Update 
Attachment 1</oddHeader>
    <oddFooter>&amp;R&amp;A</oddFooter>
  </headerFooter>
  <rowBreaks count="2" manualBreakCount="2">
    <brk id="59" max="16383" man="1"/>
    <brk id="12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56"/>
  <sheetViews>
    <sheetView zoomScaleNormal="100" workbookViewId="0"/>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20" ht="13">
      <c r="A1" s="673" t="s">
        <v>1956</v>
      </c>
      <c r="B1" s="673"/>
      <c r="C1" s="674"/>
      <c r="D1" s="674"/>
      <c r="G1" s="674"/>
      <c r="H1" s="674"/>
      <c r="I1" s="674"/>
      <c r="J1" s="674"/>
      <c r="K1" s="674"/>
      <c r="L1" s="674"/>
      <c r="M1" s="674"/>
      <c r="N1" s="14"/>
      <c r="O1" s="14"/>
      <c r="P1" s="14"/>
      <c r="Q1" s="14"/>
      <c r="R1" s="14"/>
      <c r="S1" s="14"/>
      <c r="T1" s="14"/>
    </row>
    <row r="2" spans="1:20" ht="13">
      <c r="A2" s="14"/>
      <c r="B2" s="14"/>
      <c r="C2" s="68" t="s">
        <v>2537</v>
      </c>
      <c r="D2" s="14"/>
      <c r="E2" s="978" t="s">
        <v>2670</v>
      </c>
      <c r="F2" s="97"/>
      <c r="G2" s="97"/>
      <c r="H2" s="14"/>
      <c r="I2" s="14"/>
      <c r="J2" s="14"/>
      <c r="K2" s="14"/>
      <c r="L2" s="14"/>
      <c r="M2" s="14"/>
      <c r="N2" s="14"/>
      <c r="O2" s="14"/>
      <c r="P2" s="14"/>
      <c r="Q2" s="14"/>
      <c r="R2" s="14"/>
      <c r="S2" s="14"/>
      <c r="T2" s="14"/>
    </row>
    <row r="3" spans="1:20" ht="13">
      <c r="A3" s="675" t="s">
        <v>329</v>
      </c>
      <c r="B3" s="675"/>
      <c r="C3" s="674"/>
      <c r="D3" s="674"/>
      <c r="E3" s="674"/>
      <c r="F3" s="674"/>
      <c r="G3" s="674"/>
      <c r="H3" s="674"/>
      <c r="I3" s="674"/>
      <c r="J3" s="674"/>
      <c r="K3" s="674"/>
      <c r="L3" s="674"/>
      <c r="M3" s="674"/>
      <c r="N3" s="14"/>
      <c r="O3" s="14"/>
      <c r="P3" s="14"/>
      <c r="Q3" s="14"/>
      <c r="R3" s="14"/>
      <c r="S3" s="14"/>
      <c r="T3" s="14"/>
    </row>
    <row r="4" spans="1:20" ht="13">
      <c r="A4" s="676">
        <v>1</v>
      </c>
      <c r="B4" s="676"/>
      <c r="C4" s="569"/>
      <c r="D4" s="569"/>
      <c r="E4" s="569"/>
      <c r="F4" s="569"/>
      <c r="G4" s="674"/>
      <c r="H4" s="674"/>
      <c r="I4" s="674"/>
      <c r="J4" s="674"/>
      <c r="K4" s="674"/>
      <c r="L4" s="674"/>
      <c r="M4" s="674"/>
      <c r="N4" s="14"/>
      <c r="O4" s="14"/>
      <c r="P4" s="14"/>
      <c r="Q4" s="14"/>
      <c r="R4" s="14"/>
      <c r="S4" s="14"/>
      <c r="T4" s="14"/>
    </row>
    <row r="5" spans="1:20" ht="13">
      <c r="A5" s="560">
        <v>2</v>
      </c>
      <c r="B5" s="560"/>
      <c r="C5" s="569"/>
      <c r="D5" s="569"/>
      <c r="E5" s="569"/>
      <c r="F5" s="569"/>
      <c r="G5" s="674"/>
      <c r="H5" s="674"/>
      <c r="I5" s="674"/>
      <c r="J5" s="674"/>
      <c r="K5" s="674"/>
      <c r="L5" s="674"/>
      <c r="M5" s="674"/>
      <c r="N5" s="14"/>
      <c r="O5" s="14"/>
    </row>
    <row r="6" spans="1:20" ht="13">
      <c r="A6" s="560">
        <v>3</v>
      </c>
      <c r="B6" s="560"/>
      <c r="C6" s="561"/>
      <c r="D6" s="561"/>
      <c r="E6" s="561"/>
      <c r="F6" s="561"/>
      <c r="G6" s="558"/>
      <c r="H6" s="558"/>
      <c r="I6" s="558"/>
      <c r="J6" s="558"/>
      <c r="K6" s="560" t="s">
        <v>63</v>
      </c>
      <c r="L6" s="558"/>
      <c r="M6" s="558"/>
    </row>
    <row r="7" spans="1:20" ht="13">
      <c r="A7" s="560">
        <v>4</v>
      </c>
      <c r="B7" s="560"/>
      <c r="C7" s="558"/>
      <c r="D7" s="558"/>
      <c r="E7" s="677" t="s">
        <v>205</v>
      </c>
      <c r="F7" s="678"/>
      <c r="G7" s="558"/>
      <c r="H7" s="558"/>
      <c r="I7" s="558"/>
      <c r="J7" s="558"/>
      <c r="K7" s="679" t="s">
        <v>175</v>
      </c>
      <c r="L7" s="558"/>
      <c r="M7" s="563"/>
    </row>
    <row r="8" spans="1:20" ht="13">
      <c r="A8" s="560">
        <v>5</v>
      </c>
      <c r="B8" s="560"/>
      <c r="C8" s="561"/>
      <c r="D8" s="561"/>
      <c r="E8" s="561"/>
      <c r="F8" s="561"/>
      <c r="G8" s="558"/>
      <c r="H8" s="558"/>
      <c r="I8" s="558"/>
      <c r="J8" s="558"/>
      <c r="K8" s="564"/>
      <c r="L8" s="558"/>
      <c r="M8" s="561"/>
    </row>
    <row r="9" spans="1:20" ht="13">
      <c r="A9" s="560">
        <v>6</v>
      </c>
      <c r="B9" s="560"/>
      <c r="C9" s="673" t="s">
        <v>1976</v>
      </c>
      <c r="D9" s="569"/>
      <c r="E9" s="569" t="s">
        <v>1977</v>
      </c>
      <c r="F9" s="569"/>
      <c r="G9" s="674"/>
      <c r="H9" s="674"/>
      <c r="I9" s="674"/>
      <c r="J9" s="674"/>
      <c r="K9" s="564">
        <f>I20</f>
        <v>-197765197.51234144</v>
      </c>
      <c r="L9" s="558"/>
      <c r="M9" s="561"/>
      <c r="N9" s="680"/>
    </row>
    <row r="10" spans="1:20" ht="13.5" thickBot="1">
      <c r="A10" s="560">
        <v>7</v>
      </c>
      <c r="B10" s="560"/>
      <c r="C10" s="673" t="s">
        <v>1975</v>
      </c>
      <c r="D10" s="675"/>
      <c r="E10" s="569" t="s">
        <v>1957</v>
      </c>
      <c r="F10" s="569"/>
      <c r="G10" s="674"/>
      <c r="H10" s="674"/>
      <c r="I10" s="674"/>
      <c r="J10" s="674"/>
      <c r="K10" s="681">
        <f>+K20</f>
        <v>-192258245.62261316</v>
      </c>
      <c r="L10" s="558"/>
      <c r="M10" s="561"/>
    </row>
    <row r="11" spans="1:20" ht="13.5" thickTop="1">
      <c r="A11" s="560">
        <v>8</v>
      </c>
      <c r="B11" s="560"/>
      <c r="C11" s="569"/>
      <c r="D11" s="569"/>
      <c r="E11" s="569"/>
      <c r="F11" s="569"/>
      <c r="G11" s="674"/>
      <c r="H11" s="674"/>
      <c r="I11" s="674"/>
      <c r="J11" s="674"/>
      <c r="K11" s="564"/>
      <c r="L11" s="558"/>
      <c r="M11" s="558"/>
    </row>
    <row r="12" spans="1:20" ht="13">
      <c r="A12" s="560">
        <v>9</v>
      </c>
      <c r="B12" s="560"/>
      <c r="C12" s="674"/>
      <c r="D12" s="674"/>
      <c r="E12" s="674"/>
      <c r="F12" s="674"/>
      <c r="G12" s="682" t="s">
        <v>358</v>
      </c>
      <c r="H12" s="682"/>
      <c r="I12" s="682" t="s">
        <v>342</v>
      </c>
      <c r="J12" s="682"/>
      <c r="K12" s="682" t="s">
        <v>343</v>
      </c>
      <c r="L12" s="558"/>
      <c r="M12" s="558"/>
    </row>
    <row r="13" spans="1:20" ht="13">
      <c r="A13" s="560">
        <v>10</v>
      </c>
      <c r="B13" s="560"/>
      <c r="C13" s="674"/>
      <c r="D13" s="674"/>
      <c r="E13" s="674"/>
      <c r="F13" s="674"/>
      <c r="G13" s="676" t="s">
        <v>63</v>
      </c>
      <c r="H13" s="676"/>
      <c r="I13" s="676" t="s">
        <v>63</v>
      </c>
      <c r="J13" s="678"/>
      <c r="K13" s="676" t="s">
        <v>63</v>
      </c>
      <c r="L13" s="558"/>
      <c r="M13" s="558"/>
    </row>
    <row r="14" spans="1:20" ht="14.5">
      <c r="A14" s="560">
        <v>11</v>
      </c>
      <c r="B14" s="560"/>
      <c r="C14" s="676"/>
      <c r="D14" s="676"/>
      <c r="E14" s="676"/>
      <c r="F14" s="676"/>
      <c r="G14" s="676" t="s">
        <v>380</v>
      </c>
      <c r="H14" s="676"/>
      <c r="I14" s="676" t="s">
        <v>299</v>
      </c>
      <c r="J14" s="678"/>
      <c r="K14" s="683" t="s">
        <v>229</v>
      </c>
      <c r="L14" s="558"/>
      <c r="M14" s="558"/>
    </row>
    <row r="15" spans="1:20" ht="13">
      <c r="A15" s="560">
        <v>12</v>
      </c>
      <c r="B15" s="560"/>
      <c r="C15" s="560" t="s">
        <v>410</v>
      </c>
      <c r="D15" s="560"/>
      <c r="E15" s="676"/>
      <c r="F15" s="560"/>
      <c r="G15" s="560" t="s">
        <v>1958</v>
      </c>
      <c r="H15" s="678"/>
      <c r="I15" s="560" t="s">
        <v>1958</v>
      </c>
      <c r="J15" s="678"/>
      <c r="K15" s="560" t="s">
        <v>1958</v>
      </c>
      <c r="L15" s="558"/>
      <c r="M15" s="558"/>
    </row>
    <row r="16" spans="1:20" ht="13">
      <c r="A16" s="560">
        <v>13</v>
      </c>
      <c r="B16" s="560"/>
      <c r="C16" s="562" t="s">
        <v>1955</v>
      </c>
      <c r="D16" s="562"/>
      <c r="E16" s="905"/>
      <c r="F16" s="562"/>
      <c r="G16" s="679" t="s">
        <v>1959</v>
      </c>
      <c r="H16" s="678"/>
      <c r="I16" s="679" t="s">
        <v>1959</v>
      </c>
      <c r="J16" s="678"/>
      <c r="K16" s="679" t="s">
        <v>1959</v>
      </c>
      <c r="L16" s="558"/>
      <c r="M16" s="558"/>
    </row>
    <row r="17" spans="1:14" ht="13">
      <c r="A17" s="560">
        <v>14</v>
      </c>
      <c r="B17" s="560"/>
      <c r="C17" s="569" t="s">
        <v>1960</v>
      </c>
      <c r="D17" s="569"/>
      <c r="E17" s="469" t="s">
        <v>2178</v>
      </c>
      <c r="F17" s="467"/>
      <c r="G17" s="564">
        <f>+G27</f>
        <v>-182063844.48394331</v>
      </c>
      <c r="H17" s="684"/>
      <c r="I17" s="564">
        <f>+I27</f>
        <v>-193097033.88756159</v>
      </c>
      <c r="J17" s="684"/>
      <c r="K17" s="564">
        <f>(+G17+I17)/2</f>
        <v>-187580439.18575245</v>
      </c>
      <c r="L17" s="558"/>
      <c r="M17" s="558"/>
      <c r="N17" s="558"/>
    </row>
    <row r="18" spans="1:14" ht="13">
      <c r="A18" s="560">
        <v>15</v>
      </c>
      <c r="B18" s="560"/>
      <c r="C18" s="569" t="s">
        <v>1961</v>
      </c>
      <c r="D18" s="569"/>
      <c r="E18" s="569" t="s">
        <v>2179</v>
      </c>
      <c r="F18" s="569"/>
      <c r="G18" s="564">
        <f>+G32</f>
        <v>-4075505.302825314</v>
      </c>
      <c r="H18" s="684"/>
      <c r="I18" s="564">
        <f>+I32</f>
        <v>-4053852.0866212039</v>
      </c>
      <c r="J18" s="684"/>
      <c r="K18" s="564">
        <f>(+G18+I18)/2</f>
        <v>-4064678.6947232587</v>
      </c>
      <c r="L18" s="558"/>
      <c r="M18" s="558"/>
      <c r="N18" s="558"/>
    </row>
    <row r="19" spans="1:14" ht="13">
      <c r="A19" s="560">
        <v>16</v>
      </c>
      <c r="B19" s="560"/>
      <c r="C19" s="569" t="s">
        <v>1962</v>
      </c>
      <c r="D19" s="569"/>
      <c r="E19" s="569" t="s">
        <v>2180</v>
      </c>
      <c r="F19" s="569"/>
      <c r="G19" s="685">
        <f>+G39</f>
        <v>-611943.94611624884</v>
      </c>
      <c r="H19" s="686"/>
      <c r="I19" s="685">
        <f>+I39</f>
        <v>-614311.53815866739</v>
      </c>
      <c r="J19" s="686"/>
      <c r="K19" s="564">
        <f>(+G19+I19)/2</f>
        <v>-613127.74213745818</v>
      </c>
      <c r="L19" s="558"/>
      <c r="M19" s="558"/>
    </row>
    <row r="20" spans="1:14" ht="13.5" thickBot="1">
      <c r="A20" s="560">
        <v>17</v>
      </c>
      <c r="B20" s="560"/>
      <c r="C20" s="561" t="s">
        <v>197</v>
      </c>
      <c r="D20" s="561"/>
      <c r="E20" s="569" t="s">
        <v>1963</v>
      </c>
      <c r="F20" s="561"/>
      <c r="G20" s="687">
        <f>+G17+G18+G19</f>
        <v>-186751293.73288485</v>
      </c>
      <c r="H20" s="684"/>
      <c r="I20" s="687">
        <f>+I17+I18+I19</f>
        <v>-197765197.51234144</v>
      </c>
      <c r="J20" s="684"/>
      <c r="K20" s="687">
        <f>+K17+K18+K19</f>
        <v>-192258245.62261316</v>
      </c>
      <c r="L20" s="558"/>
      <c r="M20" s="561"/>
      <c r="N20" s="467" t="s">
        <v>328</v>
      </c>
    </row>
    <row r="21" spans="1:14" ht="13.5" thickTop="1">
      <c r="A21" s="560">
        <v>18</v>
      </c>
      <c r="B21" s="560"/>
      <c r="C21" s="558"/>
      <c r="D21" s="558"/>
      <c r="E21" s="674"/>
      <c r="F21" s="558"/>
      <c r="G21" s="558"/>
      <c r="H21" s="688"/>
      <c r="I21" s="558"/>
      <c r="J21" s="688"/>
      <c r="K21" s="558"/>
      <c r="L21" s="558"/>
      <c r="M21" s="558"/>
    </row>
    <row r="22" spans="1:14" ht="13">
      <c r="A22" s="560">
        <v>19</v>
      </c>
      <c r="B22" s="560"/>
      <c r="C22" s="559" t="s">
        <v>1964</v>
      </c>
      <c r="D22" s="559"/>
      <c r="E22" s="675"/>
      <c r="F22" s="559"/>
      <c r="G22" s="558"/>
      <c r="H22" s="688"/>
      <c r="I22" s="558"/>
      <c r="J22" s="688"/>
      <c r="K22" s="558"/>
      <c r="L22" s="558"/>
      <c r="M22" s="558"/>
    </row>
    <row r="23" spans="1:14" ht="13">
      <c r="A23" s="560">
        <v>20</v>
      </c>
      <c r="B23" s="560"/>
      <c r="E23" s="14"/>
      <c r="H23" s="520"/>
      <c r="J23" s="520"/>
      <c r="K23" s="468" t="s">
        <v>229</v>
      </c>
    </row>
    <row r="24" spans="1:14" ht="13">
      <c r="A24" s="560">
        <v>21</v>
      </c>
      <c r="B24" s="560"/>
      <c r="C24" s="559" t="s">
        <v>107</v>
      </c>
      <c r="D24" s="559"/>
      <c r="E24" s="675"/>
      <c r="F24" s="559"/>
      <c r="G24" s="385" t="s">
        <v>380</v>
      </c>
      <c r="H24" s="689"/>
      <c r="I24" s="385" t="s">
        <v>299</v>
      </c>
      <c r="J24" s="689"/>
      <c r="K24" s="690" t="s">
        <v>1965</v>
      </c>
      <c r="M24" s="484" t="s">
        <v>328</v>
      </c>
    </row>
    <row r="25" spans="1:14" ht="13">
      <c r="A25" s="560">
        <v>22</v>
      </c>
      <c r="B25" s="560"/>
      <c r="C25" s="469" t="s">
        <v>2619</v>
      </c>
      <c r="E25" s="569" t="s">
        <v>1966</v>
      </c>
      <c r="F25" s="569"/>
      <c r="G25" s="691">
        <v>-2771957878.7399998</v>
      </c>
      <c r="H25" s="692"/>
      <c r="I25" s="691">
        <v>-2939940359.73</v>
      </c>
      <c r="J25" s="693"/>
      <c r="M25" s="1433"/>
      <c r="N25" s="595"/>
    </row>
    <row r="26" spans="1:14" ht="13">
      <c r="A26" s="676">
        <v>23</v>
      </c>
      <c r="B26" s="560"/>
      <c r="C26" t="s">
        <v>200</v>
      </c>
      <c r="E26" s="694" t="s">
        <v>1967</v>
      </c>
      <c r="F26" s="694"/>
      <c r="G26" s="695">
        <f>'27-Allocators'!G15</f>
        <v>6.5680595610890333E-2</v>
      </c>
      <c r="H26" s="696"/>
      <c r="I26" s="695">
        <f>'27-Allocators'!G15</f>
        <v>6.5680595610890333E-2</v>
      </c>
      <c r="J26" s="696"/>
      <c r="M26" s="680"/>
    </row>
    <row r="27" spans="1:14" ht="13.5" thickBot="1">
      <c r="A27" s="676">
        <v>24</v>
      </c>
      <c r="B27" s="560"/>
      <c r="C27" t="s">
        <v>1968</v>
      </c>
      <c r="E27" s="574" t="s">
        <v>2181</v>
      </c>
      <c r="F27" s="52"/>
      <c r="G27" s="697">
        <f>+G25*G26</f>
        <v>-182063844.48394331</v>
      </c>
      <c r="H27" s="698"/>
      <c r="I27" s="697">
        <f>+I25*I26</f>
        <v>-193097033.88756159</v>
      </c>
      <c r="J27" s="698"/>
      <c r="K27" s="699">
        <f>(G27+I27)/2</f>
        <v>-187580439.18575245</v>
      </c>
      <c r="M27" s="680"/>
    </row>
    <row r="28" spans="1:14" ht="13.5" thickTop="1">
      <c r="A28" s="676">
        <v>25</v>
      </c>
      <c r="B28" s="560"/>
      <c r="E28" s="14"/>
      <c r="H28" s="520"/>
      <c r="J28" s="520"/>
      <c r="M28" s="680"/>
    </row>
    <row r="29" spans="1:14" ht="13">
      <c r="A29" s="676">
        <v>26</v>
      </c>
      <c r="B29" s="560"/>
      <c r="C29" s="51" t="s">
        <v>1969</v>
      </c>
      <c r="D29" s="51"/>
      <c r="E29" s="840"/>
      <c r="F29" s="51"/>
      <c r="H29" s="520"/>
      <c r="J29" s="520"/>
      <c r="M29" s="700" t="s">
        <v>328</v>
      </c>
    </row>
    <row r="30" spans="1:14" ht="13">
      <c r="A30" s="676">
        <v>27</v>
      </c>
      <c r="B30" s="560"/>
      <c r="C30" s="467" t="s">
        <v>1970</v>
      </c>
      <c r="D30" s="467"/>
      <c r="E30" s="569" t="s">
        <v>1966</v>
      </c>
      <c r="F30" s="569"/>
      <c r="G30" s="691">
        <v>-62050370.659999996</v>
      </c>
      <c r="H30" s="692"/>
      <c r="I30" s="691">
        <v>-61720696.18</v>
      </c>
      <c r="J30" s="693"/>
      <c r="M30" s="680"/>
    </row>
    <row r="31" spans="1:14" ht="13">
      <c r="A31" s="676">
        <v>28</v>
      </c>
      <c r="B31" s="560"/>
      <c r="C31" t="s">
        <v>200</v>
      </c>
      <c r="E31" s="694" t="s">
        <v>1967</v>
      </c>
      <c r="F31" s="694"/>
      <c r="G31" s="695">
        <f>'27-Allocators'!G15</f>
        <v>6.5680595610890333E-2</v>
      </c>
      <c r="H31" s="696"/>
      <c r="I31" s="695">
        <f>'27-Allocators'!G15</f>
        <v>6.5680595610890333E-2</v>
      </c>
      <c r="J31" s="696"/>
      <c r="M31" s="680"/>
    </row>
    <row r="32" spans="1:14" ht="13.5" thickBot="1">
      <c r="A32" s="676">
        <v>29</v>
      </c>
      <c r="B32" s="560"/>
      <c r="C32" t="s">
        <v>1968</v>
      </c>
      <c r="E32" s="574" t="s">
        <v>2182</v>
      </c>
      <c r="F32" s="52"/>
      <c r="G32" s="697">
        <f>+G30*G31</f>
        <v>-4075505.302825314</v>
      </c>
      <c r="H32" s="698"/>
      <c r="I32" s="697">
        <f>+I30*I31</f>
        <v>-4053852.0866212039</v>
      </c>
      <c r="J32" s="698"/>
      <c r="K32" s="699">
        <f>(G32+I32)/2</f>
        <v>-4064678.6947232587</v>
      </c>
      <c r="M32" s="680"/>
    </row>
    <row r="33" spans="1:11" ht="13.5" thickTop="1">
      <c r="A33" s="676">
        <f t="shared" ref="A33:A39" si="0">1+A32</f>
        <v>30</v>
      </c>
      <c r="E33" s="14"/>
      <c r="H33" s="520"/>
      <c r="J33" s="520"/>
    </row>
    <row r="34" spans="1:11" ht="13">
      <c r="A34" s="676">
        <f t="shared" si="0"/>
        <v>31</v>
      </c>
      <c r="C34" s="51" t="s">
        <v>1971</v>
      </c>
      <c r="E34" s="14"/>
      <c r="H34" s="520"/>
      <c r="J34" s="520"/>
    </row>
    <row r="35" spans="1:11" ht="13">
      <c r="A35" s="676">
        <f t="shared" si="0"/>
        <v>32</v>
      </c>
      <c r="C35" s="467" t="s">
        <v>1971</v>
      </c>
      <c r="E35" s="569" t="s">
        <v>1966</v>
      </c>
      <c r="F35" s="569"/>
      <c r="G35" s="995">
        <v>-18633934.130000003</v>
      </c>
      <c r="H35" s="692"/>
      <c r="I35" s="995">
        <v>-18706028.240000002</v>
      </c>
      <c r="J35" s="693"/>
    </row>
    <row r="36" spans="1:11" ht="13">
      <c r="A36" s="676">
        <f t="shared" si="0"/>
        <v>33</v>
      </c>
      <c r="C36" s="467" t="s">
        <v>1972</v>
      </c>
      <c r="E36" s="1224" t="s">
        <v>1973</v>
      </c>
      <c r="G36" s="702">
        <v>0.5</v>
      </c>
      <c r="H36" s="520"/>
      <c r="I36" s="702">
        <v>0.5</v>
      </c>
      <c r="J36" s="520"/>
    </row>
    <row r="37" spans="1:11" ht="13">
      <c r="A37" s="676">
        <f t="shared" si="0"/>
        <v>34</v>
      </c>
      <c r="C37" s="467" t="s">
        <v>1974</v>
      </c>
      <c r="E37" s="469" t="s">
        <v>2183</v>
      </c>
      <c r="G37" s="7">
        <f>+G35*G36</f>
        <v>-9316967.0650000013</v>
      </c>
      <c r="H37" s="703"/>
      <c r="I37" s="7">
        <f>+I35*I36</f>
        <v>-9353014.120000001</v>
      </c>
      <c r="J37" s="520"/>
    </row>
    <row r="38" spans="1:11" ht="13">
      <c r="A38" s="676">
        <f t="shared" si="0"/>
        <v>35</v>
      </c>
      <c r="C38" t="s">
        <v>200</v>
      </c>
      <c r="E38" s="694" t="s">
        <v>1967</v>
      </c>
      <c r="F38" s="694"/>
      <c r="G38" s="695">
        <f>'27-Allocators'!G15</f>
        <v>6.5680595610890333E-2</v>
      </c>
      <c r="H38" s="696"/>
      <c r="I38" s="695">
        <f>'27-Allocators'!G15</f>
        <v>6.5680595610890333E-2</v>
      </c>
      <c r="J38" s="696"/>
    </row>
    <row r="39" spans="1:11" ht="13.5" thickBot="1">
      <c r="A39" s="676">
        <f t="shared" si="0"/>
        <v>36</v>
      </c>
      <c r="C39" t="s">
        <v>1968</v>
      </c>
      <c r="E39" s="574" t="s">
        <v>2184</v>
      </c>
      <c r="F39" s="52"/>
      <c r="G39" s="697">
        <f>+G37*G38</f>
        <v>-611943.94611624884</v>
      </c>
      <c r="H39" s="698"/>
      <c r="I39" s="697">
        <f>+I37*I38</f>
        <v>-614311.53815866739</v>
      </c>
      <c r="J39" s="698"/>
      <c r="K39" s="699">
        <f>(G39+I39)/2</f>
        <v>-613127.74213745818</v>
      </c>
    </row>
    <row r="40" spans="1:11" ht="13" thickTop="1">
      <c r="H40" s="520"/>
      <c r="J40" s="520"/>
    </row>
    <row r="41" spans="1:11" ht="13">
      <c r="C41" s="51" t="s">
        <v>230</v>
      </c>
      <c r="H41" s="60"/>
      <c r="J41" s="60"/>
    </row>
    <row r="42" spans="1:11">
      <c r="C42" s="467" t="s">
        <v>2462</v>
      </c>
      <c r="D42" s="1150"/>
      <c r="H42" s="60"/>
      <c r="J42" s="60"/>
    </row>
    <row r="43" spans="1:11">
      <c r="C43" s="471" t="s">
        <v>2463</v>
      </c>
      <c r="H43" s="60"/>
      <c r="J43" s="60"/>
    </row>
    <row r="44" spans="1:11">
      <c r="C44" s="14" t="s">
        <v>2546</v>
      </c>
      <c r="D44" s="14"/>
      <c r="E44" s="14"/>
      <c r="F44" s="14"/>
      <c r="G44" s="14"/>
      <c r="H44" s="520"/>
      <c r="I44" s="14"/>
      <c r="J44" s="60"/>
    </row>
    <row r="45" spans="1:11">
      <c r="C45" s="1281" t="s">
        <v>2550</v>
      </c>
      <c r="D45" s="14"/>
      <c r="E45" s="14"/>
      <c r="F45" s="14"/>
      <c r="G45" s="14"/>
      <c r="H45" s="520"/>
      <c r="I45" s="14"/>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pageMargins left="0.7" right="0.7" top="0.75" bottom="0.75" header="0.3" footer="0.3"/>
  <pageSetup scale="85" orientation="landscape" cellComments="asDisplayed" r:id="rId1"/>
  <headerFooter>
    <oddHeader>&amp;CSchedule 34
Unfunded Reserves
&amp;RTO2021 Draft Annual Update 
Attachment 1</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5"/>
  <cols>
    <col min="1" max="1" width="4.54296875" customWidth="1"/>
    <col min="2" max="2" width="20.54296875" customWidth="1"/>
    <col min="3" max="4" width="16.54296875" customWidth="1"/>
    <col min="5" max="5" width="24.54296875" customWidth="1"/>
    <col min="6" max="6" width="9.453125" customWidth="1"/>
    <col min="10" max="10" width="18.54296875" customWidth="1"/>
    <col min="11" max="11" width="20.54296875" customWidth="1"/>
  </cols>
  <sheetData>
    <row r="1" spans="1:6" ht="13">
      <c r="A1" s="1" t="s">
        <v>1067</v>
      </c>
    </row>
    <row r="2" spans="1:6" ht="13">
      <c r="A2" s="1"/>
    </row>
    <row r="3" spans="1:6">
      <c r="B3" s="12" t="s">
        <v>406</v>
      </c>
    </row>
    <row r="4" spans="1:6" ht="13">
      <c r="A4" s="1"/>
      <c r="B4" s="13" t="s">
        <v>338</v>
      </c>
    </row>
    <row r="5" spans="1:6" ht="13">
      <c r="A5" s="1"/>
      <c r="B5" s="13" t="s">
        <v>339</v>
      </c>
    </row>
    <row r="7" spans="1:6" ht="13">
      <c r="B7" s="1" t="s">
        <v>997</v>
      </c>
    </row>
    <row r="8" spans="1:6">
      <c r="E8" s="16"/>
    </row>
    <row r="9" spans="1:6" ht="13">
      <c r="A9" s="51" t="s">
        <v>329</v>
      </c>
      <c r="B9" s="70" t="s">
        <v>1066</v>
      </c>
    </row>
    <row r="10" spans="1:6" ht="13">
      <c r="A10" s="2">
        <v>1</v>
      </c>
    </row>
    <row r="11" spans="1:6" ht="13">
      <c r="A11" s="2">
        <f>A10+1</f>
        <v>2</v>
      </c>
      <c r="B11" s="368" t="s">
        <v>1425</v>
      </c>
      <c r="C11" s="14"/>
      <c r="D11" s="14"/>
      <c r="E11" s="14"/>
      <c r="F11" s="14"/>
    </row>
    <row r="12" spans="1:6" ht="13">
      <c r="A12" s="2">
        <f t="shared" ref="A12:A87" si="0">A11+1</f>
        <v>3</v>
      </c>
      <c r="B12" s="368" t="s">
        <v>1043</v>
      </c>
      <c r="C12" s="14"/>
      <c r="D12" s="14"/>
      <c r="E12" s="14"/>
      <c r="F12" s="14"/>
    </row>
    <row r="13" spans="1:6" ht="13">
      <c r="A13" s="2">
        <f t="shared" si="0"/>
        <v>4</v>
      </c>
      <c r="B13" s="368"/>
      <c r="C13" s="14"/>
      <c r="D13" s="14"/>
      <c r="E13" s="14"/>
      <c r="F13" s="14"/>
    </row>
    <row r="14" spans="1:6" ht="13">
      <c r="A14" s="2">
        <f t="shared" si="0"/>
        <v>5</v>
      </c>
      <c r="B14" s="852" t="s">
        <v>2164</v>
      </c>
      <c r="C14" s="14"/>
      <c r="D14" s="14"/>
      <c r="E14" s="14"/>
      <c r="F14" s="14"/>
    </row>
    <row r="15" spans="1:6" ht="13">
      <c r="A15" s="2">
        <f t="shared" si="0"/>
        <v>6</v>
      </c>
      <c r="B15" s="369"/>
      <c r="C15" s="14"/>
      <c r="D15" s="14"/>
      <c r="E15" s="14"/>
      <c r="F15" s="14"/>
    </row>
    <row r="16" spans="1:6" ht="13">
      <c r="A16" s="2">
        <f t="shared" si="0"/>
        <v>7</v>
      </c>
      <c r="B16" s="368" t="s">
        <v>363</v>
      </c>
      <c r="C16" s="14"/>
      <c r="D16" s="14"/>
      <c r="E16" s="14"/>
      <c r="F16" s="366"/>
    </row>
    <row r="17" spans="1:7" ht="13">
      <c r="A17" s="2">
        <f t="shared" si="0"/>
        <v>8</v>
      </c>
      <c r="B17" s="370" t="s">
        <v>1039</v>
      </c>
      <c r="C17" s="14"/>
      <c r="D17" s="14"/>
      <c r="E17" s="14"/>
      <c r="F17" s="67"/>
    </row>
    <row r="18" spans="1:7" ht="13">
      <c r="A18" s="2">
        <f t="shared" si="0"/>
        <v>9</v>
      </c>
      <c r="B18" s="370" t="s">
        <v>1040</v>
      </c>
      <c r="C18" s="14"/>
      <c r="D18" s="14"/>
      <c r="E18" s="14"/>
      <c r="F18" s="67"/>
    </row>
    <row r="19" spans="1:7" ht="13">
      <c r="A19" s="2">
        <f t="shared" si="0"/>
        <v>10</v>
      </c>
      <c r="B19" s="370" t="s">
        <v>218</v>
      </c>
      <c r="C19" s="14"/>
      <c r="D19" s="14"/>
      <c r="E19" s="357"/>
      <c r="F19" s="63"/>
    </row>
    <row r="20" spans="1:7" ht="13">
      <c r="A20" s="2">
        <f t="shared" si="0"/>
        <v>11</v>
      </c>
      <c r="B20" s="44"/>
      <c r="C20" s="14"/>
      <c r="D20" s="357"/>
      <c r="E20" s="123" t="s">
        <v>205</v>
      </c>
      <c r="F20" s="14"/>
    </row>
    <row r="21" spans="1:7" ht="13">
      <c r="A21" s="2">
        <f t="shared" si="0"/>
        <v>12</v>
      </c>
      <c r="C21" s="357" t="s">
        <v>1076</v>
      </c>
      <c r="D21" s="367">
        <f>'1-BaseTRR'!K90</f>
        <v>2.0620659931938897E-2</v>
      </c>
      <c r="E21" s="46" t="str">
        <f>"1-BaseTRR, Line "&amp;'1-BaseTRR'!A90&amp;""</f>
        <v>1-BaseTRR, Line 51</v>
      </c>
      <c r="F21" s="14"/>
    </row>
    <row r="22" spans="1:7" ht="13">
      <c r="A22" s="2">
        <f t="shared" si="0"/>
        <v>13</v>
      </c>
      <c r="C22" s="357" t="s">
        <v>1077</v>
      </c>
      <c r="D22" s="367">
        <f>'1-BaseTRR'!K95</f>
        <v>5.3103269910318773E-2</v>
      </c>
      <c r="E22" s="46" t="str">
        <f>"1-BaseTRR, Line "&amp;'1-BaseTRR'!A95&amp;""</f>
        <v>1-BaseTRR, Line 55</v>
      </c>
      <c r="F22" s="14"/>
    </row>
    <row r="23" spans="1:7" ht="13">
      <c r="A23" s="2">
        <f t="shared" si="0"/>
        <v>14</v>
      </c>
      <c r="C23" s="357" t="s">
        <v>1042</v>
      </c>
      <c r="D23" s="367">
        <f>'1-BaseTRR'!K104</f>
        <v>0.27983599999999997</v>
      </c>
      <c r="E23" s="46" t="str">
        <f>"1-BaseTRR, Line "&amp;'1-BaseTRR'!A104&amp;""</f>
        <v>1-BaseTRR, Line 59</v>
      </c>
      <c r="F23" s="14"/>
    </row>
    <row r="24" spans="1:7" ht="13">
      <c r="A24" s="2">
        <f t="shared" si="0"/>
        <v>15</v>
      </c>
      <c r="B24" s="15"/>
      <c r="C24" s="14"/>
      <c r="D24" s="367"/>
      <c r="E24" s="46"/>
      <c r="F24" s="14"/>
    </row>
    <row r="25" spans="1:7" ht="13">
      <c r="A25" s="2">
        <f t="shared" si="0"/>
        <v>16</v>
      </c>
      <c r="C25" s="357" t="s">
        <v>1041</v>
      </c>
      <c r="D25" s="367">
        <f>D21 + (D22*(1/(1-D23)))</f>
        <v>9.4358405654189348E-2</v>
      </c>
      <c r="E25" s="46" t="str">
        <f>"Line "&amp;A21&amp;" + (Line "&amp;A22&amp;" * (1/(1 - Line "&amp;A23&amp;")))"</f>
        <v>Line 12 + (Line 13 * (1/(1 - Line 14)))</v>
      </c>
      <c r="F25" s="14"/>
      <c r="G25" s="14"/>
    </row>
    <row r="26" spans="1:7" ht="13">
      <c r="A26" s="2">
        <f t="shared" si="0"/>
        <v>17</v>
      </c>
      <c r="B26" s="15"/>
      <c r="C26" s="14"/>
      <c r="D26" s="357"/>
      <c r="E26" s="46"/>
      <c r="F26" s="14"/>
    </row>
    <row r="27" spans="1:7" ht="13">
      <c r="A27" s="2">
        <f t="shared" si="0"/>
        <v>18</v>
      </c>
      <c r="B27" s="70" t="s">
        <v>995</v>
      </c>
      <c r="C27" s="14"/>
      <c r="D27" s="357"/>
      <c r="E27" s="46"/>
      <c r="F27" s="14"/>
    </row>
    <row r="28" spans="1:7" ht="13">
      <c r="A28" s="2">
        <f t="shared" si="0"/>
        <v>19</v>
      </c>
      <c r="B28" s="15"/>
      <c r="C28" s="14"/>
      <c r="D28" s="357"/>
      <c r="E28" s="46"/>
      <c r="F28" s="14"/>
    </row>
    <row r="29" spans="1:7" ht="13">
      <c r="A29" s="2">
        <f t="shared" si="0"/>
        <v>20</v>
      </c>
      <c r="B29" s="368" t="s">
        <v>1078</v>
      </c>
      <c r="C29" s="14"/>
      <c r="D29" s="357"/>
      <c r="E29" s="46"/>
      <c r="F29" s="14"/>
    </row>
    <row r="30" spans="1:7" ht="13">
      <c r="A30" s="2">
        <f t="shared" si="0"/>
        <v>21</v>
      </c>
      <c r="B30" s="368" t="s">
        <v>1079</v>
      </c>
      <c r="C30" s="14"/>
      <c r="D30" s="357"/>
      <c r="E30" s="46"/>
      <c r="F30" s="14"/>
    </row>
    <row r="31" spans="1:7" ht="13">
      <c r="A31" s="2">
        <f t="shared" si="0"/>
        <v>22</v>
      </c>
      <c r="C31" s="14"/>
      <c r="D31" s="357"/>
      <c r="E31" s="46"/>
      <c r="F31" s="14"/>
    </row>
    <row r="32" spans="1:7" ht="13">
      <c r="A32" s="2">
        <f t="shared" si="0"/>
        <v>23</v>
      </c>
      <c r="B32" s="370" t="s">
        <v>1044</v>
      </c>
      <c r="C32" s="14"/>
      <c r="D32" s="357"/>
      <c r="E32" s="46"/>
      <c r="F32" s="14"/>
    </row>
    <row r="33" spans="1:11" ht="13">
      <c r="A33" s="2">
        <f t="shared" si="0"/>
        <v>24</v>
      </c>
      <c r="F33" s="14"/>
    </row>
    <row r="34" spans="1:11" ht="13">
      <c r="A34" s="2">
        <f t="shared" si="0"/>
        <v>25</v>
      </c>
      <c r="B34" s="70" t="s">
        <v>1065</v>
      </c>
      <c r="F34" s="14"/>
    </row>
    <row r="35" spans="1:11" ht="13">
      <c r="A35" s="2">
        <f t="shared" si="0"/>
        <v>26</v>
      </c>
      <c r="B35" s="12"/>
      <c r="E35" s="3" t="s">
        <v>205</v>
      </c>
      <c r="F35" s="14"/>
    </row>
    <row r="36" spans="1:11" ht="13">
      <c r="A36" s="2">
        <f t="shared" si="0"/>
        <v>27</v>
      </c>
      <c r="C36" s="94" t="s">
        <v>1050</v>
      </c>
      <c r="D36" s="101">
        <f>'6-PlantInService'!M24</f>
        <v>9285531120.7645969</v>
      </c>
      <c r="E36" s="46" t="str">
        <f>"6-PlantInService, Line "&amp;'6-PlantInService'!A24&amp;""</f>
        <v>6-PlantInService, Line 13</v>
      </c>
      <c r="F36" s="14"/>
      <c r="G36" s="14"/>
    </row>
    <row r="37" spans="1:11" ht="13">
      <c r="A37" s="2">
        <f t="shared" si="0"/>
        <v>28</v>
      </c>
      <c r="C37" s="94" t="s">
        <v>1051</v>
      </c>
      <c r="D37" s="101">
        <f>'6-PlantInService'!F36</f>
        <v>0</v>
      </c>
      <c r="E37" s="46" t="str">
        <f>"6-PlantInService, Line "&amp;'6-PlantInService'!A36&amp;""</f>
        <v>6-PlantInService, Line 16</v>
      </c>
      <c r="F37" s="14"/>
      <c r="G37" s="14"/>
    </row>
    <row r="38" spans="1:11" ht="13">
      <c r="A38" s="2">
        <f t="shared" si="0"/>
        <v>29</v>
      </c>
      <c r="C38" s="94" t="s">
        <v>1063</v>
      </c>
      <c r="D38" s="101">
        <f>'8-AccDep'!N24</f>
        <v>1910452318.1000457</v>
      </c>
      <c r="E38" s="46" t="str">
        <f>"8-AccDep, Line "&amp;'8-AccDep'!A24&amp;""</f>
        <v>8-AccDep, Line 13</v>
      </c>
      <c r="F38" s="14"/>
      <c r="G38" s="14"/>
    </row>
    <row r="39" spans="1:11" ht="13">
      <c r="A39" s="2">
        <f t="shared" si="0"/>
        <v>30</v>
      </c>
      <c r="C39" s="94" t="s">
        <v>1064</v>
      </c>
      <c r="D39" s="91">
        <f>'8-AccDep'!G34</f>
        <v>0</v>
      </c>
      <c r="E39" s="46" t="str">
        <f>"8-AccDep, Line "&amp;'8-AccDep'!A34&amp;""</f>
        <v>8-AccDep, Line 16</v>
      </c>
      <c r="F39" s="14"/>
      <c r="G39" s="14"/>
    </row>
    <row r="40" spans="1:11" ht="13">
      <c r="A40" s="2">
        <f t="shared" si="0"/>
        <v>31</v>
      </c>
      <c r="C40" s="94" t="s">
        <v>996</v>
      </c>
      <c r="D40" s="7">
        <f>(D36+D37)-(D38+D39)</f>
        <v>7375078802.6645508</v>
      </c>
      <c r="E40" s="46" t="str">
        <f>"(L"&amp;A36&amp;" + L"&amp;A37&amp;") - (L"&amp;A38&amp;" + L"&amp;A39&amp;")"</f>
        <v>(L27 + L28) - (L29 + L30)</v>
      </c>
      <c r="F40" s="14"/>
      <c r="G40" s="14"/>
    </row>
    <row r="41" spans="1:11" ht="13">
      <c r="A41" s="2">
        <f t="shared" si="0"/>
        <v>32</v>
      </c>
      <c r="C41" s="94"/>
      <c r="D41" s="7"/>
      <c r="E41" s="46"/>
      <c r="F41" s="14"/>
      <c r="G41" s="14"/>
    </row>
    <row r="42" spans="1:11" ht="13">
      <c r="A42" s="2">
        <f t="shared" si="0"/>
        <v>33</v>
      </c>
      <c r="B42" s="70" t="s">
        <v>1406</v>
      </c>
      <c r="E42" s="14"/>
      <c r="F42" s="14"/>
      <c r="G42" s="14"/>
    </row>
    <row r="43" spans="1:11" ht="13">
      <c r="A43" s="457">
        <f t="shared" si="0"/>
        <v>34</v>
      </c>
      <c r="B43" s="70"/>
      <c r="E43" s="14"/>
      <c r="F43" s="14"/>
      <c r="G43" s="14"/>
    </row>
    <row r="44" spans="1:11" ht="13">
      <c r="A44" s="457">
        <f t="shared" si="0"/>
        <v>35</v>
      </c>
      <c r="B44" s="70" t="s">
        <v>1407</v>
      </c>
      <c r="E44" s="14"/>
      <c r="F44" s="14"/>
      <c r="G44" s="14"/>
    </row>
    <row r="45" spans="1:11" ht="13">
      <c r="A45" s="457">
        <f t="shared" si="0"/>
        <v>36</v>
      </c>
      <c r="B45" s="55" t="s">
        <v>1408</v>
      </c>
      <c r="E45" s="14"/>
      <c r="F45" s="14"/>
      <c r="G45" s="14"/>
    </row>
    <row r="46" spans="1:11" ht="13">
      <c r="A46" s="457">
        <f t="shared" si="0"/>
        <v>37</v>
      </c>
      <c r="B46" s="70"/>
      <c r="C46" s="94" t="s">
        <v>1426</v>
      </c>
      <c r="D46" s="101">
        <f>'10-CWIP'!D25</f>
        <v>647481518.01999998</v>
      </c>
      <c r="E46" s="46" t="str">
        <f>"10-CWIP, L "&amp;'10-CWIP'!A25&amp;" C1"</f>
        <v>10-CWIP, L 13 C1</v>
      </c>
      <c r="F46" s="14"/>
      <c r="G46" s="14"/>
      <c r="K46" s="7"/>
    </row>
    <row r="47" spans="1:11" ht="13">
      <c r="A47" s="457">
        <f t="shared" si="0"/>
        <v>38</v>
      </c>
      <c r="B47" s="70"/>
      <c r="C47" s="94" t="s">
        <v>351</v>
      </c>
      <c r="D47" s="124">
        <f>D25</f>
        <v>9.4358405654189348E-2</v>
      </c>
      <c r="E47" s="46" t="str">
        <f>"Line "&amp;A25&amp;""</f>
        <v>Line 16</v>
      </c>
      <c r="F47" s="14"/>
      <c r="G47" s="14"/>
      <c r="K47" s="7"/>
    </row>
    <row r="48" spans="1:11" ht="13">
      <c r="A48" s="457">
        <f t="shared" si="0"/>
        <v>39</v>
      </c>
      <c r="B48" s="70"/>
      <c r="C48" s="94" t="s">
        <v>1401</v>
      </c>
      <c r="D48" s="101">
        <f>D46*D47</f>
        <v>61095323.73092147</v>
      </c>
      <c r="E48" s="46" t="str">
        <f>"Line "&amp;A46&amp;" * Line "&amp;A47&amp;""</f>
        <v>Line 37 * Line 38</v>
      </c>
      <c r="F48" s="14"/>
      <c r="G48" s="14"/>
      <c r="K48" s="7"/>
    </row>
    <row r="49" spans="1:11" ht="13">
      <c r="A49" s="457">
        <f t="shared" si="0"/>
        <v>40</v>
      </c>
      <c r="B49" s="70"/>
      <c r="C49" s="94"/>
      <c r="D49" s="101"/>
      <c r="E49" s="46"/>
      <c r="F49" s="14"/>
      <c r="G49" s="14"/>
      <c r="K49" s="7"/>
    </row>
    <row r="50" spans="1:11" ht="13">
      <c r="A50" s="457">
        <f t="shared" si="0"/>
        <v>41</v>
      </c>
      <c r="B50" s="55" t="s">
        <v>1409</v>
      </c>
      <c r="E50" s="14"/>
      <c r="F50" s="14"/>
      <c r="G50" s="14"/>
      <c r="K50" s="7"/>
    </row>
    <row r="51" spans="1:11" ht="13">
      <c r="A51" s="457">
        <f t="shared" si="0"/>
        <v>42</v>
      </c>
      <c r="B51" s="70"/>
      <c r="C51" s="94" t="s">
        <v>1415</v>
      </c>
      <c r="D51" s="101">
        <f>'15-IncentiveAdder'!G17</f>
        <v>6595.7198638087975</v>
      </c>
      <c r="E51" s="113" t="str">
        <f>"15-IncentiveAdder, Line "&amp;'15-IncentiveAdder'!A17&amp;""</f>
        <v>15-IncentiveAdder, Line 3</v>
      </c>
      <c r="F51" s="14"/>
      <c r="G51" s="14"/>
      <c r="K51" s="7"/>
    </row>
    <row r="52" spans="1:11" ht="13">
      <c r="A52" s="457">
        <f t="shared" si="0"/>
        <v>43</v>
      </c>
      <c r="B52" s="70"/>
      <c r="C52" s="94"/>
      <c r="E52" s="14"/>
      <c r="F52" s="14"/>
      <c r="G52" s="14"/>
      <c r="K52" s="7"/>
    </row>
    <row r="53" spans="1:11" ht="13">
      <c r="A53" s="457">
        <f t="shared" si="0"/>
        <v>44</v>
      </c>
      <c r="B53" s="70"/>
      <c r="C53" s="94" t="s">
        <v>1388</v>
      </c>
      <c r="D53" s="7">
        <f>'10-CWIP'!E25</f>
        <v>157682.99</v>
      </c>
      <c r="E53" s="46" t="str">
        <f>"10-CWIP, Line "&amp;'10-CWIP'!A25&amp;""</f>
        <v>10-CWIP, Line 13</v>
      </c>
      <c r="F53" s="15"/>
      <c r="G53" s="14"/>
      <c r="K53" s="7"/>
    </row>
    <row r="54" spans="1:11" ht="13">
      <c r="A54" s="457">
        <f t="shared" si="0"/>
        <v>45</v>
      </c>
      <c r="B54" s="70"/>
      <c r="C54" s="94" t="s">
        <v>1412</v>
      </c>
      <c r="D54" s="42">
        <f>'15-IncentiveAdder'!E26</f>
        <v>1.2500000000000001E-2</v>
      </c>
      <c r="E54" s="113" t="str">
        <f>"15-IncentiveAdder, Line "&amp;'15-IncentiveAdder'!A26&amp;""</f>
        <v>15-IncentiveAdder, Line 5</v>
      </c>
      <c r="F54" s="15"/>
      <c r="G54" s="14"/>
      <c r="K54" s="7"/>
    </row>
    <row r="55" spans="1:11" ht="13">
      <c r="A55" s="457">
        <f t="shared" si="0"/>
        <v>46</v>
      </c>
      <c r="B55" s="70"/>
      <c r="C55" s="94" t="s">
        <v>1411</v>
      </c>
      <c r="D55" s="7">
        <f>(D53/1000000)*($D$51*(D54/0.01))</f>
        <v>1300.041036659705</v>
      </c>
      <c r="E55" s="466" t="str">
        <f>"Formula on Line "&amp;A61&amp;""</f>
        <v>Formula on Line 52</v>
      </c>
      <c r="F55" s="14"/>
      <c r="G55" s="14"/>
      <c r="K55" s="7"/>
    </row>
    <row r="56" spans="1:11" ht="13">
      <c r="A56" s="457">
        <f t="shared" si="0"/>
        <v>47</v>
      </c>
      <c r="B56" s="70"/>
      <c r="C56" s="94"/>
      <c r="E56" s="63"/>
      <c r="F56" s="14"/>
      <c r="G56" s="14"/>
      <c r="K56" s="7"/>
    </row>
    <row r="57" spans="1:11" ht="13">
      <c r="A57" s="457">
        <f t="shared" si="0"/>
        <v>48</v>
      </c>
      <c r="C57" s="94" t="s">
        <v>1410</v>
      </c>
      <c r="D57" s="7">
        <f>'10-CWIP'!F25</f>
        <v>0</v>
      </c>
      <c r="E57" s="46" t="str">
        <f>"10-CWIP, Line "&amp;'10-CWIP'!A25&amp;""</f>
        <v>10-CWIP, Line 13</v>
      </c>
      <c r="F57" s="14"/>
      <c r="G57" s="14"/>
      <c r="K57" s="7"/>
    </row>
    <row r="58" spans="1:11" ht="13">
      <c r="A58" s="457">
        <f t="shared" si="0"/>
        <v>49</v>
      </c>
      <c r="C58" s="94" t="s">
        <v>1413</v>
      </c>
      <c r="D58" s="42">
        <f>'15-IncentiveAdder'!E27</f>
        <v>0.01</v>
      </c>
      <c r="E58" s="113" t="str">
        <f>"15-IncentiveAdder, Line "&amp;'15-IncentiveAdder'!A27&amp;""</f>
        <v>15-IncentiveAdder, Line 6</v>
      </c>
      <c r="F58" s="14"/>
      <c r="G58" s="14"/>
      <c r="K58" s="7"/>
    </row>
    <row r="59" spans="1:11" ht="13">
      <c r="A59" s="457">
        <f t="shared" si="0"/>
        <v>50</v>
      </c>
      <c r="C59" s="94" t="s">
        <v>1414</v>
      </c>
      <c r="D59" s="7">
        <f>(D57/1000000)*($D$51*(D58/0.01))</f>
        <v>0</v>
      </c>
      <c r="E59" s="46" t="str">
        <f>"Formula on Line "&amp;A61&amp;""</f>
        <v>Formula on Line 52</v>
      </c>
      <c r="F59" s="14"/>
      <c r="G59" s="14"/>
      <c r="K59" s="7"/>
    </row>
    <row r="60" spans="1:11" ht="13">
      <c r="A60" s="457">
        <f t="shared" si="0"/>
        <v>51</v>
      </c>
      <c r="C60" s="94"/>
      <c r="D60" s="7"/>
      <c r="E60" s="46"/>
      <c r="F60" s="14"/>
      <c r="G60" s="14"/>
      <c r="K60" s="7"/>
    </row>
    <row r="61" spans="1:11" ht="13">
      <c r="A61" s="457">
        <f t="shared" si="0"/>
        <v>52</v>
      </c>
      <c r="C61" s="50" t="s">
        <v>1390</v>
      </c>
      <c r="D61" s="7"/>
      <c r="E61" s="46"/>
      <c r="F61" s="14"/>
      <c r="G61" s="14"/>
      <c r="K61" s="7"/>
    </row>
    <row r="62" spans="1:11" ht="13">
      <c r="A62" s="457">
        <f t="shared" si="0"/>
        <v>53</v>
      </c>
      <c r="E62" s="14"/>
      <c r="F62" s="14"/>
      <c r="G62" s="14"/>
      <c r="K62" s="7"/>
    </row>
    <row r="63" spans="1:11" ht="13">
      <c r="A63" s="457">
        <f t="shared" si="0"/>
        <v>54</v>
      </c>
      <c r="C63" s="465" t="s">
        <v>1445</v>
      </c>
      <c r="D63" s="101">
        <f>D48+D55+D59</f>
        <v>61096623.771958128</v>
      </c>
      <c r="E63" s="46" t="str">
        <f>"Line "&amp;A48&amp;" + Line "&amp;A55&amp;" + Line "&amp;A59&amp;""</f>
        <v>Line 39 + Line 46 + Line 50</v>
      </c>
      <c r="F63" s="14"/>
      <c r="G63" s="14"/>
      <c r="K63" s="7"/>
    </row>
    <row r="64" spans="1:11" ht="13">
      <c r="A64" s="464">
        <f t="shared" si="0"/>
        <v>55</v>
      </c>
      <c r="C64" s="465" t="s">
        <v>1444</v>
      </c>
      <c r="D64" s="91">
        <f>('28-FFU'!D22+'28-FFU'!E22)*D63</f>
        <v>695406.9927028605</v>
      </c>
      <c r="E64" s="466" t="str">
        <f>"(28-FFU, L"&amp;'28-FFU'!A22&amp;" FF Factor + U Factor) * L"&amp;A63&amp;""</f>
        <v>(28-FFU, L5 FF Factor + U Factor) * L54</v>
      </c>
      <c r="F64" s="14"/>
      <c r="G64" s="14"/>
      <c r="K64" s="7"/>
    </row>
    <row r="65" spans="1:11" ht="13">
      <c r="A65" s="464">
        <f t="shared" si="0"/>
        <v>56</v>
      </c>
      <c r="C65" s="465" t="s">
        <v>1446</v>
      </c>
      <c r="D65" s="101">
        <f>SUM(D63:D64)</f>
        <v>61792030.764660992</v>
      </c>
      <c r="E65" s="46" t="str">
        <f>"Line "&amp;A63&amp;" + Line "&amp;A64&amp;""</f>
        <v>Line 54 + Line 55</v>
      </c>
      <c r="F65" s="14"/>
      <c r="K65" s="7"/>
    </row>
    <row r="66" spans="1:11" ht="13">
      <c r="A66" s="464">
        <f t="shared" si="0"/>
        <v>57</v>
      </c>
      <c r="C66" s="94"/>
      <c r="D66" s="101"/>
      <c r="E66" s="46"/>
      <c r="F66" s="14"/>
      <c r="K66" s="7"/>
    </row>
    <row r="67" spans="1:11" ht="13">
      <c r="A67" s="464">
        <f t="shared" si="0"/>
        <v>58</v>
      </c>
      <c r="B67" s="70" t="s">
        <v>1416</v>
      </c>
      <c r="C67" s="94"/>
      <c r="D67" s="101"/>
      <c r="E67" s="46"/>
      <c r="F67" s="14"/>
      <c r="K67" s="7"/>
    </row>
    <row r="68" spans="1:11" ht="13">
      <c r="A68" s="464">
        <f t="shared" si="0"/>
        <v>59</v>
      </c>
      <c r="F68" s="14"/>
      <c r="K68" s="7"/>
    </row>
    <row r="69" spans="1:11" ht="13">
      <c r="A69" s="110">
        <f t="shared" si="0"/>
        <v>60</v>
      </c>
      <c r="B69" s="14"/>
      <c r="C69" s="849" t="s">
        <v>1445</v>
      </c>
      <c r="D69" s="47">
        <f>D63</f>
        <v>61096623.771958128</v>
      </c>
      <c r="E69" s="46" t="str">
        <f>"Line "&amp;A63&amp;""</f>
        <v>Line 54</v>
      </c>
      <c r="F69" s="14"/>
      <c r="K69" s="7"/>
    </row>
    <row r="70" spans="1:11" ht="13">
      <c r="A70" s="110">
        <f t="shared" si="0"/>
        <v>61</v>
      </c>
      <c r="B70" s="14"/>
      <c r="C70" s="849" t="s">
        <v>1706</v>
      </c>
      <c r="D70" s="47">
        <f>'1-BaseTRR'!K139</f>
        <v>1034328514.3232715</v>
      </c>
      <c r="E70" s="46" t="str">
        <f>"1-BaseTRR, Line "&amp;'1-BaseTRR'!A139&amp;""</f>
        <v>1-BaseTRR, Line 78</v>
      </c>
      <c r="F70" s="14"/>
      <c r="K70" s="7"/>
    </row>
    <row r="71" spans="1:11" ht="13">
      <c r="A71" s="110">
        <f t="shared" si="0"/>
        <v>62</v>
      </c>
      <c r="B71" s="14"/>
      <c r="C71" s="357" t="s">
        <v>1427</v>
      </c>
      <c r="D71" s="47">
        <f>D70-D69</f>
        <v>973231890.5513134</v>
      </c>
      <c r="E71" s="46" t="str">
        <f>"Line "&amp;A70&amp;" - Line "&amp;A69&amp;""</f>
        <v>Line 61 - Line 60</v>
      </c>
      <c r="F71" s="14"/>
      <c r="K71" s="7"/>
    </row>
    <row r="72" spans="1:11" ht="13">
      <c r="A72" s="110">
        <f t="shared" si="0"/>
        <v>63</v>
      </c>
      <c r="B72" s="14"/>
      <c r="C72" s="850" t="s">
        <v>1818</v>
      </c>
      <c r="D72" s="63">
        <f>('1-BaseTRR'!K126+'1-BaseTRR'!K127)*0.75</f>
        <v>144488900.88409406</v>
      </c>
      <c r="E72" s="46" t="str">
        <f>"(1-BaseTRR, Line "&amp;'1-BaseTRR'!A126&amp;" + Line "&amp;'1-BaseTRR'!A127&amp;") * .75"</f>
        <v>(1-BaseTRR, Line 66 + Line 67) * .75</v>
      </c>
      <c r="F72" s="14"/>
      <c r="G72" s="14"/>
      <c r="K72" s="7"/>
    </row>
    <row r="73" spans="1:11" ht="13">
      <c r="A73" s="110">
        <f t="shared" si="0"/>
        <v>64</v>
      </c>
      <c r="B73" s="14"/>
      <c r="C73" s="357" t="s">
        <v>271</v>
      </c>
      <c r="D73" s="847">
        <f xml:space="preserve"> (D71-D72)/D40</f>
        <v>0.11237073010905346</v>
      </c>
      <c r="E73" s="46" t="str">
        <f>"(Line "&amp;A71&amp;" - Line "&amp;A72&amp;") / Line "&amp;A40&amp;""</f>
        <v>(Line 62 - Line 63) / Line 31</v>
      </c>
      <c r="F73" s="14"/>
      <c r="K73" s="7"/>
    </row>
    <row r="74" spans="1:11" ht="13">
      <c r="A74" s="110">
        <f t="shared" si="0"/>
        <v>65</v>
      </c>
      <c r="B74" s="14"/>
      <c r="C74" s="14"/>
      <c r="D74" s="63"/>
      <c r="E74" s="46"/>
      <c r="F74" s="14"/>
    </row>
    <row r="75" spans="1:11" ht="13">
      <c r="A75" s="110">
        <f t="shared" si="0"/>
        <v>66</v>
      </c>
      <c r="B75" s="44" t="s">
        <v>349</v>
      </c>
      <c r="C75" s="14"/>
      <c r="D75" s="14"/>
      <c r="E75" s="14"/>
      <c r="F75" s="14"/>
    </row>
    <row r="76" spans="1:11" ht="13">
      <c r="A76" s="110">
        <f t="shared" si="0"/>
        <v>67</v>
      </c>
      <c r="B76" s="14"/>
      <c r="C76" s="14"/>
      <c r="D76" s="14"/>
      <c r="E76" s="14"/>
      <c r="F76" s="14"/>
    </row>
    <row r="77" spans="1:11" ht="13">
      <c r="A77" s="110">
        <f t="shared" si="0"/>
        <v>68</v>
      </c>
      <c r="B77" s="14"/>
      <c r="C77" s="14"/>
      <c r="D77" s="14"/>
      <c r="E77" s="123" t="s">
        <v>205</v>
      </c>
      <c r="F77" s="14"/>
      <c r="I77" s="1"/>
    </row>
    <row r="78" spans="1:11" ht="13">
      <c r="A78" s="110">
        <f t="shared" si="0"/>
        <v>69</v>
      </c>
      <c r="B78" s="14"/>
      <c r="C78" s="357" t="s">
        <v>270</v>
      </c>
      <c r="D78" s="63">
        <f>'16-PlantAdditions'!N37</f>
        <v>1185405572.5791755</v>
      </c>
      <c r="E78" s="46" t="str">
        <f>"16-PlantAdditions, L "&amp;'16-PlantAdditions'!A37&amp;", C10"</f>
        <v>16-PlantAdditions, L 25, C10</v>
      </c>
      <c r="F78" s="14"/>
      <c r="K78" s="7"/>
    </row>
    <row r="79" spans="1:11" ht="13">
      <c r="A79" s="110">
        <f t="shared" si="0"/>
        <v>70</v>
      </c>
      <c r="B79" s="14"/>
      <c r="C79" s="357" t="s">
        <v>271</v>
      </c>
      <c r="D79" s="851">
        <f>D73</f>
        <v>0.11237073010905346</v>
      </c>
      <c r="E79" s="46" t="str">
        <f>"Line "&amp;A73&amp;""</f>
        <v>Line 64</v>
      </c>
      <c r="F79" s="14"/>
      <c r="K79" s="671"/>
    </row>
    <row r="80" spans="1:11" ht="13">
      <c r="A80" s="110">
        <f t="shared" si="0"/>
        <v>71</v>
      </c>
      <c r="B80" s="14"/>
      <c r="C80" s="357" t="s">
        <v>350</v>
      </c>
      <c r="D80" s="63">
        <f>D78*D79</f>
        <v>133204889.66606252</v>
      </c>
      <c r="E80" s="46" t="str">
        <f>"Line "&amp;A78&amp;" * Line "&amp;A79&amp;""</f>
        <v>Line 69 * Line 70</v>
      </c>
      <c r="F80" s="14"/>
      <c r="K80" s="7"/>
    </row>
    <row r="81" spans="1:11" ht="13">
      <c r="A81" s="110">
        <f t="shared" si="0"/>
        <v>72</v>
      </c>
      <c r="B81" s="14"/>
      <c r="C81" s="14"/>
      <c r="D81" s="14"/>
      <c r="E81" s="14"/>
      <c r="F81" s="14"/>
      <c r="K81" s="7"/>
    </row>
    <row r="82" spans="1:11" ht="13">
      <c r="A82" s="110">
        <f t="shared" si="0"/>
        <v>73</v>
      </c>
      <c r="B82" s="14"/>
      <c r="C82" s="357" t="s">
        <v>353</v>
      </c>
      <c r="D82" s="63">
        <f>'10-CWIP'!K79</f>
        <v>-371898027.79150784</v>
      </c>
      <c r="E82" s="46" t="str">
        <f>"10-CWIP, L "&amp;'10-CWIP'!A79&amp;", C8"</f>
        <v>10-CWIP, L 54, C8</v>
      </c>
      <c r="F82" s="14"/>
      <c r="K82" s="7"/>
    </row>
    <row r="83" spans="1:11" ht="13">
      <c r="A83" s="110">
        <f t="shared" si="0"/>
        <v>74</v>
      </c>
      <c r="B83" s="14"/>
      <c r="C83" s="357" t="s">
        <v>351</v>
      </c>
      <c r="D83" s="851">
        <f>D25</f>
        <v>9.4358405654189348E-2</v>
      </c>
      <c r="E83" s="46" t="str">
        <f>"Line "&amp;A25&amp;""</f>
        <v>Line 16</v>
      </c>
      <c r="F83" s="14"/>
      <c r="K83" s="671"/>
    </row>
    <row r="84" spans="1:11" ht="13">
      <c r="A84" s="110">
        <f t="shared" si="0"/>
        <v>75</v>
      </c>
      <c r="B84" s="14"/>
      <c r="C84" s="357" t="s">
        <v>352</v>
      </c>
      <c r="D84" s="63">
        <f>D82*D83</f>
        <v>-35091704.968344077</v>
      </c>
      <c r="E84" s="46" t="str">
        <f>"Line "&amp;A82&amp;" * Line "&amp;A83&amp;""</f>
        <v>Line 73 * Line 74</v>
      </c>
      <c r="F84" s="14"/>
      <c r="K84" s="7"/>
    </row>
    <row r="85" spans="1:11" ht="13">
      <c r="A85" s="110">
        <f t="shared" si="0"/>
        <v>76</v>
      </c>
      <c r="B85" s="14"/>
      <c r="C85" s="14"/>
      <c r="D85" s="14"/>
      <c r="E85" s="14"/>
      <c r="F85" s="14"/>
      <c r="K85" s="7"/>
    </row>
    <row r="86" spans="1:11" ht="13">
      <c r="A86" s="110">
        <f t="shared" si="0"/>
        <v>77</v>
      </c>
      <c r="B86" s="14"/>
      <c r="C86" s="357" t="s">
        <v>1432</v>
      </c>
      <c r="D86" s="63">
        <f>D80+D84</f>
        <v>98113184.697718441</v>
      </c>
      <c r="E86" s="46" t="str">
        <f>"Line "&amp;A80&amp;" + Line "&amp;A84&amp;""</f>
        <v>Line 71 + Line 75</v>
      </c>
      <c r="F86" s="14"/>
      <c r="K86" s="7"/>
    </row>
    <row r="87" spans="1:11" ht="13">
      <c r="A87" s="110">
        <f t="shared" si="0"/>
        <v>78</v>
      </c>
      <c r="B87" s="14"/>
      <c r="C87" s="14"/>
      <c r="D87" s="14"/>
      <c r="E87" s="14"/>
      <c r="F87" s="14"/>
      <c r="K87" s="7"/>
    </row>
    <row r="88" spans="1:11" ht="13">
      <c r="A88" s="110">
        <f t="shared" ref="A88:A91" si="1">A87+1</f>
        <v>79</v>
      </c>
      <c r="B88" s="14"/>
      <c r="C88" s="357" t="s">
        <v>1433</v>
      </c>
      <c r="D88" s="63">
        <f>'28-FFU'!D22*D86</f>
        <v>907358.37199436198</v>
      </c>
      <c r="E88" s="113" t="str">
        <f>"Line "&amp;A86&amp;" * FF (from 28-FFU, L "&amp;'28-FFU'!A22&amp;")"</f>
        <v>Line 77 * FF (from 28-FFU, L 5)</v>
      </c>
      <c r="F88" s="14"/>
      <c r="K88" s="7"/>
    </row>
    <row r="89" spans="1:11" ht="13">
      <c r="A89" s="110">
        <f t="shared" si="1"/>
        <v>80</v>
      </c>
      <c r="B89" s="14"/>
      <c r="C89" s="79" t="s">
        <v>1434</v>
      </c>
      <c r="D89" s="63">
        <f>'28-FFU'!E22*D86</f>
        <v>209374.28036630686</v>
      </c>
      <c r="E89" s="113" t="str">
        <f>"Line "&amp;A86&amp;" * U (from 28-FFU, L "&amp;'28-FFU'!A22&amp;")"</f>
        <v>Line 77 * U (from 28-FFU, L 5)</v>
      </c>
      <c r="F89" s="14"/>
      <c r="K89" s="7"/>
    </row>
    <row r="90" spans="1:11" ht="13">
      <c r="A90" s="110">
        <f t="shared" si="1"/>
        <v>81</v>
      </c>
      <c r="B90" s="14"/>
      <c r="C90" s="14"/>
      <c r="D90" s="63"/>
      <c r="E90" s="14"/>
      <c r="F90" s="14"/>
      <c r="K90" s="7"/>
    </row>
    <row r="91" spans="1:11" ht="13">
      <c r="A91" s="110">
        <f t="shared" si="1"/>
        <v>82</v>
      </c>
      <c r="B91" s="14"/>
      <c r="C91" s="79" t="s">
        <v>354</v>
      </c>
      <c r="D91" s="63">
        <f>D86+D88+D89</f>
        <v>99229917.350079104</v>
      </c>
      <c r="E91" s="46" t="str">
        <f>"Line "&amp;A86&amp;" + Line "&amp;A88&amp;" + Line "&amp;A89&amp;""</f>
        <v>Line 77 + Line 79 + Line 80</v>
      </c>
      <c r="F91" s="14"/>
      <c r="K91" s="7"/>
    </row>
  </sheetData>
  <phoneticPr fontId="23" type="noConversion"/>
  <pageMargins left="0.75" right="0.75" top="1" bottom="1" header="0.5" footer="0.5"/>
  <pageSetup scale="75" orientation="portrait" cellComments="asDisplayed" r:id="rId1"/>
  <headerFooter alignWithMargins="0">
    <oddHeader>&amp;CSchedule 2
Incremental Forecast Period TRR
&amp;RTO2021 Draft Annual Update 
Attachment 1</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zoomScaleNormal="100" workbookViewId="0">
      <selection activeCell="A19" sqref="A19"/>
    </sheetView>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5.453125" customWidth="1"/>
    <col min="13" max="16" width="12.54296875" customWidth="1"/>
  </cols>
  <sheetData>
    <row r="1" spans="1:12" ht="13">
      <c r="A1" s="1" t="s">
        <v>1668</v>
      </c>
      <c r="B1" s="228"/>
      <c r="C1" s="228"/>
      <c r="D1" s="228"/>
      <c r="E1" s="228"/>
      <c r="F1" s="228"/>
      <c r="G1" s="228"/>
      <c r="H1" s="228"/>
      <c r="I1" s="228"/>
      <c r="J1" s="228"/>
      <c r="K1" s="228"/>
      <c r="L1" s="228"/>
    </row>
    <row r="2" spans="1:12">
      <c r="A2" s="228"/>
      <c r="B2" s="228"/>
      <c r="C2" s="228"/>
      <c r="D2" s="228"/>
      <c r="E2" s="228"/>
      <c r="F2" s="228"/>
      <c r="G2" s="228"/>
      <c r="H2" s="228"/>
      <c r="I2" s="228"/>
      <c r="J2" s="228"/>
      <c r="K2" s="228"/>
      <c r="L2" s="228"/>
    </row>
    <row r="3" spans="1:12" ht="13">
      <c r="A3" s="228"/>
      <c r="B3" s="1" t="s">
        <v>488</v>
      </c>
      <c r="C3" s="228"/>
      <c r="D3" s="228"/>
      <c r="E3" s="228"/>
      <c r="F3" s="228"/>
      <c r="G3" s="228"/>
      <c r="H3" s="228"/>
      <c r="I3" s="228"/>
      <c r="J3" s="228"/>
      <c r="K3" s="228"/>
      <c r="L3" s="228"/>
    </row>
    <row r="4" spans="1:12">
      <c r="A4" s="228"/>
      <c r="B4" s="471" t="s">
        <v>2242</v>
      </c>
      <c r="C4" s="228"/>
      <c r="D4" s="228"/>
      <c r="E4" s="228"/>
      <c r="F4" s="228"/>
      <c r="G4" s="228"/>
      <c r="H4" s="228"/>
      <c r="I4" s="228"/>
      <c r="J4" s="228"/>
      <c r="K4" s="228"/>
      <c r="L4" s="228"/>
    </row>
    <row r="5" spans="1:12">
      <c r="A5" s="228"/>
      <c r="B5" s="13" t="s">
        <v>1479</v>
      </c>
      <c r="C5" s="228"/>
      <c r="D5" s="228"/>
      <c r="E5" s="228"/>
      <c r="F5" s="228"/>
      <c r="G5" s="228"/>
      <c r="H5" s="228"/>
      <c r="I5" s="228"/>
      <c r="J5" s="228"/>
      <c r="K5" s="228"/>
      <c r="L5" s="228"/>
    </row>
    <row r="6" spans="1:12">
      <c r="A6" s="228"/>
      <c r="B6" s="471" t="s">
        <v>1052</v>
      </c>
      <c r="C6" s="228"/>
      <c r="D6" s="228"/>
      <c r="E6" s="228"/>
      <c r="F6" s="228"/>
      <c r="G6" s="228"/>
      <c r="H6" s="228"/>
      <c r="I6" s="228"/>
      <c r="J6" s="228"/>
      <c r="K6" s="228"/>
      <c r="L6" s="228"/>
    </row>
    <row r="7" spans="1:12">
      <c r="A7" s="228"/>
      <c r="B7" s="471" t="str">
        <f>"d) Include previous Annual Update Cumulative Excess or Shortfall in Prior Year (from Previous Annual Update Line "&amp;A36&amp;")"</f>
        <v>d) Include previous Annual Update Cumulative Excess or Shortfall in Prior Year (from Previous Annual Update Line 23)</v>
      </c>
      <c r="C7" s="228"/>
      <c r="D7" s="228"/>
      <c r="E7" s="228"/>
      <c r="F7" s="228"/>
      <c r="G7" s="228"/>
      <c r="H7" s="228"/>
      <c r="I7" s="228"/>
      <c r="J7" s="228"/>
      <c r="K7" s="228"/>
      <c r="L7" s="228"/>
    </row>
    <row r="8" spans="1:12">
      <c r="A8" s="228"/>
      <c r="B8" s="1053" t="str">
        <f>"and any One-Time Adjustments in Column 4 (Lines "&amp;A24&amp;" and "&amp;A25&amp;" respectively)."</f>
        <v>and any One-Time Adjustments in Column 4 (Lines 11 and 12 respectively).</v>
      </c>
      <c r="C8" s="228"/>
      <c r="D8" s="228"/>
      <c r="E8" s="228"/>
      <c r="F8" s="228"/>
      <c r="G8" s="228"/>
      <c r="H8" s="228"/>
      <c r="I8" s="228"/>
      <c r="J8" s="228"/>
      <c r="K8" s="228"/>
      <c r="L8" s="228"/>
    </row>
    <row r="9" spans="1:12">
      <c r="A9" s="228"/>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28"/>
      <c r="D9" s="228"/>
      <c r="E9" s="228"/>
      <c r="F9" s="228"/>
      <c r="G9" s="228"/>
      <c r="H9" s="228"/>
      <c r="I9" s="228"/>
      <c r="J9" s="228"/>
      <c r="K9" s="228"/>
      <c r="L9" s="228"/>
    </row>
    <row r="10" spans="1:12">
      <c r="A10" s="228"/>
      <c r="B10" s="228"/>
      <c r="C10" s="228"/>
      <c r="D10" s="228"/>
      <c r="E10" s="228"/>
      <c r="F10" s="228"/>
      <c r="G10" s="228"/>
      <c r="H10" s="228"/>
      <c r="I10" s="228"/>
      <c r="J10" s="228"/>
      <c r="K10" s="228"/>
      <c r="L10" s="228"/>
    </row>
    <row r="11" spans="1:12" ht="13">
      <c r="A11" s="2"/>
      <c r="B11" s="83" t="s">
        <v>1480</v>
      </c>
      <c r="C11" s="228"/>
      <c r="D11" s="229"/>
      <c r="E11" s="230"/>
      <c r="F11" s="228"/>
      <c r="G11" s="228"/>
      <c r="H11" s="228"/>
      <c r="I11" s="228"/>
      <c r="J11" s="228"/>
      <c r="K11" s="101"/>
      <c r="L11" s="228"/>
    </row>
    <row r="12" spans="1:12" s="14" customFormat="1" ht="13">
      <c r="A12" s="110"/>
      <c r="B12" s="915" t="s">
        <v>2243</v>
      </c>
      <c r="C12" s="236"/>
      <c r="D12" s="865"/>
      <c r="E12" s="232"/>
      <c r="F12" s="236"/>
      <c r="G12" s="236"/>
      <c r="H12" s="236"/>
      <c r="I12" s="236"/>
      <c r="J12" s="236"/>
      <c r="K12" s="236"/>
      <c r="L12" s="236"/>
    </row>
    <row r="13" spans="1:12" ht="13">
      <c r="A13" s="53" t="s">
        <v>319</v>
      </c>
      <c r="B13" s="228"/>
      <c r="C13" s="83"/>
      <c r="D13" s="229"/>
      <c r="E13" s="230"/>
      <c r="F13" s="3"/>
      <c r="G13" s="228"/>
      <c r="H13" s="228"/>
      <c r="I13" s="228"/>
      <c r="J13" s="228"/>
      <c r="K13" s="228"/>
      <c r="L13" s="228"/>
    </row>
    <row r="14" spans="1:12" ht="13">
      <c r="A14" s="2">
        <f>A7+1</f>
        <v>1</v>
      </c>
      <c r="B14" s="228"/>
      <c r="C14" s="228"/>
      <c r="D14" s="488" t="s">
        <v>1478</v>
      </c>
      <c r="E14" s="230">
        <f>'4-TUTRR'!E73</f>
        <v>1045038533.2814256</v>
      </c>
      <c r="F14" s="489" t="s">
        <v>1769</v>
      </c>
      <c r="G14" s="236"/>
      <c r="H14" s="228" t="str">
        <f>"Line "&amp;'4-TUTRR'!A73&amp;""</f>
        <v>Line 46</v>
      </c>
      <c r="I14" s="236"/>
      <c r="J14" s="228"/>
      <c r="K14" s="228"/>
      <c r="L14" s="228"/>
    </row>
    <row r="15" spans="1:12" ht="13">
      <c r="A15" s="2">
        <f>A14+1</f>
        <v>2</v>
      </c>
      <c r="B15" s="83"/>
      <c r="C15" s="228"/>
      <c r="D15" s="228"/>
      <c r="E15" s="228"/>
      <c r="F15" s="228"/>
      <c r="G15" s="228"/>
      <c r="H15" s="230"/>
      <c r="I15" s="228"/>
      <c r="J15" s="228"/>
      <c r="K15" s="228"/>
      <c r="L15" s="228"/>
    </row>
    <row r="16" spans="1:12" ht="13">
      <c r="A16" s="2">
        <f t="shared" ref="A16:A50" si="0">A15+1</f>
        <v>3</v>
      </c>
      <c r="B16" s="228"/>
      <c r="C16" s="228"/>
      <c r="D16" s="84" t="s">
        <v>358</v>
      </c>
      <c r="E16" s="84" t="s">
        <v>342</v>
      </c>
      <c r="F16" s="84" t="s">
        <v>343</v>
      </c>
      <c r="G16" s="84" t="s">
        <v>344</v>
      </c>
      <c r="H16" s="84" t="s">
        <v>345</v>
      </c>
      <c r="I16" s="84" t="s">
        <v>346</v>
      </c>
      <c r="J16" s="84" t="s">
        <v>347</v>
      </c>
      <c r="K16" s="84" t="s">
        <v>534</v>
      </c>
      <c r="L16" s="84" t="s">
        <v>951</v>
      </c>
    </row>
    <row r="17" spans="1:12" ht="13">
      <c r="A17" s="2">
        <f t="shared" si="0"/>
        <v>4</v>
      </c>
      <c r="B17" s="228"/>
      <c r="C17" s="229" t="s">
        <v>952</v>
      </c>
      <c r="D17" s="84"/>
      <c r="E17" s="87" t="s">
        <v>211</v>
      </c>
      <c r="F17" s="87" t="s">
        <v>281</v>
      </c>
      <c r="G17" s="87" t="s">
        <v>953</v>
      </c>
      <c r="H17" s="96" t="s">
        <v>524</v>
      </c>
      <c r="I17" s="87" t="s">
        <v>954</v>
      </c>
      <c r="J17" s="87" t="s">
        <v>522</v>
      </c>
      <c r="K17" s="87" t="s">
        <v>523</v>
      </c>
      <c r="L17" s="96" t="s">
        <v>955</v>
      </c>
    </row>
    <row r="18" spans="1:12" ht="13">
      <c r="A18" s="2">
        <f t="shared" si="0"/>
        <v>5</v>
      </c>
      <c r="B18" s="228"/>
      <c r="C18" s="228"/>
      <c r="D18" s="84"/>
      <c r="G18" s="4" t="s">
        <v>2244</v>
      </c>
      <c r="I18" s="84"/>
      <c r="J18" s="2" t="s">
        <v>204</v>
      </c>
      <c r="K18" s="84"/>
      <c r="L18" s="84"/>
    </row>
    <row r="19" spans="1:12" ht="13">
      <c r="A19" s="2">
        <f t="shared" si="0"/>
        <v>6</v>
      </c>
      <c r="B19" s="228"/>
      <c r="C19" s="228"/>
      <c r="D19" s="84"/>
      <c r="G19" s="447" t="s">
        <v>2245</v>
      </c>
      <c r="I19" s="228"/>
      <c r="J19" s="2" t="s">
        <v>30</v>
      </c>
      <c r="K19" s="228"/>
      <c r="L19" s="2" t="s">
        <v>204</v>
      </c>
    </row>
    <row r="20" spans="1:12" ht="13">
      <c r="A20" s="2">
        <f t="shared" si="0"/>
        <v>7</v>
      </c>
      <c r="B20" s="228"/>
      <c r="C20" s="228"/>
      <c r="D20" s="84"/>
      <c r="F20" s="2" t="s">
        <v>501</v>
      </c>
      <c r="G20" s="553" t="s">
        <v>2246</v>
      </c>
      <c r="H20" s="2" t="s">
        <v>19</v>
      </c>
      <c r="I20" s="228"/>
      <c r="J20" s="2" t="s">
        <v>31</v>
      </c>
      <c r="K20" s="228"/>
      <c r="L20" s="2" t="s">
        <v>30</v>
      </c>
    </row>
    <row r="21" spans="1:12" ht="13">
      <c r="A21" s="2">
        <f t="shared" si="0"/>
        <v>8</v>
      </c>
      <c r="B21" s="228"/>
      <c r="C21" s="228"/>
      <c r="D21" s="2"/>
      <c r="E21" s="2" t="s">
        <v>19</v>
      </c>
      <c r="F21" s="2" t="s">
        <v>520</v>
      </c>
      <c r="G21" s="553" t="s">
        <v>2247</v>
      </c>
      <c r="H21" s="2" t="s">
        <v>30</v>
      </c>
      <c r="I21" s="2" t="s">
        <v>19</v>
      </c>
      <c r="J21" s="2" t="s">
        <v>22</v>
      </c>
      <c r="K21" s="231" t="s">
        <v>23</v>
      </c>
      <c r="L21" s="2" t="s">
        <v>31</v>
      </c>
    </row>
    <row r="22" spans="1:12" ht="13">
      <c r="A22" s="2">
        <f t="shared" si="0"/>
        <v>9</v>
      </c>
      <c r="B22" s="228"/>
      <c r="C22" s="228"/>
      <c r="D22" s="2"/>
      <c r="E22" s="2" t="s">
        <v>279</v>
      </c>
      <c r="F22" s="2" t="s">
        <v>306</v>
      </c>
      <c r="G22" s="553" t="s">
        <v>956</v>
      </c>
      <c r="H22" s="2" t="s">
        <v>31</v>
      </c>
      <c r="I22" s="2" t="s">
        <v>23</v>
      </c>
      <c r="J22" s="2" t="s">
        <v>1053</v>
      </c>
      <c r="K22" s="2" t="s">
        <v>1054</v>
      </c>
      <c r="L22" s="2" t="s">
        <v>22</v>
      </c>
    </row>
    <row r="23" spans="1:12" s="14" customFormat="1" ht="13">
      <c r="A23" s="110">
        <f t="shared" si="0"/>
        <v>10</v>
      </c>
      <c r="B23" s="236"/>
      <c r="C23" s="29" t="s">
        <v>192</v>
      </c>
      <c r="D23" s="29" t="s">
        <v>193</v>
      </c>
      <c r="E23" s="123" t="s">
        <v>957</v>
      </c>
      <c r="F23" s="123" t="s">
        <v>21</v>
      </c>
      <c r="G23" s="123" t="s">
        <v>2248</v>
      </c>
      <c r="H23" s="123" t="s">
        <v>22</v>
      </c>
      <c r="I23" s="123" t="s">
        <v>13</v>
      </c>
      <c r="J23" s="123" t="s">
        <v>1055</v>
      </c>
      <c r="K23" s="123" t="s">
        <v>192</v>
      </c>
      <c r="L23" s="123" t="s">
        <v>958</v>
      </c>
    </row>
    <row r="24" spans="1:12" s="972" customFormat="1" ht="13">
      <c r="A24" s="553">
        <f>A23+1</f>
        <v>11</v>
      </c>
      <c r="B24" s="228"/>
      <c r="C24" s="498" t="s">
        <v>180</v>
      </c>
      <c r="D24" s="146">
        <v>2018</v>
      </c>
      <c r="E24" s="235" t="s">
        <v>76</v>
      </c>
      <c r="F24" s="235" t="s">
        <v>76</v>
      </c>
      <c r="G24" s="1006">
        <v>-234044756.22835258</v>
      </c>
      <c r="H24" s="230">
        <f>G24</f>
        <v>-234044756.22835258</v>
      </c>
      <c r="I24" s="235" t="s">
        <v>76</v>
      </c>
      <c r="J24" s="234">
        <f>H24</f>
        <v>-234044756.22835258</v>
      </c>
      <c r="K24" s="235" t="s">
        <v>76</v>
      </c>
      <c r="L24" s="1045">
        <f>J24</f>
        <v>-234044756.22835258</v>
      </c>
    </row>
    <row r="25" spans="1:12" ht="13">
      <c r="A25" s="553">
        <f t="shared" ref="A25:A36" si="1">A24+1</f>
        <v>12</v>
      </c>
      <c r="B25" s="228"/>
      <c r="C25" s="20" t="s">
        <v>181</v>
      </c>
      <c r="D25" s="146">
        <v>2019</v>
      </c>
      <c r="E25" s="230">
        <f>$E$14/12</f>
        <v>87086544.440118805</v>
      </c>
      <c r="F25" s="232">
        <f>C77</f>
        <v>91759834.939999998</v>
      </c>
      <c r="G25" s="1251">
        <v>-2305.59</v>
      </c>
      <c r="H25" s="230">
        <f>E25-F25+G25</f>
        <v>-4675596.0898811929</v>
      </c>
      <c r="I25" s="1415">
        <v>4.3E-3</v>
      </c>
      <c r="J25" s="234">
        <f>L24+H25</f>
        <v>-238720352.31823376</v>
      </c>
      <c r="K25" s="234">
        <f>((L24+J25)/2)*I25</f>
        <v>-1016444.9833751606</v>
      </c>
      <c r="L25" s="234">
        <f>J25+K25</f>
        <v>-239736797.30160892</v>
      </c>
    </row>
    <row r="26" spans="1:12" ht="13">
      <c r="A26" s="553">
        <f t="shared" si="1"/>
        <v>13</v>
      </c>
      <c r="B26" s="228"/>
      <c r="C26" s="21" t="s">
        <v>182</v>
      </c>
      <c r="D26" s="146">
        <v>2019</v>
      </c>
      <c r="E26" s="230">
        <f>$E$14/12</f>
        <v>87086544.440118805</v>
      </c>
      <c r="F26" s="232">
        <f t="shared" ref="F26:F36" si="2">C78</f>
        <v>64403396.609999999</v>
      </c>
      <c r="G26" s="359"/>
      <c r="H26" s="230">
        <f t="shared" ref="H26:H35" si="3">E26-F26+G26</f>
        <v>22683147.830118805</v>
      </c>
      <c r="I26" s="1415">
        <v>4.3E-3</v>
      </c>
      <c r="J26" s="234">
        <f>L25+H26</f>
        <v>-217053649.47149011</v>
      </c>
      <c r="K26" s="234">
        <f>((L25+J26)/2)*I26</f>
        <v>-982099.46056216303</v>
      </c>
      <c r="L26" s="234">
        <f t="shared" ref="L26:L35" si="4">J26+K26</f>
        <v>-218035748.93205228</v>
      </c>
    </row>
    <row r="27" spans="1:12" ht="13">
      <c r="A27" s="553">
        <f t="shared" si="1"/>
        <v>14</v>
      </c>
      <c r="B27" s="228"/>
      <c r="C27" s="21" t="s">
        <v>195</v>
      </c>
      <c r="D27" s="146">
        <v>2019</v>
      </c>
      <c r="E27" s="230">
        <f t="shared" ref="E27:E36" si="5">$E$14/12</f>
        <v>87086544.440118805</v>
      </c>
      <c r="F27" s="232">
        <f t="shared" si="2"/>
        <v>84749269.680000007</v>
      </c>
      <c r="G27" s="359"/>
      <c r="H27" s="230">
        <f t="shared" si="3"/>
        <v>2337274.7601187974</v>
      </c>
      <c r="I27" s="1415">
        <v>4.3E-3</v>
      </c>
      <c r="J27" s="234">
        <f t="shared" ref="J27:J35" si="6">L26+H27</f>
        <v>-215698474.17193347</v>
      </c>
      <c r="K27" s="234">
        <f t="shared" ref="K27:K36" si="7">((L26+J27)/2)*I27</f>
        <v>-932528.57967356942</v>
      </c>
      <c r="L27" s="234">
        <f t="shared" si="4"/>
        <v>-216631002.75160703</v>
      </c>
    </row>
    <row r="28" spans="1:12" ht="13">
      <c r="A28" s="553">
        <f t="shared" si="1"/>
        <v>15</v>
      </c>
      <c r="B28" s="228"/>
      <c r="C28" s="20" t="s">
        <v>183</v>
      </c>
      <c r="D28" s="146">
        <v>2019</v>
      </c>
      <c r="E28" s="230">
        <f t="shared" si="5"/>
        <v>87086544.440118805</v>
      </c>
      <c r="F28" s="232">
        <f t="shared" si="2"/>
        <v>67988952.049999997</v>
      </c>
      <c r="G28" s="359"/>
      <c r="H28" s="230">
        <f t="shared" si="3"/>
        <v>19097592.390118808</v>
      </c>
      <c r="I28" s="1415">
        <v>4.4999999999999997E-3</v>
      </c>
      <c r="J28" s="234">
        <f t="shared" si="6"/>
        <v>-197533410.36148822</v>
      </c>
      <c r="K28" s="234">
        <f t="shared" si="7"/>
        <v>-931869.92950446426</v>
      </c>
      <c r="L28" s="234">
        <f t="shared" si="4"/>
        <v>-198465280.29099268</v>
      </c>
    </row>
    <row r="29" spans="1:12" ht="13">
      <c r="A29" s="553">
        <f t="shared" si="1"/>
        <v>16</v>
      </c>
      <c r="B29" s="228"/>
      <c r="C29" s="21" t="s">
        <v>184</v>
      </c>
      <c r="D29" s="146">
        <v>2019</v>
      </c>
      <c r="E29" s="230">
        <f t="shared" si="5"/>
        <v>87086544.440118805</v>
      </c>
      <c r="F29" s="232">
        <f t="shared" si="2"/>
        <v>93530168.849999994</v>
      </c>
      <c r="G29" s="359"/>
      <c r="H29" s="230">
        <f t="shared" si="3"/>
        <v>-6443624.4098811895</v>
      </c>
      <c r="I29" s="1415">
        <v>4.4999999999999997E-3</v>
      </c>
      <c r="J29" s="234">
        <f t="shared" si="6"/>
        <v>-204908904.70087385</v>
      </c>
      <c r="K29" s="234">
        <f t="shared" si="7"/>
        <v>-907591.91623169964</v>
      </c>
      <c r="L29" s="234">
        <f t="shared" si="4"/>
        <v>-205816496.61710554</v>
      </c>
    </row>
    <row r="30" spans="1:12" ht="13">
      <c r="A30" s="553">
        <f t="shared" si="1"/>
        <v>17</v>
      </c>
      <c r="B30" s="228"/>
      <c r="C30" s="21" t="s">
        <v>185</v>
      </c>
      <c r="D30" s="146">
        <v>2019</v>
      </c>
      <c r="E30" s="230">
        <f t="shared" si="5"/>
        <v>87086544.440118805</v>
      </c>
      <c r="F30" s="232">
        <f t="shared" si="2"/>
        <v>82893261.829999998</v>
      </c>
      <c r="G30" s="359"/>
      <c r="H30" s="230">
        <f t="shared" si="3"/>
        <v>4193282.6101188064</v>
      </c>
      <c r="I30" s="1415">
        <v>4.4999999999999997E-3</v>
      </c>
      <c r="J30" s="234">
        <f t="shared" si="6"/>
        <v>-201623214.00698674</v>
      </c>
      <c r="K30" s="234">
        <f t="shared" si="7"/>
        <v>-916739.34890420758</v>
      </c>
      <c r="L30" s="234">
        <f t="shared" si="4"/>
        <v>-202539953.35589096</v>
      </c>
    </row>
    <row r="31" spans="1:12" ht="13">
      <c r="A31" s="553">
        <f t="shared" si="1"/>
        <v>18</v>
      </c>
      <c r="B31" s="228"/>
      <c r="C31" s="20" t="s">
        <v>186</v>
      </c>
      <c r="D31" s="146">
        <v>2019</v>
      </c>
      <c r="E31" s="230">
        <f t="shared" si="5"/>
        <v>87086544.440118805</v>
      </c>
      <c r="F31" s="232">
        <f t="shared" si="2"/>
        <v>105351358.22</v>
      </c>
      <c r="G31" s="359"/>
      <c r="H31" s="230">
        <f t="shared" si="3"/>
        <v>-18264813.779881194</v>
      </c>
      <c r="I31" s="1415">
        <v>4.5999999999999999E-3</v>
      </c>
      <c r="J31" s="234">
        <f t="shared" si="6"/>
        <v>-220804767.13577217</v>
      </c>
      <c r="K31" s="234">
        <f t="shared" si="7"/>
        <v>-973692.85713082505</v>
      </c>
      <c r="L31" s="234">
        <f t="shared" si="4"/>
        <v>-221778459.99290299</v>
      </c>
    </row>
    <row r="32" spans="1:12" ht="13">
      <c r="A32" s="553">
        <f t="shared" si="1"/>
        <v>19</v>
      </c>
      <c r="B32" s="228"/>
      <c r="C32" s="21" t="s">
        <v>187</v>
      </c>
      <c r="D32" s="146">
        <v>2019</v>
      </c>
      <c r="E32" s="230">
        <f t="shared" si="5"/>
        <v>87086544.440118805</v>
      </c>
      <c r="F32" s="232">
        <f t="shared" si="2"/>
        <v>114937290.89</v>
      </c>
      <c r="G32" s="359"/>
      <c r="H32" s="230">
        <f t="shared" si="3"/>
        <v>-27850746.449881196</v>
      </c>
      <c r="I32" s="1415">
        <v>4.5999999999999999E-3</v>
      </c>
      <c r="J32" s="234">
        <f t="shared" si="6"/>
        <v>-249629206.44278419</v>
      </c>
      <c r="K32" s="234">
        <f t="shared" si="7"/>
        <v>-1084237.6328020806</v>
      </c>
      <c r="L32" s="234">
        <f t="shared" si="4"/>
        <v>-250713444.07558626</v>
      </c>
    </row>
    <row r="33" spans="1:12" ht="13">
      <c r="A33" s="553">
        <f t="shared" si="1"/>
        <v>20</v>
      </c>
      <c r="B33" s="228"/>
      <c r="C33" s="21" t="s">
        <v>188</v>
      </c>
      <c r="D33" s="146">
        <v>2019</v>
      </c>
      <c r="E33" s="230">
        <f t="shared" si="5"/>
        <v>87086544.440118805</v>
      </c>
      <c r="F33" s="232">
        <f t="shared" si="2"/>
        <v>83261682.019999996</v>
      </c>
      <c r="G33" s="359"/>
      <c r="H33" s="230">
        <f t="shared" si="3"/>
        <v>3824862.4201188087</v>
      </c>
      <c r="I33" s="1415">
        <v>4.5999999999999999E-3</v>
      </c>
      <c r="J33" s="234">
        <f t="shared" si="6"/>
        <v>-246888581.65546745</v>
      </c>
      <c r="K33" s="234">
        <f t="shared" si="7"/>
        <v>-1144484.6591814235</v>
      </c>
      <c r="L33" s="234">
        <f t="shared" si="4"/>
        <v>-248033066.31464887</v>
      </c>
    </row>
    <row r="34" spans="1:12" ht="13">
      <c r="A34" s="553">
        <f t="shared" si="1"/>
        <v>21</v>
      </c>
      <c r="B34" s="228"/>
      <c r="C34" s="20" t="s">
        <v>191</v>
      </c>
      <c r="D34" s="146">
        <v>2019</v>
      </c>
      <c r="E34" s="230">
        <f t="shared" si="5"/>
        <v>87086544.440118805</v>
      </c>
      <c r="F34" s="232">
        <f t="shared" si="2"/>
        <v>88300708.25</v>
      </c>
      <c r="G34" s="359"/>
      <c r="H34" s="230">
        <f t="shared" si="3"/>
        <v>-1214163.8098811954</v>
      </c>
      <c r="I34" s="1415">
        <v>4.4999999999999997E-3</v>
      </c>
      <c r="J34" s="234">
        <f t="shared" si="6"/>
        <v>-249247230.12453008</v>
      </c>
      <c r="K34" s="234">
        <f t="shared" si="7"/>
        <v>-1118880.6669881525</v>
      </c>
      <c r="L34" s="234">
        <f t="shared" si="4"/>
        <v>-250366110.79151824</v>
      </c>
    </row>
    <row r="35" spans="1:12" ht="13">
      <c r="A35" s="553">
        <f t="shared" si="1"/>
        <v>22</v>
      </c>
      <c r="B35" s="228"/>
      <c r="C35" s="20" t="s">
        <v>190</v>
      </c>
      <c r="D35" s="146">
        <v>2019</v>
      </c>
      <c r="E35" s="230">
        <f t="shared" si="5"/>
        <v>87086544.440118805</v>
      </c>
      <c r="F35" s="232">
        <f t="shared" si="2"/>
        <v>66473158.030000001</v>
      </c>
      <c r="G35" s="359"/>
      <c r="H35" s="230">
        <f t="shared" si="3"/>
        <v>20613386.410118803</v>
      </c>
      <c r="I35" s="1415">
        <v>4.4999999999999997E-3</v>
      </c>
      <c r="J35" s="234">
        <f t="shared" si="6"/>
        <v>-229752724.38139945</v>
      </c>
      <c r="K35" s="234">
        <f t="shared" si="7"/>
        <v>-1080267.3791390648</v>
      </c>
      <c r="L35" s="234">
        <f t="shared" si="4"/>
        <v>-230832991.76053852</v>
      </c>
    </row>
    <row r="36" spans="1:12" ht="14.5">
      <c r="A36" s="553">
        <f t="shared" si="1"/>
        <v>23</v>
      </c>
      <c r="B36" s="228"/>
      <c r="C36" s="21" t="s">
        <v>180</v>
      </c>
      <c r="D36" s="146">
        <v>2019</v>
      </c>
      <c r="E36" s="230">
        <f t="shared" si="5"/>
        <v>87086544.440118805</v>
      </c>
      <c r="F36" s="232">
        <f t="shared" si="2"/>
        <v>99572808.420000002</v>
      </c>
      <c r="G36" s="1449">
        <v>5317330.4702929016</v>
      </c>
      <c r="H36" s="230">
        <f>E36-F36+G36</f>
        <v>-7168933.5095882956</v>
      </c>
      <c r="I36" s="1415">
        <v>4.4999999999999997E-3</v>
      </c>
      <c r="J36" s="234">
        <f>L35+H36</f>
        <v>-238001925.27012682</v>
      </c>
      <c r="K36" s="234">
        <f t="shared" si="7"/>
        <v>-1054878.5633189969</v>
      </c>
      <c r="L36" s="234">
        <f>J36+K36</f>
        <v>-239056803.83344582</v>
      </c>
    </row>
    <row r="37" spans="1:12" ht="13">
      <c r="A37" s="110"/>
      <c r="B37" s="228"/>
      <c r="C37" s="21"/>
      <c r="D37" s="24"/>
      <c r="E37" s="228"/>
      <c r="F37" s="240"/>
      <c r="G37" s="232"/>
      <c r="H37" s="371"/>
      <c r="I37" s="228"/>
      <c r="J37" s="228"/>
      <c r="K37" s="228"/>
      <c r="L37" s="228"/>
    </row>
    <row r="38" spans="1:12" s="14" customFormat="1" ht="13">
      <c r="A38" s="110">
        <f>A36+1</f>
        <v>24</v>
      </c>
      <c r="B38" s="44" t="s">
        <v>2788</v>
      </c>
      <c r="C38" s="21"/>
      <c r="D38" s="24"/>
      <c r="E38" s="236"/>
      <c r="F38" s="466"/>
      <c r="G38" s="232"/>
      <c r="H38" s="883"/>
      <c r="I38" s="236"/>
      <c r="J38" s="236"/>
      <c r="K38" s="236"/>
      <c r="L38" s="236"/>
    </row>
    <row r="39" spans="1:12" ht="13">
      <c r="A39" s="110">
        <f t="shared" si="0"/>
        <v>25</v>
      </c>
      <c r="B39" s="1"/>
      <c r="C39" s="21"/>
      <c r="D39" s="24"/>
      <c r="E39" s="228"/>
      <c r="F39" s="495" t="s">
        <v>230</v>
      </c>
      <c r="G39" s="232"/>
      <c r="H39" s="240"/>
      <c r="I39" s="228"/>
      <c r="J39" s="228"/>
      <c r="K39" s="228"/>
      <c r="L39" s="228"/>
    </row>
    <row r="40" spans="1:12" ht="13">
      <c r="A40" s="110">
        <f t="shared" si="0"/>
        <v>26</v>
      </c>
      <c r="B40" s="228"/>
      <c r="C40" s="21"/>
      <c r="D40" s="229" t="s">
        <v>1058</v>
      </c>
      <c r="E40" s="230">
        <f>L36</f>
        <v>-239056803.83344582</v>
      </c>
      <c r="F40" s="466" t="str">
        <f>"Line "&amp;A36&amp;", Column 9"</f>
        <v>Line 23, Column 9</v>
      </c>
      <c r="G40" s="237"/>
      <c r="H40" s="240"/>
      <c r="I40" s="228"/>
      <c r="J40" s="228"/>
      <c r="K40" s="228"/>
      <c r="L40" s="228"/>
    </row>
    <row r="41" spans="1:12" s="972" customFormat="1" ht="13">
      <c r="A41" s="110">
        <f t="shared" si="0"/>
        <v>27</v>
      </c>
      <c r="B41" s="228"/>
      <c r="C41" s="21"/>
      <c r="D41" s="465" t="s">
        <v>2249</v>
      </c>
      <c r="E41" s="996">
        <v>-184210609.10000873</v>
      </c>
      <c r="F41" s="466" t="str">
        <f>"Previous Annual Update Schedule 3, Line "&amp;A44&amp;""</f>
        <v>Previous Annual Update Schedule 3, Line 30</v>
      </c>
      <c r="G41" s="237"/>
      <c r="H41" s="883"/>
      <c r="J41" s="229" t="s">
        <v>2418</v>
      </c>
      <c r="K41" s="975" t="s">
        <v>2858</v>
      </c>
      <c r="L41" s="975"/>
    </row>
    <row r="42" spans="1:12" s="972" customFormat="1" ht="13">
      <c r="A42" s="110">
        <f t="shared" si="0"/>
        <v>28</v>
      </c>
      <c r="B42" s="228"/>
      <c r="C42" s="21"/>
      <c r="D42" s="465" t="s">
        <v>2250</v>
      </c>
      <c r="E42" s="1106">
        <f>E40-E41</f>
        <v>-54846194.733437091</v>
      </c>
      <c r="F42" s="466" t="str">
        <f>"Line "&amp;A40&amp;" - Line "&amp;A41&amp;""</f>
        <v>Line 26 - Line 27</v>
      </c>
      <c r="G42" s="237"/>
      <c r="H42" s="240"/>
      <c r="J42" s="466"/>
      <c r="K42" s="975"/>
      <c r="L42" s="975"/>
    </row>
    <row r="43" spans="1:12" s="972" customFormat="1" ht="14">
      <c r="A43" s="110">
        <f t="shared" si="0"/>
        <v>29</v>
      </c>
      <c r="B43" s="228"/>
      <c r="C43" s="21"/>
      <c r="D43" s="465" t="s">
        <v>2251</v>
      </c>
      <c r="E43" s="1105">
        <f>E42*I36*18</f>
        <v>-4442541.7734084036</v>
      </c>
      <c r="F43" s="466" t="str">
        <f>"Line "&amp;A42&amp;" * (Line "&amp;A36&amp;", Column 6) * 18 months"</f>
        <v>Line 28 * (Line 23, Column 6) * 18 months</v>
      </c>
      <c r="G43" s="237"/>
      <c r="H43" s="883"/>
      <c r="I43" s="466"/>
      <c r="J43" s="228"/>
      <c r="K43" s="228"/>
      <c r="L43" s="228"/>
    </row>
    <row r="44" spans="1:12" s="14" customFormat="1" ht="13">
      <c r="A44" s="110">
        <f t="shared" si="0"/>
        <v>30</v>
      </c>
      <c r="B44" s="236"/>
      <c r="C44" s="21"/>
      <c r="D44" s="85" t="s">
        <v>32</v>
      </c>
      <c r="E44" s="232">
        <f>E42+E43</f>
        <v>-59288736.506845497</v>
      </c>
      <c r="F44" s="1046" t="str">
        <f>"Line "&amp;A42&amp;" + Line "&amp;A43&amp;".  Positive amount is to be collected by SCE (included in Base TRR as a positive amount)."</f>
        <v>Line 28 + Line 29.  Positive amount is to be collected by SCE (included in Base TRR as a positive amount).</v>
      </c>
      <c r="G44" s="237"/>
      <c r="H44" s="883"/>
      <c r="I44" s="236"/>
      <c r="J44" s="236"/>
      <c r="K44" s="236"/>
      <c r="L44" s="236"/>
    </row>
    <row r="45" spans="1:12" ht="13">
      <c r="A45" s="110">
        <f t="shared" si="0"/>
        <v>31</v>
      </c>
      <c r="B45" s="228"/>
      <c r="C45" s="228"/>
      <c r="D45" s="228"/>
      <c r="E45" s="228"/>
      <c r="F45" s="494" t="s">
        <v>1526</v>
      </c>
      <c r="G45" s="228"/>
      <c r="H45" s="228"/>
      <c r="I45" s="228"/>
      <c r="J45" s="228"/>
      <c r="K45" s="228"/>
      <c r="L45" s="228"/>
    </row>
    <row r="46" spans="1:12" ht="13">
      <c r="A46" s="110">
        <f t="shared" si="0"/>
        <v>32</v>
      </c>
      <c r="B46" s="1" t="s">
        <v>2789</v>
      </c>
      <c r="C46" s="228"/>
      <c r="D46" s="228"/>
      <c r="E46" s="228"/>
      <c r="F46" s="242"/>
      <c r="G46" s="228"/>
      <c r="H46" s="228"/>
      <c r="I46" s="228"/>
      <c r="J46" s="228"/>
      <c r="K46" s="228"/>
      <c r="L46" s="228"/>
    </row>
    <row r="47" spans="1:12" ht="13">
      <c r="A47" s="110">
        <f t="shared" si="0"/>
        <v>33</v>
      </c>
      <c r="B47" s="13" t="s">
        <v>366</v>
      </c>
      <c r="C47" s="228"/>
      <c r="D47" s="228"/>
      <c r="E47" s="228"/>
      <c r="F47" s="228"/>
      <c r="G47" s="228"/>
      <c r="H47" s="228"/>
      <c r="I47" s="228"/>
      <c r="J47" s="228"/>
      <c r="K47" s="228"/>
      <c r="L47" s="228"/>
    </row>
    <row r="48" spans="1:12" ht="13">
      <c r="A48" s="110">
        <f t="shared" si="0"/>
        <v>34</v>
      </c>
      <c r="B48" s="13" t="s">
        <v>367</v>
      </c>
      <c r="C48" s="228"/>
      <c r="D48" s="228"/>
      <c r="E48" s="228"/>
      <c r="F48" s="228"/>
      <c r="G48" s="228"/>
      <c r="H48" s="228"/>
      <c r="I48" s="228"/>
      <c r="J48" s="228"/>
      <c r="K48" s="228"/>
      <c r="L48" s="228"/>
    </row>
    <row r="49" spans="1:12" ht="13">
      <c r="A49" s="110">
        <f t="shared" si="0"/>
        <v>35</v>
      </c>
      <c r="B49" s="13" t="s">
        <v>368</v>
      </c>
      <c r="C49" s="228"/>
      <c r="D49" s="228"/>
      <c r="E49" s="228"/>
      <c r="F49" s="228"/>
      <c r="G49" s="228"/>
      <c r="H49" s="228"/>
      <c r="I49" s="228"/>
      <c r="J49" s="228"/>
      <c r="K49" s="228"/>
      <c r="L49" s="228"/>
    </row>
    <row r="50" spans="1:12" ht="13">
      <c r="A50" s="110">
        <f t="shared" si="0"/>
        <v>36</v>
      </c>
      <c r="B50" s="228"/>
      <c r="C50" s="228"/>
      <c r="D50" s="228"/>
      <c r="E50" s="228"/>
      <c r="F50" s="228"/>
      <c r="G50" s="228"/>
      <c r="H50" s="228"/>
      <c r="I50" s="228"/>
      <c r="J50" s="228"/>
      <c r="K50" s="228"/>
      <c r="L50" s="228"/>
    </row>
    <row r="51" spans="1:12" ht="13">
      <c r="A51" s="110">
        <f t="shared" ref="A51:A91" si="8">A50+1</f>
        <v>37</v>
      </c>
      <c r="B51" s="1" t="s">
        <v>1196</v>
      </c>
      <c r="C51" s="228"/>
      <c r="D51" s="228"/>
      <c r="E51" s="228"/>
      <c r="F51" s="228"/>
      <c r="G51" s="228"/>
      <c r="H51" s="228"/>
      <c r="I51" s="228"/>
      <c r="J51" s="228"/>
      <c r="K51" s="228"/>
      <c r="L51" s="228"/>
    </row>
    <row r="52" spans="1:12" ht="13">
      <c r="A52" s="110">
        <f t="shared" si="8"/>
        <v>38</v>
      </c>
      <c r="B52" s="228"/>
      <c r="C52" s="228"/>
      <c r="D52" s="231" t="s">
        <v>1149</v>
      </c>
      <c r="E52" s="228"/>
      <c r="G52" s="228"/>
      <c r="H52" s="228"/>
      <c r="I52" s="228"/>
      <c r="J52" s="228"/>
      <c r="K52" s="228"/>
      <c r="L52" s="228"/>
    </row>
    <row r="53" spans="1:12" ht="13">
      <c r="A53" s="110">
        <f t="shared" si="8"/>
        <v>39</v>
      </c>
      <c r="B53" s="228"/>
      <c r="C53" s="25" t="s">
        <v>192</v>
      </c>
      <c r="D53" s="3" t="s">
        <v>1059</v>
      </c>
      <c r="E53" s="3" t="s">
        <v>236</v>
      </c>
      <c r="G53" s="236"/>
      <c r="H53" s="236"/>
      <c r="I53" s="236"/>
      <c r="J53" s="236"/>
      <c r="K53" s="236"/>
      <c r="L53" s="236"/>
    </row>
    <row r="54" spans="1:12" ht="13">
      <c r="A54" s="110">
        <f t="shared" si="8"/>
        <v>40</v>
      </c>
      <c r="B54" s="228"/>
      <c r="C54" s="20" t="s">
        <v>181</v>
      </c>
      <c r="D54" s="124">
        <v>6.3763211440757639E-2</v>
      </c>
      <c r="E54" s="13" t="s">
        <v>1202</v>
      </c>
      <c r="G54" s="236"/>
      <c r="H54" s="236"/>
      <c r="I54" s="236"/>
      <c r="J54" s="236"/>
      <c r="K54" s="236"/>
      <c r="L54" s="236"/>
    </row>
    <row r="55" spans="1:12" ht="13">
      <c r="A55" s="110">
        <f t="shared" si="8"/>
        <v>41</v>
      </c>
      <c r="B55" s="228"/>
      <c r="C55" s="21" t="s">
        <v>182</v>
      </c>
      <c r="D55" s="124">
        <v>5.6553289888256801E-2</v>
      </c>
      <c r="G55" s="236"/>
      <c r="H55" s="236"/>
      <c r="I55" s="236"/>
      <c r="J55" s="236"/>
      <c r="K55" s="236"/>
      <c r="L55" s="236"/>
    </row>
    <row r="56" spans="1:12" ht="13">
      <c r="A56" s="110">
        <f t="shared" si="8"/>
        <v>42</v>
      </c>
      <c r="B56" s="228"/>
      <c r="C56" s="21" t="s">
        <v>195</v>
      </c>
      <c r="D56" s="124">
        <v>7.1828142218240867E-2</v>
      </c>
      <c r="E56" s="13"/>
      <c r="G56" s="236"/>
      <c r="H56" s="236"/>
      <c r="I56" s="236"/>
      <c r="J56" s="236"/>
      <c r="K56" s="236"/>
      <c r="L56" s="236"/>
    </row>
    <row r="57" spans="1:12" ht="13">
      <c r="A57" s="110">
        <f t="shared" si="8"/>
        <v>43</v>
      </c>
      <c r="B57" s="228"/>
      <c r="C57" s="20" t="s">
        <v>183</v>
      </c>
      <c r="D57" s="124">
        <v>8.2236801934806855E-2</v>
      </c>
      <c r="E57" s="147"/>
      <c r="G57" s="236"/>
      <c r="H57" s="236"/>
      <c r="I57" s="236"/>
      <c r="J57" s="236"/>
      <c r="K57" s="236"/>
      <c r="L57" s="236"/>
    </row>
    <row r="58" spans="1:12" ht="13">
      <c r="A58" s="110">
        <f t="shared" si="8"/>
        <v>44</v>
      </c>
      <c r="B58" s="228"/>
      <c r="C58" s="21" t="s">
        <v>184</v>
      </c>
      <c r="D58" s="124">
        <v>8.01837425905748E-2</v>
      </c>
      <c r="E58" s="243"/>
      <c r="G58" s="236"/>
      <c r="H58" s="236"/>
      <c r="I58" s="236"/>
      <c r="J58" s="236"/>
      <c r="K58" s="236"/>
      <c r="L58" s="236"/>
    </row>
    <row r="59" spans="1:12" ht="13">
      <c r="A59" s="110">
        <f t="shared" si="8"/>
        <v>45</v>
      </c>
      <c r="B59" s="228"/>
      <c r="C59" s="21" t="s">
        <v>185</v>
      </c>
      <c r="D59" s="124">
        <v>8.9450501877561497E-2</v>
      </c>
      <c r="E59" s="243"/>
      <c r="G59" s="236"/>
      <c r="H59" s="236"/>
      <c r="I59" s="236"/>
      <c r="J59" s="236"/>
      <c r="K59" s="236"/>
      <c r="L59" s="236"/>
    </row>
    <row r="60" spans="1:12" ht="13">
      <c r="A60" s="110">
        <f t="shared" si="8"/>
        <v>46</v>
      </c>
      <c r="B60" s="228"/>
      <c r="C60" s="20" t="s">
        <v>186</v>
      </c>
      <c r="D60" s="124">
        <v>9.8908415854749826E-2</v>
      </c>
      <c r="E60" s="243"/>
      <c r="G60" s="236"/>
      <c r="H60" s="236"/>
      <c r="I60" s="236"/>
      <c r="J60" s="236"/>
      <c r="K60" s="236"/>
      <c r="L60" s="236"/>
    </row>
    <row r="61" spans="1:12" ht="13">
      <c r="A61" s="110">
        <f t="shared" si="8"/>
        <v>47</v>
      </c>
      <c r="B61" s="228"/>
      <c r="C61" s="21" t="s">
        <v>187</v>
      </c>
      <c r="D61" s="124">
        <v>0.10141004323318151</v>
      </c>
      <c r="E61" s="243"/>
      <c r="G61" s="236"/>
      <c r="H61" s="236"/>
      <c r="I61" s="236"/>
      <c r="J61" s="236"/>
      <c r="K61" s="236"/>
      <c r="L61" s="236"/>
    </row>
    <row r="62" spans="1:12" ht="13">
      <c r="A62" s="110">
        <f t="shared" si="8"/>
        <v>48</v>
      </c>
      <c r="B62" s="228"/>
      <c r="C62" s="21" t="s">
        <v>188</v>
      </c>
      <c r="D62" s="124">
        <v>0.10217900008822713</v>
      </c>
      <c r="E62" s="243"/>
      <c r="G62" s="236"/>
      <c r="H62" s="236"/>
      <c r="I62" s="236"/>
      <c r="J62" s="236"/>
      <c r="K62" s="236"/>
      <c r="L62" s="236"/>
    </row>
    <row r="63" spans="1:12" ht="13">
      <c r="A63" s="110">
        <f t="shared" si="8"/>
        <v>49</v>
      </c>
      <c r="B63" s="228"/>
      <c r="C63" s="20" t="s">
        <v>191</v>
      </c>
      <c r="D63" s="124">
        <v>9.1787269171678454E-2</v>
      </c>
      <c r="E63" s="243"/>
      <c r="G63" s="236"/>
      <c r="H63" s="236"/>
      <c r="I63" s="236"/>
      <c r="J63" s="236"/>
      <c r="K63" s="236"/>
      <c r="L63" s="236"/>
    </row>
    <row r="64" spans="1:12" ht="13">
      <c r="A64" s="110">
        <f t="shared" si="8"/>
        <v>50</v>
      </c>
      <c r="B64" s="228"/>
      <c r="C64" s="20" t="s">
        <v>190</v>
      </c>
      <c r="D64" s="124">
        <v>7.5296938318149625E-2</v>
      </c>
      <c r="E64" s="243"/>
      <c r="G64" s="228"/>
      <c r="H64" s="228"/>
      <c r="I64" s="228"/>
      <c r="J64" s="228"/>
      <c r="K64" s="228"/>
      <c r="L64" s="228"/>
    </row>
    <row r="65" spans="1:16" ht="13">
      <c r="A65" s="110">
        <f t="shared" si="8"/>
        <v>51</v>
      </c>
      <c r="B65" s="228"/>
      <c r="C65" s="21" t="s">
        <v>180</v>
      </c>
      <c r="D65" s="372">
        <v>8.640264338381512E-2</v>
      </c>
      <c r="E65" s="151"/>
      <c r="G65" s="228"/>
      <c r="H65" s="228"/>
      <c r="I65" s="228"/>
      <c r="J65" s="228"/>
      <c r="K65" s="228"/>
      <c r="L65" s="228"/>
    </row>
    <row r="66" spans="1:16" ht="13">
      <c r="A66" s="110">
        <f t="shared" si="8"/>
        <v>52</v>
      </c>
      <c r="B66" s="228"/>
      <c r="C66" s="34" t="s">
        <v>4</v>
      </c>
      <c r="D66" s="384">
        <f>SUM(D54:D65)</f>
        <v>1.0000000000000002</v>
      </c>
      <c r="E66" s="228"/>
      <c r="G66" s="228"/>
      <c r="H66" s="228"/>
      <c r="I66" s="228"/>
      <c r="J66" s="228"/>
      <c r="K66" s="228"/>
      <c r="L66" s="228"/>
    </row>
    <row r="67" spans="1:16" s="14" customFormat="1" ht="13">
      <c r="A67" s="110">
        <f t="shared" si="8"/>
        <v>53</v>
      </c>
      <c r="B67" s="236"/>
      <c r="C67" s="236"/>
      <c r="D67" s="236"/>
      <c r="E67" s="236"/>
      <c r="F67" s="110"/>
      <c r="G67" s="236"/>
      <c r="H67" s="236"/>
      <c r="I67" s="236"/>
      <c r="J67" s="236"/>
      <c r="K67" s="236"/>
      <c r="L67" s="236"/>
    </row>
    <row r="68" spans="1:16" ht="13">
      <c r="A68" s="110">
        <f t="shared" si="8"/>
        <v>54</v>
      </c>
      <c r="B68" s="1" t="s">
        <v>2252</v>
      </c>
      <c r="C68" s="228"/>
      <c r="D68" s="228"/>
      <c r="E68" s="228"/>
      <c r="F68" s="2"/>
      <c r="G68" s="228"/>
      <c r="H68" s="228"/>
      <c r="I68" s="228"/>
      <c r="J68" s="228"/>
      <c r="K68" s="228"/>
      <c r="L68" s="228"/>
    </row>
    <row r="69" spans="1:16" ht="13">
      <c r="A69" s="110">
        <f t="shared" si="8"/>
        <v>55</v>
      </c>
      <c r="B69" s="228"/>
      <c r="C69" s="228"/>
      <c r="D69" s="228"/>
      <c r="E69" s="228"/>
      <c r="F69" s="2"/>
      <c r="G69" s="228"/>
      <c r="H69" s="228"/>
      <c r="I69" s="228"/>
      <c r="J69" s="228"/>
      <c r="K69" s="228"/>
      <c r="L69" s="228"/>
    </row>
    <row r="70" spans="1:16" ht="13">
      <c r="A70" s="110">
        <f t="shared" si="8"/>
        <v>56</v>
      </c>
      <c r="B70" s="228"/>
      <c r="C70" s="84" t="s">
        <v>358</v>
      </c>
      <c r="D70" s="84" t="s">
        <v>342</v>
      </c>
      <c r="E70" s="84" t="s">
        <v>343</v>
      </c>
      <c r="F70" s="84" t="s">
        <v>344</v>
      </c>
      <c r="G70" s="84" t="s">
        <v>345</v>
      </c>
      <c r="H70" s="84" t="s">
        <v>346</v>
      </c>
      <c r="I70" s="84" t="s">
        <v>347</v>
      </c>
      <c r="J70" s="228"/>
    </row>
    <row r="71" spans="1:16" ht="13">
      <c r="A71" s="110">
        <f t="shared" si="8"/>
        <v>57</v>
      </c>
      <c r="B71" s="228"/>
      <c r="C71" s="468" t="s">
        <v>1056</v>
      </c>
      <c r="D71" s="468" t="s">
        <v>1057</v>
      </c>
      <c r="E71" s="84"/>
      <c r="F71" s="84"/>
      <c r="G71" s="84"/>
      <c r="H71" s="84"/>
      <c r="I71" s="87" t="s">
        <v>525</v>
      </c>
      <c r="J71" s="228"/>
      <c r="K71" s="228"/>
      <c r="L71" s="228"/>
    </row>
    <row r="72" spans="1:16" ht="13">
      <c r="A72" s="110">
        <f t="shared" si="8"/>
        <v>58</v>
      </c>
      <c r="B72" s="228"/>
      <c r="C72" s="228"/>
      <c r="D72" s="228"/>
      <c r="E72" s="228"/>
      <c r="F72" s="2"/>
      <c r="G72" s="228"/>
      <c r="H72" s="228"/>
      <c r="I72" s="228"/>
      <c r="J72" s="228"/>
      <c r="K72" s="386"/>
      <c r="L72" s="228"/>
    </row>
    <row r="73" spans="1:16" ht="13">
      <c r="A73" s="110">
        <f t="shared" si="8"/>
        <v>59</v>
      </c>
      <c r="B73" s="228"/>
      <c r="C73" s="2" t="s">
        <v>501</v>
      </c>
      <c r="D73" s="228"/>
      <c r="E73" s="228"/>
      <c r="F73" s="2"/>
      <c r="G73" s="228"/>
      <c r="H73" s="228"/>
      <c r="I73" s="2" t="s">
        <v>19</v>
      </c>
      <c r="J73" s="228"/>
      <c r="K73" s="482"/>
      <c r="L73" s="228"/>
    </row>
    <row r="74" spans="1:16" ht="13">
      <c r="A74" s="110">
        <f t="shared" si="8"/>
        <v>60</v>
      </c>
      <c r="B74" s="231" t="s">
        <v>402</v>
      </c>
      <c r="C74" s="2" t="s">
        <v>520</v>
      </c>
      <c r="D74" s="228"/>
      <c r="E74" s="228"/>
      <c r="F74" s="84"/>
      <c r="G74" s="228"/>
      <c r="H74" s="228"/>
      <c r="I74" s="2" t="s">
        <v>196</v>
      </c>
      <c r="J74" s="228"/>
    </row>
    <row r="75" spans="1:16" ht="14.5">
      <c r="A75" s="110">
        <f t="shared" si="8"/>
        <v>61</v>
      </c>
      <c r="B75" s="231" t="s">
        <v>193</v>
      </c>
      <c r="C75" s="2" t="s">
        <v>306</v>
      </c>
      <c r="D75" s="2" t="s">
        <v>356</v>
      </c>
      <c r="E75" s="2"/>
      <c r="F75" s="2"/>
      <c r="G75" s="2" t="s">
        <v>518</v>
      </c>
      <c r="H75" s="2"/>
      <c r="I75" s="2" t="s">
        <v>20</v>
      </c>
      <c r="J75" s="228"/>
      <c r="P75" s="238"/>
    </row>
    <row r="76" spans="1:16" ht="14.5">
      <c r="A76" s="110">
        <f t="shared" si="8"/>
        <v>62</v>
      </c>
      <c r="B76" s="3" t="s">
        <v>192</v>
      </c>
      <c r="C76" s="3" t="s">
        <v>21</v>
      </c>
      <c r="D76" s="3" t="s">
        <v>306</v>
      </c>
      <c r="E76" s="3" t="s">
        <v>305</v>
      </c>
      <c r="F76" s="3" t="s">
        <v>517</v>
      </c>
      <c r="G76" s="3" t="s">
        <v>519</v>
      </c>
      <c r="H76" s="3" t="s">
        <v>356</v>
      </c>
      <c r="I76" s="3" t="s">
        <v>77</v>
      </c>
      <c r="J76" s="228"/>
      <c r="K76" s="239"/>
      <c r="L76" s="239"/>
      <c r="M76" s="239"/>
      <c r="N76" s="239"/>
      <c r="O76" s="239"/>
      <c r="P76" s="239"/>
    </row>
    <row r="77" spans="1:16" ht="13">
      <c r="A77" s="110">
        <f t="shared" si="8"/>
        <v>63</v>
      </c>
      <c r="B77" s="244" t="s">
        <v>64</v>
      </c>
      <c r="C77" s="241">
        <v>91759834.939999998</v>
      </c>
      <c r="D77" s="241">
        <v>-10013013.239999998</v>
      </c>
      <c r="E77" s="241">
        <v>406581218.94</v>
      </c>
      <c r="F77" s="241">
        <v>365244852.33000004</v>
      </c>
      <c r="G77" s="241">
        <v>38585667.990000002</v>
      </c>
      <c r="H77" s="980">
        <v>35847031.689999998</v>
      </c>
      <c r="I77" s="230">
        <f t="shared" ref="I77:I82" si="9">SUM(C77:H77)</f>
        <v>928005592.6500001</v>
      </c>
      <c r="J77" s="228"/>
      <c r="K77" s="52"/>
      <c r="M77" s="7"/>
      <c r="N77" s="7"/>
      <c r="O77" s="7"/>
      <c r="P77" s="7"/>
    </row>
    <row r="78" spans="1:16" ht="13">
      <c r="A78" s="110">
        <f t="shared" si="8"/>
        <v>64</v>
      </c>
      <c r="B78" s="244" t="s">
        <v>65</v>
      </c>
      <c r="C78" s="241">
        <v>64403396.609999999</v>
      </c>
      <c r="D78" s="241">
        <v>-5005734.3500000006</v>
      </c>
      <c r="E78" s="241">
        <v>300716833.06999999</v>
      </c>
      <c r="F78" s="241">
        <v>278452713.24000001</v>
      </c>
      <c r="G78" s="241">
        <v>27014084.219999999</v>
      </c>
      <c r="H78" s="241">
        <v>25937960.170000002</v>
      </c>
      <c r="I78" s="230">
        <f t="shared" si="9"/>
        <v>691519252.95999992</v>
      </c>
      <c r="J78" s="228"/>
      <c r="K78" s="52"/>
      <c r="M78" s="7"/>
      <c r="N78" s="7"/>
      <c r="O78" s="7"/>
      <c r="P78" s="7"/>
    </row>
    <row r="79" spans="1:16" ht="13">
      <c r="A79" s="110">
        <f t="shared" si="8"/>
        <v>65</v>
      </c>
      <c r="B79" s="244" t="s">
        <v>66</v>
      </c>
      <c r="C79" s="241">
        <v>84749269.680000007</v>
      </c>
      <c r="D79" s="241">
        <v>-7717256.1500000004</v>
      </c>
      <c r="E79" s="241">
        <v>369069440.71000004</v>
      </c>
      <c r="F79" s="241">
        <v>309219268.69999999</v>
      </c>
      <c r="G79" s="241">
        <v>37276381.129999995</v>
      </c>
      <c r="H79" s="241">
        <v>32529723.140000001</v>
      </c>
      <c r="I79" s="230">
        <f t="shared" si="9"/>
        <v>825126827.21000004</v>
      </c>
      <c r="J79" s="228"/>
      <c r="K79" s="52"/>
      <c r="M79" s="7"/>
      <c r="N79" s="7"/>
      <c r="O79" s="7"/>
      <c r="P79" s="7"/>
    </row>
    <row r="80" spans="1:16" ht="13">
      <c r="A80" s="110">
        <f t="shared" si="8"/>
        <v>66</v>
      </c>
      <c r="B80" s="244" t="s">
        <v>67</v>
      </c>
      <c r="C80" s="241">
        <v>67988952.049999997</v>
      </c>
      <c r="D80" s="241">
        <v>-6167673.2999999998</v>
      </c>
      <c r="E80" s="241">
        <v>121348118.21000001</v>
      </c>
      <c r="F80" s="241">
        <v>279319865.88000005</v>
      </c>
      <c r="G80" s="241">
        <v>30518078.379999999</v>
      </c>
      <c r="H80" s="241">
        <v>25210213.539999999</v>
      </c>
      <c r="I80" s="230">
        <f t="shared" si="9"/>
        <v>518217554.76000005</v>
      </c>
      <c r="J80" s="228"/>
      <c r="K80" s="52"/>
      <c r="M80" s="7"/>
      <c r="N80" s="7"/>
      <c r="O80" s="7"/>
      <c r="P80" s="7"/>
    </row>
    <row r="81" spans="1:16" ht="13">
      <c r="A81" s="110">
        <f t="shared" si="8"/>
        <v>67</v>
      </c>
      <c r="B81" s="87" t="s">
        <v>184</v>
      </c>
      <c r="C81" s="241">
        <v>93530168.849999994</v>
      </c>
      <c r="D81" s="241">
        <v>-8544241.25</v>
      </c>
      <c r="E81" s="241">
        <v>322874177.88999999</v>
      </c>
      <c r="F81" s="241">
        <v>389092876.06</v>
      </c>
      <c r="G81" s="241">
        <v>36268517.960000001</v>
      </c>
      <c r="H81" s="241">
        <v>33235581.150000002</v>
      </c>
      <c r="I81" s="230">
        <f t="shared" si="9"/>
        <v>866457080.65999997</v>
      </c>
      <c r="J81" s="228"/>
      <c r="K81" s="52"/>
      <c r="M81" s="7"/>
      <c r="N81" s="7"/>
      <c r="O81" s="7"/>
      <c r="P81" s="7"/>
    </row>
    <row r="82" spans="1:16" ht="13">
      <c r="A82" s="110">
        <f t="shared" si="8"/>
        <v>68</v>
      </c>
      <c r="B82" s="244" t="s">
        <v>68</v>
      </c>
      <c r="C82" s="241">
        <v>82893261.829999998</v>
      </c>
      <c r="D82" s="241">
        <v>-3690233.4299999997</v>
      </c>
      <c r="E82" s="241">
        <v>356415013.79000002</v>
      </c>
      <c r="F82" s="241">
        <v>424192086.54000002</v>
      </c>
      <c r="G82" s="241">
        <v>20511372.449999999</v>
      </c>
      <c r="H82" s="241">
        <v>32270719.34</v>
      </c>
      <c r="I82" s="230">
        <f t="shared" si="9"/>
        <v>912592220.5200001</v>
      </c>
      <c r="J82" s="228"/>
      <c r="K82" s="52"/>
      <c r="M82" s="7"/>
      <c r="N82" s="7"/>
      <c r="O82" s="7"/>
      <c r="P82" s="7"/>
    </row>
    <row r="83" spans="1:16" ht="13">
      <c r="A83" s="110">
        <f t="shared" si="8"/>
        <v>69</v>
      </c>
      <c r="B83" s="244" t="s">
        <v>69</v>
      </c>
      <c r="C83" s="241">
        <v>105351358.22</v>
      </c>
      <c r="D83" s="241">
        <v>-456226.26999999955</v>
      </c>
      <c r="E83" s="241">
        <v>517410868.04000002</v>
      </c>
      <c r="F83" s="241">
        <v>674099984.94999993</v>
      </c>
      <c r="G83" s="241">
        <v>21004053.329999998</v>
      </c>
      <c r="H83" s="241">
        <v>45021337.020000003</v>
      </c>
      <c r="I83" s="230">
        <f t="shared" ref="I83:I87" si="10">SUM(C83:H83)</f>
        <v>1362431375.29</v>
      </c>
      <c r="J83" s="228"/>
      <c r="K83" s="52"/>
      <c r="M83" s="7"/>
      <c r="N83" s="7"/>
      <c r="O83" s="7"/>
      <c r="P83" s="7"/>
    </row>
    <row r="84" spans="1:16" ht="13">
      <c r="A84" s="110">
        <f t="shared" si="8"/>
        <v>70</v>
      </c>
      <c r="B84" s="244" t="s">
        <v>70</v>
      </c>
      <c r="C84" s="241">
        <v>114937290.89</v>
      </c>
      <c r="D84" s="241">
        <v>-2465599.4000000004</v>
      </c>
      <c r="E84" s="241">
        <v>500396189.98000002</v>
      </c>
      <c r="F84" s="241">
        <v>660694470.06000006</v>
      </c>
      <c r="G84" s="241">
        <v>36284081.93</v>
      </c>
      <c r="H84" s="241">
        <v>46366681.729999997</v>
      </c>
      <c r="I84" s="230">
        <f t="shared" si="10"/>
        <v>1356213115.1900003</v>
      </c>
      <c r="J84" s="228"/>
      <c r="K84" s="52"/>
      <c r="M84" s="7"/>
      <c r="N84" s="7"/>
      <c r="O84" s="7"/>
      <c r="P84" s="7"/>
    </row>
    <row r="85" spans="1:16" ht="13">
      <c r="A85" s="110">
        <f t="shared" si="8"/>
        <v>71</v>
      </c>
      <c r="B85" s="244" t="s">
        <v>71</v>
      </c>
      <c r="C85" s="241">
        <v>83261682.019999996</v>
      </c>
      <c r="D85" s="241">
        <v>-1896703.0899999999</v>
      </c>
      <c r="E85" s="241">
        <v>363837484.25999999</v>
      </c>
      <c r="F85" s="241">
        <v>508845118.57999992</v>
      </c>
      <c r="G85" s="241">
        <v>26814937.68</v>
      </c>
      <c r="H85" s="241">
        <v>35136414.289999999</v>
      </c>
      <c r="I85" s="230">
        <f t="shared" si="10"/>
        <v>1015998933.7399999</v>
      </c>
      <c r="J85" s="228"/>
      <c r="K85" s="52"/>
      <c r="M85" s="7"/>
      <c r="N85" s="7"/>
      <c r="O85" s="7"/>
      <c r="P85" s="7"/>
    </row>
    <row r="86" spans="1:16" ht="13">
      <c r="A86" s="110">
        <f t="shared" si="8"/>
        <v>72</v>
      </c>
      <c r="B86" s="244" t="s">
        <v>72</v>
      </c>
      <c r="C86" s="241">
        <v>88300708.25</v>
      </c>
      <c r="D86" s="241">
        <v>-2000018.1099999994</v>
      </c>
      <c r="E86" s="241">
        <v>204509898.28999999</v>
      </c>
      <c r="F86" s="241">
        <v>403894973.68999994</v>
      </c>
      <c r="G86" s="241">
        <v>21725322.800000001</v>
      </c>
      <c r="H86" s="241">
        <v>35095021.719999999</v>
      </c>
      <c r="I86" s="230">
        <f t="shared" si="10"/>
        <v>751525906.63999987</v>
      </c>
      <c r="J86" s="228"/>
      <c r="K86" s="52"/>
      <c r="M86" s="7"/>
      <c r="N86" s="7"/>
      <c r="O86" s="7"/>
      <c r="P86" s="7"/>
    </row>
    <row r="87" spans="1:16" ht="13">
      <c r="A87" s="110">
        <f t="shared" si="8"/>
        <v>73</v>
      </c>
      <c r="B87" s="244" t="s">
        <v>73</v>
      </c>
      <c r="C87" s="241">
        <v>66473158.030000001</v>
      </c>
      <c r="D87" s="241">
        <v>-1504656.3699999996</v>
      </c>
      <c r="E87" s="241">
        <v>231400296.02000001</v>
      </c>
      <c r="F87" s="241">
        <v>245128620.10999998</v>
      </c>
      <c r="G87" s="241">
        <v>18944651.989999998</v>
      </c>
      <c r="H87" s="241">
        <v>26734799.310000002</v>
      </c>
      <c r="I87" s="230">
        <f t="shared" si="10"/>
        <v>587176869.08999991</v>
      </c>
      <c r="J87" s="228"/>
      <c r="K87" s="52"/>
      <c r="M87" s="7"/>
      <c r="N87" s="7"/>
      <c r="O87" s="7"/>
      <c r="P87" s="7"/>
    </row>
    <row r="88" spans="1:16" ht="13">
      <c r="A88" s="110">
        <f t="shared" si="8"/>
        <v>74</v>
      </c>
      <c r="B88" s="244" t="s">
        <v>74</v>
      </c>
      <c r="C88" s="108">
        <v>99572808.420000002</v>
      </c>
      <c r="D88" s="108">
        <v>-2251074</v>
      </c>
      <c r="E88" s="108">
        <v>375676579.02000004</v>
      </c>
      <c r="F88" s="108">
        <v>432901977.22999996</v>
      </c>
      <c r="G88" s="108">
        <v>29599630.350000001</v>
      </c>
      <c r="H88" s="108">
        <v>40934001.68</v>
      </c>
      <c r="I88" s="91">
        <f>SUM(C88:H88)</f>
        <v>976433922.70000005</v>
      </c>
      <c r="J88" s="228"/>
      <c r="K88" s="52"/>
      <c r="M88" s="7"/>
      <c r="N88" s="7"/>
      <c r="O88" s="7"/>
      <c r="P88" s="91"/>
    </row>
    <row r="89" spans="1:16" ht="13">
      <c r="A89" s="110">
        <f t="shared" si="8"/>
        <v>75</v>
      </c>
      <c r="B89" s="87" t="s">
        <v>197</v>
      </c>
      <c r="C89" s="230">
        <v>1043221889.7899998</v>
      </c>
      <c r="D89" s="230">
        <v>-51712428.960000001</v>
      </c>
      <c r="E89" s="230">
        <v>4070236118.2200003</v>
      </c>
      <c r="F89" s="230">
        <v>4971086807.3699989</v>
      </c>
      <c r="G89" s="230">
        <v>344546780.21000004</v>
      </c>
      <c r="H89" s="230">
        <v>414319484.78000009</v>
      </c>
      <c r="I89" s="230">
        <f t="shared" ref="I89" si="11">SUM(I77:I88)</f>
        <v>10791698651.410002</v>
      </c>
      <c r="J89" s="228"/>
      <c r="P89" s="7"/>
    </row>
    <row r="90" spans="1:16" ht="13">
      <c r="A90" s="110">
        <f t="shared" si="8"/>
        <v>76</v>
      </c>
      <c r="B90" s="228"/>
      <c r="C90" s="228"/>
      <c r="D90" s="228"/>
      <c r="E90" s="228"/>
      <c r="F90" s="228"/>
      <c r="G90" s="228"/>
      <c r="H90" s="94"/>
      <c r="I90" s="228"/>
      <c r="J90" s="228"/>
      <c r="K90" s="228"/>
      <c r="L90" s="228"/>
    </row>
    <row r="91" spans="1:16" ht="13">
      <c r="A91" s="110">
        <f t="shared" si="8"/>
        <v>77</v>
      </c>
      <c r="B91" s="228"/>
      <c r="C91" s="228"/>
      <c r="D91" s="228"/>
      <c r="E91" s="228"/>
      <c r="F91" s="228"/>
      <c r="G91" s="228"/>
      <c r="H91" s="94" t="s">
        <v>521</v>
      </c>
      <c r="I91" s="980">
        <v>10791698652</v>
      </c>
      <c r="J91" s="228"/>
      <c r="K91" s="228"/>
      <c r="L91" s="228"/>
    </row>
    <row r="92" spans="1:16">
      <c r="A92" s="228"/>
      <c r="B92" s="228"/>
      <c r="C92" s="228"/>
      <c r="D92" s="228"/>
      <c r="E92" s="228"/>
      <c r="F92" s="228"/>
      <c r="G92" s="228"/>
      <c r="H92" s="228"/>
      <c r="I92" s="228"/>
      <c r="J92" s="228"/>
      <c r="K92" s="228"/>
      <c r="L92" s="228"/>
    </row>
    <row r="93" spans="1:16" ht="13">
      <c r="A93" s="2"/>
      <c r="B93" s="44" t="s">
        <v>377</v>
      </c>
      <c r="C93" s="236"/>
      <c r="D93" s="236"/>
      <c r="E93" s="236"/>
      <c r="F93" s="236"/>
      <c r="G93" s="236"/>
      <c r="H93" s="236"/>
      <c r="I93" s="232"/>
      <c r="J93" s="236"/>
      <c r="K93" s="236"/>
      <c r="L93" s="228"/>
    </row>
    <row r="94" spans="1:16" ht="13">
      <c r="A94" s="2"/>
      <c r="B94" s="466" t="str">
        <f>"1) Enter applicable years on Column 1, Lines "&amp;A24&amp;"-"&amp;A36&amp;" (Prior Year and December of the year previous to the Prior Year)."</f>
        <v>1) Enter applicable years on Column 1, Lines 11-23 (Prior Year and December of the year previous to the Prior Year).</v>
      </c>
      <c r="C94" s="236"/>
      <c r="D94" s="236"/>
      <c r="E94" s="236"/>
      <c r="F94" s="236"/>
      <c r="G94" s="236"/>
      <c r="H94" s="236"/>
      <c r="I94" s="236"/>
      <c r="J94" s="236"/>
      <c r="K94" s="236"/>
      <c r="L94" s="228"/>
    </row>
    <row r="95" spans="1:16" ht="13">
      <c r="A95" s="2"/>
      <c r="B95" s="466" t="str">
        <f>"2) Enter Previous Annual Update True Up Adjustment (if any) on Line "&amp;A41&amp;"."</f>
        <v>2) Enter Previous Annual Update True Up Adjustment (if any) on Line 27.</v>
      </c>
      <c r="C95" s="236"/>
      <c r="D95" s="236"/>
      <c r="E95" s="236"/>
      <c r="F95" s="236"/>
      <c r="G95" s="236"/>
      <c r="H95" s="236"/>
      <c r="I95" s="236"/>
      <c r="J95" s="236"/>
      <c r="K95" s="236"/>
      <c r="L95" s="228"/>
    </row>
    <row r="96" spans="1:16" ht="13">
      <c r="A96" s="2"/>
      <c r="B96" s="1048" t="s">
        <v>2253</v>
      </c>
      <c r="C96" s="236"/>
      <c r="D96" s="236"/>
      <c r="E96" s="236"/>
      <c r="F96" s="236"/>
      <c r="G96" s="236"/>
      <c r="H96" s="236"/>
      <c r="I96" s="236"/>
      <c r="J96" s="236"/>
      <c r="K96" s="236"/>
      <c r="L96" s="228"/>
    </row>
    <row r="97" spans="1:12" ht="13">
      <c r="A97" s="2"/>
      <c r="B97" s="466" t="s">
        <v>960</v>
      </c>
      <c r="C97" s="236"/>
      <c r="D97" s="236"/>
      <c r="E97" s="236"/>
      <c r="F97" s="236"/>
      <c r="G97" s="236"/>
      <c r="H97" s="236"/>
      <c r="I97" s="236"/>
      <c r="J97" s="236"/>
      <c r="K97" s="236"/>
      <c r="L97" s="228"/>
    </row>
    <row r="98" spans="1:12" ht="13">
      <c r="A98" s="2"/>
      <c r="B98" s="852" t="str">
        <f>"18 C.F.R. §35.19a on lines "&amp;A25&amp;" to "&amp;A36&amp;", Column 6."</f>
        <v>18 C.F.R. §35.19a on lines 12 to 23, Column 6.</v>
      </c>
      <c r="C98" s="236"/>
      <c r="D98" s="236"/>
      <c r="E98" s="236"/>
      <c r="F98" s="236"/>
      <c r="G98" s="236"/>
      <c r="H98" s="236"/>
      <c r="I98" s="236"/>
      <c r="J98" s="236"/>
      <c r="K98" s="236"/>
      <c r="L98" s="228"/>
    </row>
    <row r="99" spans="1:12" ht="13">
      <c r="A99" s="2"/>
      <c r="B99" s="466" t="s">
        <v>2254</v>
      </c>
      <c r="C99" s="236"/>
      <c r="D99" s="236"/>
      <c r="E99" s="236"/>
      <c r="F99" s="236"/>
      <c r="G99" s="236"/>
      <c r="H99" s="236"/>
      <c r="I99" s="236"/>
      <c r="J99" s="236"/>
      <c r="K99" s="236"/>
      <c r="L99" s="228"/>
    </row>
    <row r="100" spans="1:12" ht="13">
      <c r="A100" s="2"/>
      <c r="B100" s="445" t="s">
        <v>1701</v>
      </c>
      <c r="C100" s="236"/>
      <c r="D100" s="236"/>
      <c r="E100" s="236"/>
      <c r="F100" s="236"/>
      <c r="G100" s="236"/>
      <c r="H100" s="236"/>
      <c r="I100" s="236"/>
      <c r="J100" s="236"/>
      <c r="K100" s="236"/>
      <c r="L100" s="228"/>
    </row>
    <row r="101" spans="1:12" ht="13">
      <c r="A101" s="553"/>
      <c r="B101" s="854" t="s">
        <v>2255</v>
      </c>
      <c r="C101" s="236"/>
      <c r="D101" s="236"/>
      <c r="E101" s="236"/>
      <c r="F101" s="236"/>
      <c r="G101" s="236"/>
      <c r="H101" s="236"/>
      <c r="I101" s="236"/>
      <c r="J101" s="236"/>
      <c r="K101" s="236"/>
    </row>
    <row r="102" spans="1:12" ht="13">
      <c r="A102" s="553"/>
      <c r="B102" s="1049" t="s">
        <v>2256</v>
      </c>
      <c r="C102" s="236"/>
      <c r="D102" s="236"/>
      <c r="E102" s="236"/>
      <c r="F102" s="236"/>
      <c r="G102" s="236"/>
      <c r="H102" s="236"/>
      <c r="I102" s="236"/>
      <c r="J102" s="236"/>
      <c r="K102" s="236"/>
      <c r="L102" s="228"/>
    </row>
    <row r="103" spans="1:12" ht="13">
      <c r="A103" s="553"/>
      <c r="B103" s="1049"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36"/>
      <c r="E103" s="236"/>
      <c r="F103" s="236"/>
      <c r="G103" s="236"/>
      <c r="H103" s="236"/>
      <c r="I103" s="236"/>
      <c r="J103" s="236"/>
      <c r="K103" s="236"/>
      <c r="L103" s="228"/>
    </row>
    <row r="104" spans="1:12" ht="13">
      <c r="A104" s="2"/>
      <c r="B104" s="854" t="s">
        <v>2257</v>
      </c>
      <c r="C104" s="236"/>
      <c r="D104" s="236"/>
      <c r="E104" s="236"/>
      <c r="F104" s="236"/>
      <c r="G104" s="236"/>
      <c r="H104" s="236"/>
      <c r="I104" s="236"/>
      <c r="J104" s="236"/>
      <c r="K104" s="236"/>
      <c r="L104" s="228"/>
    </row>
    <row r="105" spans="1:12" ht="13">
      <c r="A105" s="2"/>
      <c r="B105" s="854" t="s">
        <v>2258</v>
      </c>
      <c r="C105" s="236"/>
      <c r="D105" s="236"/>
      <c r="E105" s="236"/>
      <c r="F105" s="236"/>
      <c r="G105" s="236"/>
      <c r="H105" s="236"/>
      <c r="I105" s="236"/>
      <c r="J105" s="236"/>
      <c r="K105" s="236"/>
      <c r="L105" s="228"/>
    </row>
    <row r="106" spans="1:12" s="972" customFormat="1" ht="13">
      <c r="A106" s="553"/>
      <c r="B106" s="854"/>
      <c r="C106" s="469" t="s">
        <v>2539</v>
      </c>
      <c r="D106" s="1265"/>
      <c r="E106" s="978" t="s">
        <v>2881</v>
      </c>
      <c r="F106" s="975"/>
      <c r="G106" s="975"/>
      <c r="H106" s="236"/>
      <c r="I106" s="236"/>
      <c r="J106" s="236"/>
      <c r="K106" s="236"/>
      <c r="L106" s="228"/>
    </row>
    <row r="107" spans="1:12" s="972" customFormat="1" ht="13">
      <c r="A107" s="553"/>
      <c r="B107" s="854"/>
      <c r="C107" s="469" t="s">
        <v>2538</v>
      </c>
      <c r="D107" s="1265"/>
      <c r="E107" s="978" t="s">
        <v>2882</v>
      </c>
      <c r="F107" s="975"/>
      <c r="G107" s="975"/>
      <c r="H107" s="236"/>
      <c r="I107" s="236"/>
      <c r="J107" s="236"/>
      <c r="K107" s="236"/>
      <c r="L107" s="228"/>
    </row>
    <row r="108" spans="1:12" ht="13">
      <c r="A108" s="2"/>
      <c r="B108" s="466" t="str">
        <f>"5) Fill in matrix of all retail revenues from Prior Year in table on lines "&amp;A77&amp;" to "&amp;A88&amp;"."</f>
        <v>5) Fill in matrix of all retail revenues from Prior Year in table on lines 63 to 74.</v>
      </c>
      <c r="C108" s="236"/>
      <c r="D108" s="236"/>
      <c r="E108" s="236"/>
      <c r="F108" s="236"/>
      <c r="G108" s="236"/>
      <c r="H108" s="236"/>
      <c r="I108" s="236"/>
      <c r="J108" s="236"/>
      <c r="K108" s="236"/>
      <c r="L108" s="228"/>
    </row>
    <row r="109" spans="1:12" ht="13">
      <c r="A109" s="2"/>
      <c r="B109" s="466" t="str">
        <f>"6) Enter Total Sales to Ultimate Consumers on line "&amp;A91&amp;" and verify that it equals the total on line "&amp;A89&amp;"."</f>
        <v>6) Enter Total Sales to Ultimate Consumers on line 77 and verify that it equals the total on line 75.</v>
      </c>
      <c r="C109" s="236"/>
      <c r="D109" s="236"/>
      <c r="E109" s="236"/>
      <c r="F109" s="236"/>
      <c r="G109" s="236"/>
      <c r="H109" s="236"/>
      <c r="I109" s="236"/>
      <c r="J109" s="236"/>
      <c r="K109" s="236"/>
      <c r="L109" s="228"/>
    </row>
    <row r="110" spans="1:12" ht="13">
      <c r="A110" s="2"/>
      <c r="B110" s="466" t="s">
        <v>2259</v>
      </c>
      <c r="C110" s="236"/>
      <c r="D110" s="236"/>
      <c r="E110" s="236"/>
      <c r="F110" s="236"/>
      <c r="G110" s="236"/>
      <c r="H110" s="236"/>
      <c r="I110" s="236"/>
      <c r="J110" s="236"/>
      <c r="K110" s="236"/>
      <c r="L110" s="228"/>
    </row>
    <row r="111" spans="1:12" s="14" customFormat="1" ht="13">
      <c r="A111" s="110"/>
      <c r="B111" s="852" t="s">
        <v>1060</v>
      </c>
      <c r="C111" s="236"/>
      <c r="D111" s="236"/>
      <c r="E111" s="236"/>
      <c r="F111" s="236"/>
      <c r="G111" s="236"/>
      <c r="H111" s="236"/>
      <c r="I111" s="236"/>
      <c r="J111" s="236"/>
      <c r="K111" s="236"/>
      <c r="L111" s="236"/>
    </row>
    <row r="112" spans="1:12" ht="13">
      <c r="A112" s="2"/>
      <c r="B112" s="840" t="s">
        <v>230</v>
      </c>
      <c r="C112" s="236"/>
      <c r="D112" s="236"/>
      <c r="E112" s="236"/>
      <c r="F112" s="236"/>
      <c r="G112" s="236"/>
      <c r="H112" s="236"/>
      <c r="I112" s="236"/>
      <c r="J112" s="236"/>
      <c r="K112" s="236"/>
      <c r="L112" s="228"/>
    </row>
    <row r="113" spans="1:12" ht="13">
      <c r="A113" s="2"/>
      <c r="B113" s="471" t="s">
        <v>1481</v>
      </c>
      <c r="C113" s="236"/>
      <c r="D113" s="236"/>
      <c r="E113" s="236"/>
      <c r="F113" s="236"/>
      <c r="G113" s="236"/>
      <c r="H113" s="236"/>
      <c r="I113" s="236"/>
      <c r="J113" s="236"/>
      <c r="K113" s="236"/>
      <c r="L113" s="228"/>
    </row>
    <row r="114" spans="1:12" ht="13">
      <c r="A114" s="2"/>
      <c r="B114" s="1050" t="s">
        <v>1482</v>
      </c>
      <c r="C114" s="236"/>
      <c r="D114" s="236"/>
      <c r="E114" s="236"/>
      <c r="F114" s="236"/>
      <c r="G114" s="236"/>
      <c r="H114" s="236"/>
      <c r="I114" s="236"/>
      <c r="J114" s="236"/>
      <c r="K114" s="236"/>
      <c r="L114" s="228"/>
    </row>
    <row r="115" spans="1:12" ht="13">
      <c r="A115" s="2"/>
      <c r="B115" s="1048"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236"/>
      <c r="D115" s="236"/>
      <c r="E115" s="236"/>
      <c r="F115" s="236"/>
      <c r="G115" s="236"/>
      <c r="H115" s="236"/>
      <c r="I115" s="236"/>
      <c r="J115" s="236"/>
      <c r="K115" s="236"/>
      <c r="L115" s="228"/>
    </row>
    <row r="116" spans="1:12" ht="13">
      <c r="A116" s="493"/>
      <c r="B116" s="1048" t="str">
        <f>"Only enter in the Prior Year, Lines "&amp;A25&amp;" to "&amp;A36&amp;", or portion of year formula was in effect in case of Partial Year True Up."</f>
        <v>Only enter in the Prior Year, Lines 12 to 23, or portion of year formula was in effect in case of Partial Year True Up.</v>
      </c>
      <c r="C116" s="236"/>
      <c r="D116" s="236"/>
      <c r="E116" s="236"/>
      <c r="F116" s="236"/>
      <c r="G116" s="236"/>
      <c r="H116" s="236"/>
      <c r="I116" s="236"/>
      <c r="J116" s="236"/>
      <c r="K116" s="236"/>
      <c r="L116" s="228"/>
    </row>
    <row r="117" spans="1:12" ht="13">
      <c r="A117" s="553"/>
      <c r="B117" s="1048" t="s">
        <v>1813</v>
      </c>
      <c r="C117" s="236"/>
      <c r="D117" s="236"/>
      <c r="E117" s="236"/>
      <c r="F117" s="236"/>
      <c r="G117" s="236"/>
      <c r="H117" s="236"/>
      <c r="I117" s="236"/>
      <c r="J117" s="236"/>
      <c r="K117" s="236"/>
      <c r="L117" s="228"/>
    </row>
    <row r="118" spans="1:12" ht="13">
      <c r="A118" s="2"/>
      <c r="B118" s="1050" t="s">
        <v>1061</v>
      </c>
      <c r="C118" s="236"/>
      <c r="D118" s="236"/>
      <c r="E118" s="236"/>
      <c r="F118" s="236"/>
      <c r="G118" s="236"/>
      <c r="H118" s="236"/>
      <c r="I118" s="236"/>
      <c r="J118" s="236"/>
      <c r="K118" s="236"/>
      <c r="L118" s="228"/>
    </row>
    <row r="119" spans="1:12" ht="13">
      <c r="A119" s="2"/>
      <c r="B119" s="1048" t="str">
        <f>"as shown on Lines "&amp;A77&amp;" to "&amp;A88&amp;", Column 1."</f>
        <v>as shown on Lines 63 to 74, Column 1.</v>
      </c>
      <c r="C119" s="236"/>
      <c r="D119" s="236"/>
      <c r="E119" s="236"/>
      <c r="F119" s="236"/>
      <c r="G119" s="236"/>
      <c r="H119" s="236"/>
      <c r="I119" s="236"/>
      <c r="J119" s="236"/>
      <c r="K119" s="236"/>
      <c r="L119" s="228"/>
    </row>
    <row r="120" spans="1:12" ht="13">
      <c r="A120" s="2"/>
      <c r="B120" s="1050" t="s">
        <v>2403</v>
      </c>
      <c r="C120" s="236"/>
      <c r="D120" s="236"/>
      <c r="E120" s="236"/>
      <c r="F120" s="236"/>
      <c r="G120" s="236"/>
      <c r="H120" s="236"/>
      <c r="I120" s="236"/>
      <c r="J120" s="236"/>
      <c r="K120" s="236"/>
      <c r="L120" s="228"/>
    </row>
    <row r="121" spans="1:12" ht="13">
      <c r="A121" s="2"/>
      <c r="B121" s="1050" t="s">
        <v>1602</v>
      </c>
      <c r="C121" s="236"/>
      <c r="D121" s="236"/>
      <c r="E121" s="236"/>
      <c r="F121" s="236"/>
      <c r="G121" s="236"/>
      <c r="H121" s="236"/>
      <c r="I121" s="236"/>
      <c r="J121" s="236"/>
      <c r="K121" s="236"/>
      <c r="L121" s="228"/>
    </row>
    <row r="122" spans="1:12" ht="13">
      <c r="A122" s="2"/>
      <c r="B122" s="466" t="s">
        <v>2260</v>
      </c>
      <c r="C122" s="236"/>
      <c r="D122" s="236"/>
      <c r="E122" s="236"/>
      <c r="F122" s="236"/>
      <c r="G122" s="236"/>
      <c r="H122" s="236"/>
      <c r="I122" s="236"/>
      <c r="J122" s="236"/>
      <c r="K122" s="236"/>
      <c r="L122" s="228"/>
    </row>
    <row r="123" spans="1:12" ht="13">
      <c r="A123" s="553"/>
      <c r="B123" s="852" t="s">
        <v>2261</v>
      </c>
      <c r="C123" s="236"/>
      <c r="D123" s="236"/>
      <c r="E123" s="236"/>
      <c r="F123" s="236"/>
      <c r="G123" s="236"/>
      <c r="H123" s="236"/>
      <c r="I123" s="236"/>
      <c r="J123" s="236"/>
      <c r="K123" s="236"/>
      <c r="L123" s="228"/>
    </row>
    <row r="124" spans="1:12" ht="13">
      <c r="A124" s="553"/>
      <c r="B124" s="466" t="s">
        <v>1062</v>
      </c>
      <c r="C124" s="236"/>
      <c r="D124" s="236"/>
      <c r="E124" s="236"/>
      <c r="F124" s="236"/>
      <c r="G124" s="236"/>
      <c r="H124" s="236"/>
      <c r="I124" s="236"/>
      <c r="J124" s="236"/>
      <c r="K124" s="236"/>
      <c r="L124" s="236"/>
    </row>
    <row r="125" spans="1:12" ht="13">
      <c r="A125" s="2"/>
      <c r="B125" s="853" t="s">
        <v>2262</v>
      </c>
      <c r="C125" s="236"/>
      <c r="D125" s="236"/>
      <c r="E125" s="236"/>
      <c r="F125" s="236"/>
      <c r="G125" s="236"/>
      <c r="H125" s="236"/>
      <c r="I125" s="236"/>
      <c r="J125" s="236"/>
      <c r="K125" s="236"/>
      <c r="L125" s="236"/>
    </row>
    <row r="126" spans="1:12" ht="13">
      <c r="A126" s="2"/>
      <c r="B126" s="466" t="s">
        <v>2263</v>
      </c>
      <c r="C126" s="236"/>
      <c r="D126" s="236"/>
      <c r="E126" s="236"/>
      <c r="F126" s="236"/>
      <c r="G126" s="236"/>
      <c r="H126" s="236"/>
      <c r="I126" s="236"/>
      <c r="J126" s="236"/>
      <c r="K126" s="236"/>
      <c r="L126" s="228"/>
    </row>
    <row r="127" spans="1:12" ht="13">
      <c r="A127" s="2"/>
      <c r="B127" s="466" t="s">
        <v>2264</v>
      </c>
      <c r="C127" s="236"/>
      <c r="D127" s="236"/>
      <c r="E127" s="236"/>
      <c r="F127" s="236"/>
      <c r="G127" s="236"/>
      <c r="H127" s="236"/>
      <c r="I127" s="236"/>
      <c r="J127" s="236"/>
      <c r="K127" s="236"/>
      <c r="L127" s="228"/>
    </row>
    <row r="128" spans="1:12" ht="13">
      <c r="A128" s="2"/>
      <c r="B128" s="852" t="s">
        <v>2770</v>
      </c>
      <c r="C128" s="236"/>
      <c r="D128" s="236"/>
      <c r="E128" s="236"/>
      <c r="F128" s="236"/>
      <c r="G128" s="236"/>
      <c r="H128" s="236"/>
      <c r="I128" s="236"/>
      <c r="J128" s="236"/>
      <c r="K128" s="236"/>
      <c r="L128" s="228"/>
    </row>
    <row r="129" spans="1:12" ht="13">
      <c r="A129" s="2"/>
      <c r="B129" s="852" t="s">
        <v>1865</v>
      </c>
      <c r="C129" s="236"/>
      <c r="D129" s="236"/>
      <c r="E129" s="236"/>
      <c r="F129" s="236"/>
      <c r="G129" s="236"/>
      <c r="H129" s="236"/>
      <c r="I129" s="236"/>
      <c r="J129" s="236"/>
      <c r="K129" s="236"/>
      <c r="L129" s="228"/>
    </row>
    <row r="130" spans="1:12" ht="13">
      <c r="A130" s="2"/>
      <c r="B130" s="852" t="s">
        <v>1866</v>
      </c>
      <c r="C130" s="236"/>
      <c r="D130" s="236"/>
      <c r="E130" s="236"/>
      <c r="F130" s="236"/>
      <c r="G130" s="236"/>
      <c r="H130" s="236"/>
      <c r="I130" s="236"/>
      <c r="J130" s="236"/>
      <c r="K130" s="236"/>
      <c r="L130" s="228"/>
    </row>
    <row r="131" spans="1:12" ht="13">
      <c r="A131" s="2"/>
      <c r="B131" s="466" t="s">
        <v>2265</v>
      </c>
      <c r="C131" s="236"/>
      <c r="D131" s="236"/>
      <c r="E131" s="236"/>
      <c r="F131" s="236"/>
      <c r="G131" s="236"/>
      <c r="H131" s="236"/>
      <c r="I131" s="236"/>
      <c r="J131" s="236"/>
      <c r="K131" s="236"/>
      <c r="L131" s="228"/>
    </row>
    <row r="132" spans="1:12" ht="13">
      <c r="A132" s="2"/>
      <c r="B132" s="852" t="s">
        <v>2027</v>
      </c>
      <c r="C132" s="236"/>
      <c r="D132" s="236"/>
      <c r="E132" s="236"/>
      <c r="F132" s="236"/>
      <c r="G132" s="236"/>
      <c r="H132" s="236"/>
      <c r="I132" s="236"/>
      <c r="J132" s="236"/>
      <c r="K132" s="236"/>
      <c r="L132" s="228"/>
    </row>
    <row r="133" spans="1:12" ht="13">
      <c r="A133" s="2"/>
      <c r="B133" s="852" t="s">
        <v>2026</v>
      </c>
      <c r="C133" s="236"/>
      <c r="D133" s="236"/>
      <c r="E133" s="236"/>
      <c r="F133" s="236"/>
      <c r="G133" s="236"/>
      <c r="H133" s="236"/>
      <c r="I133" s="236"/>
      <c r="J133" s="236"/>
      <c r="K133" s="236"/>
      <c r="L133" s="228"/>
    </row>
    <row r="134" spans="1:12">
      <c r="A134" s="228"/>
      <c r="B134" s="852" t="s">
        <v>2025</v>
      </c>
      <c r="C134" s="236"/>
      <c r="D134" s="236"/>
      <c r="E134" s="236"/>
      <c r="F134" s="236"/>
      <c r="G134" s="236"/>
      <c r="H134" s="236"/>
      <c r="I134" s="236"/>
      <c r="J134" s="236"/>
      <c r="K134" s="236"/>
      <c r="L134" s="228"/>
    </row>
    <row r="135" spans="1:12">
      <c r="A135" s="228"/>
      <c r="B135" s="852" t="s">
        <v>961</v>
      </c>
      <c r="C135" s="236"/>
      <c r="D135" s="236"/>
      <c r="E135" s="236"/>
      <c r="F135" s="236"/>
      <c r="G135" s="236"/>
      <c r="H135" s="236"/>
      <c r="I135" s="236"/>
      <c r="J135" s="236"/>
      <c r="K135" s="236"/>
      <c r="L135" s="228"/>
    </row>
    <row r="136" spans="1:12">
      <c r="A136" s="228"/>
      <c r="B136" s="46"/>
      <c r="C136" s="236"/>
      <c r="D136" s="236"/>
      <c r="E136" s="236"/>
      <c r="F136" s="236"/>
      <c r="G136" s="236"/>
      <c r="H136" s="236"/>
      <c r="I136" s="236"/>
      <c r="J136" s="236"/>
      <c r="K136" s="236"/>
      <c r="L136" s="228"/>
    </row>
    <row r="137" spans="1:12">
      <c r="A137" s="228"/>
      <c r="B137" s="368"/>
      <c r="C137" s="236"/>
      <c r="D137" s="236"/>
      <c r="E137" s="236"/>
      <c r="F137" s="236"/>
      <c r="G137" s="236"/>
      <c r="H137" s="236"/>
      <c r="I137" s="236"/>
      <c r="J137" s="236"/>
      <c r="K137" s="236"/>
      <c r="L137" s="228"/>
    </row>
    <row r="138" spans="1:12">
      <c r="A138" s="228"/>
      <c r="B138" s="852"/>
      <c r="C138" s="236"/>
      <c r="D138" s="236"/>
      <c r="E138" s="236"/>
      <c r="F138" s="236"/>
      <c r="G138" s="236"/>
      <c r="H138" s="236"/>
      <c r="I138" s="236"/>
      <c r="J138" s="236"/>
      <c r="K138" s="236"/>
      <c r="L138" s="228"/>
    </row>
    <row r="139" spans="1:12">
      <c r="A139" s="228"/>
      <c r="B139" s="852"/>
      <c r="C139" s="236"/>
      <c r="D139" s="236"/>
      <c r="E139" s="236"/>
      <c r="F139" s="236"/>
      <c r="G139" s="236"/>
      <c r="H139" s="236"/>
      <c r="I139" s="236"/>
      <c r="J139" s="236"/>
      <c r="K139" s="236"/>
      <c r="L139" s="228"/>
    </row>
    <row r="140" spans="1:12">
      <c r="A140" s="228"/>
      <c r="B140" s="46"/>
      <c r="C140" s="236"/>
      <c r="D140" s="236"/>
      <c r="E140" s="236"/>
      <c r="F140" s="236"/>
      <c r="G140" s="236"/>
      <c r="H140" s="236"/>
      <c r="I140" s="236"/>
      <c r="J140" s="236"/>
      <c r="K140" s="236"/>
      <c r="L140" s="228"/>
    </row>
    <row r="141" spans="1:12">
      <c r="A141" s="228"/>
      <c r="B141" s="852"/>
      <c r="C141" s="236"/>
      <c r="D141" s="236"/>
      <c r="E141" s="236"/>
      <c r="F141" s="236"/>
      <c r="G141" s="236"/>
      <c r="H141" s="236"/>
      <c r="I141" s="236"/>
      <c r="J141" s="236"/>
      <c r="K141" s="236"/>
      <c r="L141" s="228"/>
    </row>
    <row r="142" spans="1:12">
      <c r="A142" s="228"/>
      <c r="B142" s="852"/>
      <c r="C142" s="236"/>
      <c r="D142" s="236"/>
      <c r="E142" s="236"/>
      <c r="F142" s="236"/>
      <c r="G142" s="236"/>
      <c r="H142" s="236"/>
      <c r="I142" s="236"/>
      <c r="J142" s="236"/>
      <c r="K142" s="236"/>
      <c r="L142" s="228"/>
    </row>
    <row r="143" spans="1:12">
      <c r="A143" s="228"/>
      <c r="B143" s="852"/>
      <c r="C143" s="236"/>
      <c r="D143" s="236"/>
      <c r="E143" s="236"/>
      <c r="F143" s="236"/>
      <c r="G143" s="236"/>
      <c r="H143" s="236"/>
      <c r="I143" s="236"/>
      <c r="J143" s="236"/>
      <c r="K143" s="236"/>
      <c r="L143" s="228"/>
    </row>
    <row r="144" spans="1:12">
      <c r="A144" s="228"/>
      <c r="B144" s="368"/>
      <c r="C144" s="236"/>
      <c r="D144" s="236"/>
      <c r="E144" s="236"/>
      <c r="F144" s="236"/>
      <c r="G144" s="236"/>
      <c r="H144" s="236"/>
      <c r="I144" s="236"/>
      <c r="J144" s="236"/>
      <c r="K144" s="236"/>
      <c r="L144" s="228"/>
    </row>
    <row r="145" spans="1:12">
      <c r="A145" s="228"/>
      <c r="C145" s="228"/>
      <c r="D145" s="228"/>
      <c r="E145" s="228"/>
      <c r="F145" s="228"/>
      <c r="G145" s="228"/>
      <c r="H145" s="228"/>
      <c r="I145" s="228"/>
      <c r="J145" s="228"/>
      <c r="K145" s="228"/>
      <c r="L145" s="228"/>
    </row>
    <row r="146" spans="1:12">
      <c r="A146" s="228"/>
      <c r="B146" s="228"/>
      <c r="C146" s="228"/>
      <c r="D146" s="228"/>
      <c r="E146" s="228"/>
      <c r="F146" s="228"/>
      <c r="G146" s="228"/>
      <c r="H146" s="228"/>
      <c r="I146" s="228"/>
      <c r="J146" s="228"/>
      <c r="K146" s="228"/>
      <c r="L146" s="228"/>
    </row>
    <row r="147" spans="1:12">
      <c r="A147" s="228"/>
      <c r="B147" s="228"/>
      <c r="C147" s="228"/>
      <c r="D147" s="228"/>
      <c r="E147" s="228"/>
      <c r="F147" s="228"/>
      <c r="G147" s="228"/>
      <c r="H147" s="228"/>
      <c r="I147" s="228"/>
      <c r="J147" s="228"/>
      <c r="K147" s="228"/>
      <c r="L147" s="228"/>
    </row>
    <row r="148" spans="1:12">
      <c r="A148" s="228"/>
      <c r="B148" s="228"/>
      <c r="C148" s="228"/>
      <c r="D148" s="228"/>
      <c r="E148" s="228"/>
      <c r="F148" s="228"/>
      <c r="G148" s="228"/>
      <c r="H148" s="228"/>
      <c r="I148" s="228"/>
      <c r="J148" s="228"/>
      <c r="K148" s="228"/>
      <c r="L148" s="228"/>
    </row>
    <row r="149" spans="1:12">
      <c r="A149" s="228"/>
      <c r="B149" s="228"/>
      <c r="C149" s="228"/>
      <c r="D149" s="228"/>
      <c r="E149" s="228"/>
      <c r="F149" s="228"/>
      <c r="G149" s="228"/>
      <c r="H149" s="228"/>
      <c r="I149" s="228"/>
      <c r="J149" s="228"/>
      <c r="K149" s="228"/>
      <c r="L149" s="228"/>
    </row>
    <row r="150" spans="1:12">
      <c r="A150" s="228"/>
      <c r="B150" s="228"/>
      <c r="C150" s="228"/>
      <c r="D150" s="228"/>
      <c r="E150" s="228"/>
      <c r="F150" s="228"/>
      <c r="G150" s="228"/>
      <c r="H150" s="228"/>
      <c r="I150" s="228"/>
      <c r="J150" s="228"/>
      <c r="K150" s="228"/>
      <c r="L150" s="228"/>
    </row>
    <row r="151" spans="1:12">
      <c r="A151" s="228"/>
      <c r="B151" s="228"/>
      <c r="C151" s="228"/>
      <c r="D151" s="228"/>
      <c r="E151" s="228"/>
      <c r="F151" s="228"/>
      <c r="G151" s="228"/>
      <c r="H151" s="228"/>
      <c r="I151" s="228"/>
      <c r="J151" s="228"/>
      <c r="K151" s="228"/>
      <c r="L151" s="228"/>
    </row>
    <row r="152" spans="1:12">
      <c r="A152" s="228"/>
      <c r="B152" s="228"/>
      <c r="C152" s="228"/>
      <c r="D152" s="228"/>
      <c r="E152" s="228"/>
      <c r="F152" s="228"/>
      <c r="G152" s="228"/>
      <c r="H152" s="228"/>
      <c r="I152" s="228"/>
      <c r="J152" s="228"/>
      <c r="K152" s="228"/>
      <c r="L152" s="228"/>
    </row>
    <row r="153" spans="1:12">
      <c r="A153" s="228"/>
      <c r="B153" s="228"/>
      <c r="C153" s="228"/>
      <c r="D153" s="228"/>
      <c r="E153" s="228"/>
      <c r="F153" s="228"/>
      <c r="G153" s="228"/>
      <c r="H153" s="228"/>
      <c r="I153" s="228"/>
      <c r="J153" s="228"/>
      <c r="K153" s="228"/>
      <c r="L153" s="228"/>
    </row>
    <row r="154" spans="1:12">
      <c r="A154" s="228"/>
      <c r="B154" s="228"/>
      <c r="C154" s="228"/>
      <c r="D154" s="228"/>
      <c r="E154" s="228"/>
      <c r="F154" s="228"/>
      <c r="G154" s="228"/>
      <c r="H154" s="228"/>
      <c r="I154" s="228"/>
      <c r="J154" s="228"/>
      <c r="K154" s="228"/>
      <c r="L154" s="228"/>
    </row>
    <row r="155" spans="1:12">
      <c r="A155" s="228"/>
      <c r="B155" s="228"/>
      <c r="C155" s="228"/>
      <c r="D155" s="228"/>
      <c r="E155" s="228"/>
      <c r="F155" s="228"/>
      <c r="G155" s="228"/>
      <c r="H155" s="228"/>
      <c r="I155" s="228"/>
      <c r="J155" s="228"/>
      <c r="K155" s="228"/>
      <c r="L155" s="228"/>
    </row>
    <row r="156" spans="1:12">
      <c r="A156" s="228"/>
      <c r="B156" s="228"/>
      <c r="C156" s="228"/>
      <c r="D156" s="228"/>
      <c r="E156" s="228"/>
      <c r="F156" s="228"/>
      <c r="G156" s="228"/>
      <c r="H156" s="228"/>
      <c r="I156" s="228"/>
      <c r="J156" s="228"/>
      <c r="K156" s="228"/>
      <c r="L156" s="228"/>
    </row>
    <row r="157" spans="1:12">
      <c r="A157" s="228"/>
      <c r="B157" s="228"/>
      <c r="C157" s="228"/>
      <c r="D157" s="228"/>
      <c r="E157" s="228"/>
      <c r="F157" s="228"/>
      <c r="G157" s="228"/>
      <c r="H157" s="228"/>
      <c r="I157" s="228"/>
      <c r="J157" s="228"/>
      <c r="K157" s="228"/>
      <c r="L157" s="228"/>
    </row>
    <row r="158" spans="1:12">
      <c r="A158" s="228"/>
      <c r="B158" s="228"/>
      <c r="C158" s="228"/>
      <c r="D158" s="228"/>
      <c r="E158" s="228"/>
      <c r="F158" s="228"/>
      <c r="G158" s="228"/>
      <c r="H158" s="228"/>
      <c r="I158" s="228"/>
      <c r="J158" s="228"/>
      <c r="K158" s="228"/>
      <c r="L158" s="228"/>
    </row>
    <row r="159" spans="1:12">
      <c r="A159" s="228"/>
      <c r="B159" s="228"/>
      <c r="C159" s="228"/>
      <c r="D159" s="228"/>
      <c r="E159" s="228"/>
      <c r="F159" s="228"/>
      <c r="G159" s="228"/>
      <c r="H159" s="228"/>
      <c r="I159" s="228"/>
      <c r="J159" s="228"/>
      <c r="K159" s="228"/>
      <c r="L159" s="228"/>
    </row>
    <row r="160" spans="1:12">
      <c r="A160" s="228"/>
      <c r="B160" s="228"/>
      <c r="C160" s="228"/>
      <c r="D160" s="228"/>
      <c r="E160" s="228"/>
      <c r="F160" s="228"/>
      <c r="G160" s="228"/>
      <c r="H160" s="228"/>
      <c r="I160" s="228"/>
      <c r="J160" s="228"/>
      <c r="K160" s="228"/>
      <c r="L160" s="228"/>
    </row>
    <row r="161" spans="1:12">
      <c r="A161" s="228"/>
      <c r="B161" s="228"/>
      <c r="C161" s="228"/>
      <c r="D161" s="228"/>
      <c r="E161" s="228"/>
      <c r="F161" s="228"/>
      <c r="G161" s="228"/>
      <c r="H161" s="228"/>
      <c r="I161" s="228"/>
      <c r="J161" s="228"/>
      <c r="K161" s="228"/>
      <c r="L161" s="228"/>
    </row>
    <row r="162" spans="1:12">
      <c r="A162" s="228"/>
      <c r="B162" s="228"/>
      <c r="C162" s="228"/>
      <c r="D162" s="228"/>
      <c r="E162" s="228"/>
      <c r="F162" s="228"/>
      <c r="G162" s="228"/>
      <c r="H162" s="228"/>
      <c r="I162" s="228"/>
      <c r="J162" s="228"/>
      <c r="K162" s="228"/>
      <c r="L162" s="228"/>
    </row>
    <row r="163" spans="1:12">
      <c r="A163" s="228"/>
      <c r="B163" s="228"/>
      <c r="C163" s="228"/>
      <c r="D163" s="228"/>
      <c r="E163" s="228"/>
      <c r="F163" s="228"/>
      <c r="G163" s="228"/>
      <c r="H163" s="228"/>
      <c r="I163" s="228"/>
      <c r="J163" s="228"/>
      <c r="K163" s="228"/>
      <c r="L163" s="228"/>
    </row>
    <row r="164" spans="1:12">
      <c r="A164" s="228"/>
      <c r="B164" s="228"/>
      <c r="C164" s="228"/>
      <c r="D164" s="228"/>
      <c r="E164" s="228"/>
      <c r="F164" s="228"/>
      <c r="G164" s="228"/>
      <c r="H164" s="228"/>
      <c r="I164" s="228"/>
      <c r="J164" s="228"/>
      <c r="K164" s="228"/>
      <c r="L164" s="228"/>
    </row>
    <row r="165" spans="1:12">
      <c r="A165" s="228"/>
      <c r="B165" s="228"/>
      <c r="C165" s="228"/>
      <c r="D165" s="228"/>
      <c r="E165" s="228"/>
      <c r="F165" s="228"/>
      <c r="G165" s="228"/>
      <c r="H165" s="228"/>
      <c r="I165" s="228"/>
      <c r="J165" s="228"/>
      <c r="K165" s="228"/>
      <c r="L165" s="228"/>
    </row>
    <row r="166" spans="1:12">
      <c r="A166" s="228"/>
      <c r="B166" s="228"/>
      <c r="C166" s="228"/>
      <c r="D166" s="228"/>
      <c r="E166" s="228"/>
      <c r="F166" s="228"/>
      <c r="G166" s="228"/>
      <c r="H166" s="228"/>
      <c r="I166" s="228"/>
      <c r="J166" s="228"/>
      <c r="K166" s="228"/>
      <c r="L166" s="228"/>
    </row>
    <row r="167" spans="1:12">
      <c r="A167" s="228"/>
      <c r="B167" s="228"/>
      <c r="C167" s="228"/>
      <c r="D167" s="228"/>
      <c r="E167" s="228"/>
      <c r="F167" s="228"/>
      <c r="G167" s="228"/>
      <c r="H167" s="228"/>
      <c r="I167" s="228"/>
      <c r="J167" s="228"/>
      <c r="K167" s="228"/>
      <c r="L167" s="228"/>
    </row>
    <row r="168" spans="1:12">
      <c r="A168" s="228"/>
      <c r="B168" s="228"/>
      <c r="C168" s="228"/>
      <c r="D168" s="228"/>
      <c r="E168" s="228"/>
      <c r="F168" s="228"/>
      <c r="G168" s="228"/>
      <c r="H168" s="228"/>
      <c r="I168" s="228"/>
      <c r="J168" s="228"/>
      <c r="K168" s="228"/>
      <c r="L168" s="228"/>
    </row>
    <row r="169" spans="1:12">
      <c r="A169" s="228"/>
      <c r="B169" s="228"/>
      <c r="C169" s="228"/>
      <c r="D169" s="228"/>
      <c r="E169" s="228"/>
      <c r="F169" s="228"/>
      <c r="G169" s="228"/>
      <c r="H169" s="228"/>
      <c r="I169" s="228"/>
      <c r="J169" s="228"/>
      <c r="K169" s="228"/>
      <c r="L169" s="228"/>
    </row>
  </sheetData>
  <pageMargins left="0.7" right="0.7" top="0.75" bottom="0.75" header="0.3" footer="0.3"/>
  <pageSetup scale="72" orientation="landscape" cellComments="asDisplayed" r:id="rId1"/>
  <headerFooter>
    <oddHeader>&amp;CSchedule 3
True Up Adjustment
&amp;RTO2021 Draft Annual Update 
Attachment 1</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72"/>
  <sheetViews>
    <sheetView zoomScale="90" zoomScaleNormal="9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5.54296875" customWidth="1"/>
    <col min="11" max="11" width="2.54296875" customWidth="1"/>
    <col min="12" max="12" width="14.453125" customWidth="1"/>
    <col min="13" max="13" width="4.453125" customWidth="1"/>
    <col min="14" max="14" width="15.453125" customWidth="1"/>
  </cols>
  <sheetData>
    <row r="1" spans="1:14" ht="13">
      <c r="A1" s="1" t="s">
        <v>1667</v>
      </c>
    </row>
    <row r="2" spans="1:14">
      <c r="H2" s="14"/>
    </row>
    <row r="3" spans="1:14" ht="13">
      <c r="B3" s="83" t="s">
        <v>1475</v>
      </c>
      <c r="L3" s="553"/>
      <c r="M3" s="972"/>
      <c r="N3" s="972"/>
    </row>
    <row r="4" spans="1:14" ht="13">
      <c r="B4" s="70"/>
      <c r="F4" s="2" t="s">
        <v>154</v>
      </c>
      <c r="G4" s="2"/>
      <c r="H4" s="2" t="s">
        <v>169</v>
      </c>
      <c r="L4" s="553"/>
      <c r="M4" s="972"/>
      <c r="N4" s="553"/>
    </row>
    <row r="5" spans="1:14" ht="13">
      <c r="A5" s="53" t="s">
        <v>319</v>
      </c>
      <c r="B5" s="16"/>
      <c r="C5" s="51" t="s">
        <v>152</v>
      </c>
      <c r="F5" s="3" t="s">
        <v>153</v>
      </c>
      <c r="G5" s="3" t="s">
        <v>168</v>
      </c>
      <c r="H5" s="3" t="s">
        <v>170</v>
      </c>
      <c r="J5" s="3" t="s">
        <v>175</v>
      </c>
      <c r="L5" s="3"/>
      <c r="M5" s="972"/>
      <c r="N5" s="3"/>
    </row>
    <row r="6" spans="1:14" ht="13">
      <c r="A6" s="110">
        <v>1</v>
      </c>
      <c r="B6" s="14"/>
      <c r="C6" s="109" t="s">
        <v>1045</v>
      </c>
      <c r="D6" s="14"/>
      <c r="E6" s="14"/>
      <c r="F6" s="14" t="s">
        <v>10</v>
      </c>
      <c r="G6" s="14"/>
      <c r="H6" s="109" t="str">
        <f>"6-PlantInService, Line "&amp;'6-PlantInService'!A43&amp;""</f>
        <v>6-PlantInService, Line 18</v>
      </c>
      <c r="I6" s="14"/>
      <c r="J6" s="63">
        <f>'6-PlantInService'!D43</f>
        <v>8939630709.3337479</v>
      </c>
      <c r="L6" s="63"/>
      <c r="N6" s="7"/>
    </row>
    <row r="7" spans="1:14" ht="13">
      <c r="A7" s="110">
        <f>A6+1</f>
        <v>2</v>
      </c>
      <c r="B7" s="14"/>
      <c r="C7" s="109" t="s">
        <v>1191</v>
      </c>
      <c r="D7" s="14"/>
      <c r="E7" s="14"/>
      <c r="F7" s="14" t="s">
        <v>155</v>
      </c>
      <c r="G7" s="14"/>
      <c r="H7" s="109" t="str">
        <f>"6-PlantInService, Line "&amp;'6-PlantInService'!A59&amp;""</f>
        <v>6-PlantInService, Line 24</v>
      </c>
      <c r="I7" s="14"/>
      <c r="J7" s="63">
        <f>'6-PlantInService'!F59</f>
        <v>288986135.3460899</v>
      </c>
      <c r="L7" s="63"/>
      <c r="N7" s="7"/>
    </row>
    <row r="8" spans="1:14" ht="13">
      <c r="A8" s="110">
        <f>A7+1</f>
        <v>3</v>
      </c>
      <c r="B8" s="14"/>
      <c r="C8" s="109" t="s">
        <v>157</v>
      </c>
      <c r="D8" s="14"/>
      <c r="E8" s="14"/>
      <c r="F8" s="14" t="s">
        <v>155</v>
      </c>
      <c r="G8" s="14"/>
      <c r="H8" s="14" t="str">
        <f>"11-PHFU, Line "&amp;'11-PHFU'!A42&amp;""</f>
        <v>11-PHFU, Line 9</v>
      </c>
      <c r="I8" s="14"/>
      <c r="J8" s="63">
        <f>'11-PHFU'!D42</f>
        <v>9942155</v>
      </c>
      <c r="L8" s="63"/>
      <c r="N8" s="7"/>
    </row>
    <row r="9" spans="1:14" ht="13">
      <c r="A9" s="110">
        <f>A8+1</f>
        <v>4</v>
      </c>
      <c r="B9" s="14"/>
      <c r="C9" s="109" t="s">
        <v>312</v>
      </c>
      <c r="D9" s="14"/>
      <c r="E9" s="14"/>
      <c r="F9" s="14" t="s">
        <v>155</v>
      </c>
      <c r="G9" s="14"/>
      <c r="H9" s="15" t="str">
        <f>"12-AbandonedPlant Line "&amp;'12-AbandonedPlant'!A21&amp;""</f>
        <v>12-AbandonedPlant Line 4</v>
      </c>
      <c r="I9" s="14"/>
      <c r="J9" s="63">
        <f>'12-AbandonedPlant'!G21</f>
        <v>0</v>
      </c>
      <c r="L9" s="63"/>
      <c r="N9" s="7"/>
    </row>
    <row r="10" spans="1:14" ht="13">
      <c r="A10" s="110"/>
      <c r="B10" s="14"/>
      <c r="C10" s="109"/>
      <c r="D10" s="14"/>
      <c r="E10" s="14"/>
      <c r="F10" s="14"/>
      <c r="G10" s="14"/>
      <c r="H10" s="14"/>
      <c r="I10" s="14"/>
      <c r="J10" s="63"/>
      <c r="L10" s="63"/>
      <c r="N10" s="7"/>
    </row>
    <row r="11" spans="1:14" ht="13">
      <c r="A11" s="110"/>
      <c r="B11" s="14"/>
      <c r="C11" s="45" t="s">
        <v>277</v>
      </c>
      <c r="D11" s="14"/>
      <c r="E11" s="14"/>
      <c r="F11" s="14"/>
      <c r="G11" s="14"/>
      <c r="H11" s="14"/>
      <c r="I11" s="14"/>
      <c r="J11" s="63"/>
      <c r="L11" s="63"/>
      <c r="N11" s="7"/>
    </row>
    <row r="12" spans="1:14" ht="13">
      <c r="A12" s="110">
        <f>A9+1</f>
        <v>5</v>
      </c>
      <c r="B12" s="14"/>
      <c r="C12" s="46" t="s">
        <v>91</v>
      </c>
      <c r="D12" s="14"/>
      <c r="E12" s="14"/>
      <c r="F12" s="14" t="s">
        <v>10</v>
      </c>
      <c r="G12" s="14"/>
      <c r="H12" s="109" t="str">
        <f>"13-WorkCap, Line "&amp;'13-WorkCap'!A27&amp;""</f>
        <v>13-WorkCap, Line 17</v>
      </c>
      <c r="I12" s="14"/>
      <c r="J12" s="63">
        <f>'13-WorkCap'!F27</f>
        <v>21476899.868948326</v>
      </c>
      <c r="L12" s="63"/>
      <c r="N12" s="7"/>
    </row>
    <row r="13" spans="1:14" ht="13">
      <c r="A13" s="110">
        <f>A12+1</f>
        <v>6</v>
      </c>
      <c r="B13" s="14"/>
      <c r="C13" s="113" t="s">
        <v>92</v>
      </c>
      <c r="D13" s="14"/>
      <c r="E13" s="14"/>
      <c r="F13" s="14" t="s">
        <v>10</v>
      </c>
      <c r="G13" s="14"/>
      <c r="H13" s="109" t="str">
        <f>"13-WorkCap, Line "&amp;'13-WorkCap'!A51&amp;""</f>
        <v>13-WorkCap, Line 33</v>
      </c>
      <c r="I13" s="14"/>
      <c r="J13" s="63">
        <f>'13-WorkCap'!F51</f>
        <v>21286307.043254811</v>
      </c>
      <c r="L13" s="63"/>
      <c r="N13" s="7"/>
    </row>
    <row r="14" spans="1:14" ht="13">
      <c r="A14" s="110">
        <f>A13+1</f>
        <v>7</v>
      </c>
      <c r="B14" s="14"/>
      <c r="C14" s="46" t="s">
        <v>172</v>
      </c>
      <c r="D14" s="14"/>
      <c r="E14" s="14"/>
      <c r="F14" s="469" t="s">
        <v>2421</v>
      </c>
      <c r="G14" s="14"/>
      <c r="H14" s="14" t="str">
        <f>"1-Base TRR Line "&amp;'1-BaseTRR'!A17&amp;""</f>
        <v>1-Base TRR Line 7</v>
      </c>
      <c r="I14" s="14"/>
      <c r="J14" s="102">
        <f>'1-BaseTRR'!K17</f>
        <v>24081483.480682343</v>
      </c>
      <c r="L14" s="111"/>
      <c r="N14" s="7"/>
    </row>
    <row r="15" spans="1:14" ht="13">
      <c r="A15" s="110">
        <f>A14+1</f>
        <v>8</v>
      </c>
      <c r="B15" s="14"/>
      <c r="C15" s="46" t="s">
        <v>90</v>
      </c>
      <c r="D15" s="14"/>
      <c r="E15" s="14"/>
      <c r="F15" s="14"/>
      <c r="G15" s="14"/>
      <c r="H15" s="14" t="str">
        <f>"Line "&amp;A12&amp;" + Line "&amp;A13&amp;" + Line "&amp;A14&amp;""</f>
        <v>Line 5 + Line 6 + Line 7</v>
      </c>
      <c r="I15" s="14"/>
      <c r="J15" s="63">
        <f>SUM(J12:J14)</f>
        <v>66844690.392885476</v>
      </c>
      <c r="L15" s="63"/>
      <c r="N15" s="7"/>
    </row>
    <row r="16" spans="1:14" ht="13">
      <c r="A16" s="110"/>
      <c r="B16" s="14"/>
      <c r="C16" s="46"/>
      <c r="D16" s="14"/>
      <c r="E16" s="14"/>
      <c r="F16" s="14"/>
      <c r="G16" s="14"/>
      <c r="H16" s="14"/>
      <c r="I16" s="14"/>
      <c r="J16" s="63"/>
      <c r="L16" s="63"/>
      <c r="N16" s="7"/>
    </row>
    <row r="17" spans="1:14" ht="13">
      <c r="A17" s="110"/>
      <c r="B17" s="14"/>
      <c r="C17" s="857" t="s">
        <v>278</v>
      </c>
      <c r="D17" s="14"/>
      <c r="E17" s="14"/>
      <c r="F17" s="14"/>
      <c r="G17" s="14"/>
      <c r="H17" s="14"/>
      <c r="I17" s="14"/>
      <c r="J17" s="63"/>
      <c r="L17" s="63"/>
      <c r="N17" s="7"/>
    </row>
    <row r="18" spans="1:14" ht="13">
      <c r="A18" s="110">
        <f>A15+1</f>
        <v>9</v>
      </c>
      <c r="B18" s="14"/>
      <c r="C18" s="466" t="s">
        <v>1638</v>
      </c>
      <c r="D18" s="14"/>
      <c r="E18" s="14"/>
      <c r="F18" s="14" t="s">
        <v>10</v>
      </c>
      <c r="G18" s="14" t="s">
        <v>151</v>
      </c>
      <c r="H18" s="109" t="str">
        <f>"8-AccDep, Line "&amp;'8-AccDep'!A25&amp;", Col. 12"</f>
        <v>8-AccDep, Line 14, Col. 12</v>
      </c>
      <c r="I18" s="14"/>
      <c r="J18" s="63">
        <f>-'8-AccDep'!N25</f>
        <v>-1839774172.2805853</v>
      </c>
      <c r="L18" s="63"/>
      <c r="N18" s="7"/>
    </row>
    <row r="19" spans="1:14" ht="13">
      <c r="A19" s="110">
        <f>A18+1</f>
        <v>10</v>
      </c>
      <c r="B19" s="14"/>
      <c r="C19" s="466" t="s">
        <v>1639</v>
      </c>
      <c r="D19" s="14"/>
      <c r="E19" s="14"/>
      <c r="F19" s="14" t="s">
        <v>155</v>
      </c>
      <c r="G19" s="14" t="s">
        <v>151</v>
      </c>
      <c r="H19" s="109" t="str">
        <f>"8-AccDep, Line "&amp;'8-AccDep'!A35&amp;", Col. 5"</f>
        <v>8-AccDep, Line 17, Col. 5</v>
      </c>
      <c r="I19" s="14"/>
      <c r="J19" s="63">
        <f>-'8-AccDep'!G35</f>
        <v>0</v>
      </c>
      <c r="L19" s="63"/>
      <c r="N19" s="7"/>
    </row>
    <row r="20" spans="1:14" ht="13">
      <c r="A20" s="110">
        <f>A19+1</f>
        <v>11</v>
      </c>
      <c r="B20" s="14"/>
      <c r="C20" s="46" t="s">
        <v>307</v>
      </c>
      <c r="D20" s="22"/>
      <c r="E20" s="14"/>
      <c r="F20" s="14" t="s">
        <v>155</v>
      </c>
      <c r="G20" s="14" t="s">
        <v>151</v>
      </c>
      <c r="H20" s="109" t="str">
        <f>"8-AccDep, Line "&amp;'8-AccDep'!A53&amp;""</f>
        <v>8-AccDep, Line 23</v>
      </c>
      <c r="I20" s="14"/>
      <c r="J20" s="102">
        <f>-'8-AccDep'!F53</f>
        <v>-105809932.94764221</v>
      </c>
      <c r="L20" s="63"/>
      <c r="N20" s="7"/>
    </row>
    <row r="21" spans="1:14" ht="13">
      <c r="A21" s="110">
        <f>A20+1</f>
        <v>12</v>
      </c>
      <c r="B21" s="14"/>
      <c r="C21" s="858" t="s">
        <v>163</v>
      </c>
      <c r="D21" s="22"/>
      <c r="E21" s="14"/>
      <c r="F21" s="14"/>
      <c r="G21" s="14"/>
      <c r="H21" s="14" t="str">
        <f>"Line "&amp;A18&amp;" + Line "&amp;A19&amp;" + Line "&amp;A20&amp;""</f>
        <v>Line 9 + Line 10 + Line 11</v>
      </c>
      <c r="I21" s="14"/>
      <c r="J21" s="63">
        <f>SUM(J18:J20)</f>
        <v>-1945584105.2282276</v>
      </c>
      <c r="L21" s="63"/>
      <c r="N21" s="7"/>
    </row>
    <row r="22" spans="1:14" ht="13">
      <c r="A22" s="110"/>
      <c r="B22" s="14"/>
      <c r="C22" s="15"/>
      <c r="D22" s="14"/>
      <c r="E22" s="14"/>
      <c r="F22" s="14"/>
      <c r="G22" s="14"/>
      <c r="H22" s="14"/>
      <c r="I22" s="14"/>
      <c r="J22" s="63"/>
      <c r="L22" s="63"/>
      <c r="N22" s="7"/>
    </row>
    <row r="23" spans="1:14" ht="13">
      <c r="A23" s="110">
        <f>A21+1</f>
        <v>13</v>
      </c>
      <c r="B23" s="14"/>
      <c r="C23" s="846" t="s">
        <v>164</v>
      </c>
      <c r="D23" s="14"/>
      <c r="E23" s="14"/>
      <c r="F23" s="848" t="s">
        <v>155</v>
      </c>
      <c r="G23" s="14"/>
      <c r="H23" s="109" t="str">
        <f>"9-ADIT-1, Line "&amp;'9-ADIT-1'!A24&amp;""</f>
        <v>9-ADIT-1, Line 15</v>
      </c>
      <c r="I23" s="14"/>
      <c r="J23" s="63">
        <f>'9-ADIT-1'!D24</f>
        <v>-1632145854.7122164</v>
      </c>
      <c r="L23" s="63"/>
      <c r="N23" s="7"/>
    </row>
    <row r="24" spans="1:14" ht="13">
      <c r="A24" s="110">
        <f>A23+1</f>
        <v>14</v>
      </c>
      <c r="B24" s="14"/>
      <c r="C24" s="109" t="s">
        <v>240</v>
      </c>
      <c r="D24" s="14"/>
      <c r="E24" s="14"/>
      <c r="F24" s="14" t="s">
        <v>10</v>
      </c>
      <c r="G24" s="14"/>
      <c r="H24" s="109" t="str">
        <f>"14-IncentivePlant, L "&amp;'14-IncentivePlant'!A37&amp;", C2"</f>
        <v>14-IncentivePlant, L 12, C2</v>
      </c>
      <c r="I24" s="14"/>
      <c r="J24" s="63">
        <f>'14-IncentivePlant'!F37</f>
        <v>601481319.8292309</v>
      </c>
      <c r="L24" s="63"/>
      <c r="N24" s="7"/>
    </row>
    <row r="25" spans="1:14" ht="13">
      <c r="A25" s="110">
        <f>A24+1</f>
        <v>15</v>
      </c>
      <c r="B25" s="14"/>
      <c r="C25" s="846" t="s">
        <v>55</v>
      </c>
      <c r="D25" s="14"/>
      <c r="E25" s="14"/>
      <c r="F25" s="14" t="s">
        <v>155</v>
      </c>
      <c r="G25" s="14" t="s">
        <v>151</v>
      </c>
      <c r="H25" s="109" t="str">
        <f>"22-NUCs, Line "&amp;'22-NUCs'!A15&amp;""</f>
        <v>22-NUCs, Line 7</v>
      </c>
      <c r="I25" s="14"/>
      <c r="J25" s="63">
        <f>-'22-NUCs'!E15</f>
        <v>-50661304.942000374</v>
      </c>
      <c r="L25" s="63"/>
      <c r="N25" s="7"/>
    </row>
    <row r="26" spans="1:14" ht="13">
      <c r="A26" s="110">
        <f t="shared" ref="A26:A27" si="0">A25+1</f>
        <v>16</v>
      </c>
      <c r="B26" s="14"/>
      <c r="C26" s="848" t="s">
        <v>1955</v>
      </c>
      <c r="D26" s="14"/>
      <c r="E26" s="14"/>
      <c r="F26" s="14"/>
      <c r="G26" s="14"/>
      <c r="H26" s="15" t="str">
        <f>"34-UnfundedReserves, Line "&amp;'34-UnfundedReserves'!A10&amp;""</f>
        <v>34-UnfundedReserves, Line 7</v>
      </c>
      <c r="I26" s="14"/>
      <c r="J26" s="63">
        <f>'34-UnfundedReserves'!K10</f>
        <v>-192258245.62261316</v>
      </c>
      <c r="L26" s="63"/>
      <c r="N26" s="7"/>
    </row>
    <row r="27" spans="1:14" ht="13">
      <c r="A27" s="110">
        <f t="shared" si="0"/>
        <v>17</v>
      </c>
      <c r="B27" s="14"/>
      <c r="C27" s="846" t="s">
        <v>362</v>
      </c>
      <c r="D27" s="14"/>
      <c r="E27" s="14"/>
      <c r="F27" s="14" t="s">
        <v>155</v>
      </c>
      <c r="G27" s="14"/>
      <c r="H27" s="109" t="str">
        <f>"23-RegAssets, Line "&amp;'23-RegAssets'!A18&amp;""</f>
        <v>23-RegAssets, Line 15</v>
      </c>
      <c r="I27" s="14"/>
      <c r="J27" s="63">
        <f>'23-RegAssets'!E18</f>
        <v>0</v>
      </c>
      <c r="L27" s="63"/>
      <c r="N27" s="7"/>
    </row>
    <row r="28" spans="1:14" ht="13">
      <c r="A28" s="110"/>
      <c r="B28" s="14"/>
      <c r="C28" s="846"/>
      <c r="D28" s="14"/>
      <c r="E28" s="14"/>
      <c r="F28" s="14"/>
      <c r="G28" s="14"/>
      <c r="H28" s="14"/>
      <c r="I28" s="14"/>
      <c r="J28" s="14"/>
      <c r="L28" s="63"/>
      <c r="N28" s="7"/>
    </row>
    <row r="29" spans="1:14" ht="13">
      <c r="A29" s="110">
        <f>A27+1</f>
        <v>18</v>
      </c>
      <c r="B29" s="14"/>
      <c r="C29" s="14" t="s">
        <v>173</v>
      </c>
      <c r="D29" s="14"/>
      <c r="E29" s="14"/>
      <c r="F29" s="14"/>
      <c r="G29" s="14"/>
      <c r="H29" s="14" t="str">
        <f>"L"&amp;A6&amp;"+L"&amp;A7&amp;"+L"&amp;A8&amp;"+L"&amp;A9&amp;"+L"&amp;A15&amp;"+L"&amp;A21&amp;"+"</f>
        <v>L1+L2+L3+L4+L8+L12+</v>
      </c>
      <c r="I29" s="14"/>
      <c r="J29" s="63">
        <f>J6+ J7+J8+J9+J15+J21+J23+J24+J25+J26+J27</f>
        <v>6086235499.3968973</v>
      </c>
      <c r="L29" s="63"/>
      <c r="N29" s="7"/>
    </row>
    <row r="30" spans="1:14" ht="13">
      <c r="A30" s="110"/>
      <c r="B30" s="14"/>
      <c r="C30" s="14"/>
      <c r="D30" s="14"/>
      <c r="E30" s="14"/>
      <c r="F30" s="14"/>
      <c r="G30" s="14"/>
      <c r="H30" s="14" t="str">
        <f>"L"&amp;A23&amp;"+L"&amp;A24&amp;"+L"&amp;A25&amp;"+L"&amp;A26&amp;"+L"&amp;A27&amp;""</f>
        <v>L13+L14+L15+L16+L17</v>
      </c>
      <c r="I30" s="14"/>
      <c r="J30" s="63"/>
      <c r="L30" s="63"/>
      <c r="N30" s="7"/>
    </row>
    <row r="31" spans="1:14" ht="13">
      <c r="A31" s="110"/>
      <c r="B31" s="44" t="s">
        <v>2160</v>
      </c>
      <c r="D31" s="14"/>
      <c r="E31" s="14"/>
      <c r="F31" s="14"/>
      <c r="G31" s="14"/>
      <c r="H31" s="14"/>
      <c r="I31" s="14"/>
      <c r="J31" s="63"/>
      <c r="L31" s="63"/>
      <c r="N31" s="7"/>
    </row>
    <row r="32" spans="1:14" ht="13">
      <c r="A32" s="543" t="s">
        <v>319</v>
      </c>
      <c r="B32" s="14"/>
      <c r="C32" s="44"/>
      <c r="D32" s="14"/>
      <c r="E32" s="14"/>
      <c r="F32" s="14"/>
      <c r="G32" s="14"/>
      <c r="H32" s="14"/>
      <c r="I32" s="14"/>
      <c r="J32" s="63"/>
      <c r="L32" s="63"/>
      <c r="N32" s="7"/>
    </row>
    <row r="33" spans="1:14" ht="13">
      <c r="A33" s="110">
        <f>A29+1</f>
        <v>19</v>
      </c>
      <c r="B33" s="469"/>
      <c r="C33" s="469" t="s">
        <v>53</v>
      </c>
      <c r="D33" s="469"/>
      <c r="E33" s="469"/>
      <c r="F33" s="469"/>
      <c r="G33" s="469" t="s">
        <v>1829</v>
      </c>
      <c r="H33" s="469" t="str">
        <f>"Instruction 1, Line "&amp;B98&amp;""</f>
        <v>Instruction 1, Line j</v>
      </c>
      <c r="I33" s="469"/>
      <c r="J33" s="393">
        <f>E98</f>
        <v>7.7413313403901507E-2</v>
      </c>
      <c r="L33" s="67"/>
      <c r="M33" s="8"/>
      <c r="N33" s="8"/>
    </row>
    <row r="34" spans="1:14" ht="13">
      <c r="A34" s="2">
        <f>A33+1</f>
        <v>20</v>
      </c>
      <c r="C34" s="15" t="s">
        <v>54</v>
      </c>
      <c r="D34" s="15"/>
      <c r="E34" s="15"/>
      <c r="F34" s="15"/>
      <c r="G34" s="15"/>
      <c r="H34" t="str">
        <f>"Line "&amp;A29&amp;" * Line "&amp;A33&amp;""</f>
        <v>Line 18 * Line 19</v>
      </c>
      <c r="J34" s="47">
        <f>J29*J33</f>
        <v>471155656.16476303</v>
      </c>
      <c r="L34" s="63"/>
      <c r="N34" s="7"/>
    </row>
    <row r="35" spans="1:14" ht="13">
      <c r="A35" s="2"/>
      <c r="B35" s="16"/>
      <c r="L35" s="63"/>
      <c r="N35" s="7"/>
    </row>
    <row r="36" spans="1:14" ht="13">
      <c r="A36" s="2"/>
      <c r="B36" s="1" t="s">
        <v>2161</v>
      </c>
      <c r="L36" s="63"/>
      <c r="N36" s="7"/>
    </row>
    <row r="37" spans="1:14" ht="13">
      <c r="A37" s="110"/>
      <c r="B37" s="113"/>
      <c r="C37" s="14"/>
      <c r="D37" s="14"/>
      <c r="E37" s="14"/>
      <c r="F37" s="14"/>
      <c r="G37" s="14"/>
      <c r="H37" s="14"/>
      <c r="I37" s="14"/>
      <c r="J37" s="14"/>
      <c r="L37" s="63"/>
      <c r="N37" s="7"/>
    </row>
    <row r="38" spans="1:14" ht="13">
      <c r="A38" s="110">
        <f>A34+1</f>
        <v>21</v>
      </c>
      <c r="B38" s="14"/>
      <c r="C38" s="469" t="s">
        <v>2147</v>
      </c>
      <c r="D38" s="14"/>
      <c r="E38" s="14"/>
      <c r="F38" s="14"/>
      <c r="G38" s="14"/>
      <c r="H38" s="14"/>
      <c r="I38" s="14"/>
      <c r="J38" s="63">
        <f>(((J29*J42) + J45) *(J43/(1-J43)))+(J44/(1-J43))</f>
        <v>98279826.109425396</v>
      </c>
      <c r="L38" s="63"/>
      <c r="N38" s="7"/>
    </row>
    <row r="39" spans="1:14" ht="13">
      <c r="A39" s="110"/>
      <c r="B39" s="14"/>
      <c r="C39" s="14"/>
      <c r="D39" s="14"/>
      <c r="E39" s="14"/>
      <c r="F39" s="14"/>
      <c r="G39" s="14"/>
      <c r="H39" s="14"/>
      <c r="I39" s="14"/>
      <c r="J39" s="15"/>
      <c r="L39" s="63"/>
      <c r="N39" s="7"/>
    </row>
    <row r="40" spans="1:14" ht="13">
      <c r="A40" s="110"/>
      <c r="B40" s="14"/>
      <c r="C40" s="14"/>
      <c r="D40" s="14" t="s">
        <v>216</v>
      </c>
      <c r="E40" s="14"/>
      <c r="F40" s="14"/>
      <c r="G40" s="14"/>
      <c r="H40" s="14"/>
      <c r="I40" s="14"/>
      <c r="J40" s="14"/>
      <c r="L40" s="63"/>
      <c r="N40" s="7"/>
    </row>
    <row r="41" spans="1:14" ht="13">
      <c r="A41" s="110">
        <f>A38+1</f>
        <v>22</v>
      </c>
      <c r="B41" s="14"/>
      <c r="C41" s="14"/>
      <c r="D41" s="113" t="s">
        <v>217</v>
      </c>
      <c r="E41" s="14"/>
      <c r="F41" s="14"/>
      <c r="G41" s="14"/>
      <c r="H41" s="14" t="str">
        <f>"Line "&amp;A29&amp;""</f>
        <v>Line 18</v>
      </c>
      <c r="I41" s="14"/>
      <c r="J41" s="63">
        <f>J29</f>
        <v>6086235499.3968973</v>
      </c>
      <c r="L41" s="63"/>
      <c r="N41" s="7"/>
    </row>
    <row r="42" spans="1:14" ht="13">
      <c r="A42" s="110">
        <f>A41+1</f>
        <v>23</v>
      </c>
      <c r="B42" s="14"/>
      <c r="C42" s="14"/>
      <c r="D42" s="466" t="s">
        <v>1714</v>
      </c>
      <c r="E42" s="14"/>
      <c r="F42" s="14"/>
      <c r="G42" s="469" t="s">
        <v>1683</v>
      </c>
      <c r="H42" s="469" t="str">
        <f>"Instruction 1, Line "&amp;B103&amp;""</f>
        <v>Instruction 1, Line k</v>
      </c>
      <c r="I42" s="14"/>
      <c r="J42" s="48">
        <f>E103</f>
        <v>5.6792653471962606E-2</v>
      </c>
      <c r="L42" s="67"/>
      <c r="M42" s="8"/>
      <c r="N42" s="8"/>
    </row>
    <row r="43" spans="1:14" ht="13">
      <c r="A43" s="110">
        <f>A42+1</f>
        <v>24</v>
      </c>
      <c r="B43" s="14"/>
      <c r="C43" s="14"/>
      <c r="D43" s="113" t="s">
        <v>218</v>
      </c>
      <c r="E43" s="14"/>
      <c r="F43" s="14"/>
      <c r="G43" s="14"/>
      <c r="H43" s="14" t="str">
        <f>"1-Base TRR L "&amp;'1-BaseTRR'!A104&amp;""</f>
        <v>1-Base TRR L 59</v>
      </c>
      <c r="I43" s="14"/>
      <c r="J43" s="67">
        <f>'1-BaseTRR'!K104</f>
        <v>0.27983599999999997</v>
      </c>
      <c r="L43" s="67"/>
      <c r="M43" s="8"/>
      <c r="N43" s="8"/>
    </row>
    <row r="44" spans="1:14" ht="13">
      <c r="A44" s="110">
        <f>A43+1</f>
        <v>25</v>
      </c>
      <c r="B44" s="14"/>
      <c r="C44" s="14"/>
      <c r="D44" s="113" t="s">
        <v>219</v>
      </c>
      <c r="E44" s="14"/>
      <c r="F44" s="14"/>
      <c r="G44" s="14"/>
      <c r="H44" s="14" t="str">
        <f>"1-Base TRR L "&amp;'1-BaseTRR'!A110&amp;""</f>
        <v>1-Base TRR L 63</v>
      </c>
      <c r="I44" s="14"/>
      <c r="J44" s="63">
        <f>'1-BaseTRR'!K110</f>
        <v>-27044842</v>
      </c>
      <c r="L44" s="63"/>
      <c r="N44" s="7"/>
    </row>
    <row r="45" spans="1:14" ht="13">
      <c r="A45" s="110">
        <f>A44+1</f>
        <v>26</v>
      </c>
      <c r="B45" s="14"/>
      <c r="C45" s="14"/>
      <c r="D45" s="113" t="s">
        <v>1710</v>
      </c>
      <c r="E45" s="14"/>
      <c r="F45" s="14"/>
      <c r="G45" s="14"/>
      <c r="H45" s="14" t="str">
        <f>"1-Base TRR L "&amp;'1-BaseTRR'!A114&amp;""</f>
        <v>1-Base TRR L 65</v>
      </c>
      <c r="I45" s="14"/>
      <c r="J45" s="481">
        <f>'1-BaseTRR'!K121</f>
        <v>3917123</v>
      </c>
      <c r="L45" s="63"/>
      <c r="N45" s="7"/>
    </row>
    <row r="46" spans="1:14" ht="13">
      <c r="A46" s="110"/>
      <c r="B46" s="113"/>
      <c r="C46" s="14"/>
      <c r="D46" s="14"/>
      <c r="E46" s="14"/>
      <c r="F46" s="14"/>
      <c r="G46" s="14"/>
      <c r="H46" s="14"/>
      <c r="I46" s="14"/>
      <c r="J46" s="14"/>
      <c r="L46" s="63"/>
      <c r="N46" s="7"/>
    </row>
    <row r="47" spans="1:14" ht="13">
      <c r="A47" s="110"/>
      <c r="B47" s="44" t="s">
        <v>2162</v>
      </c>
      <c r="D47" s="14"/>
      <c r="E47" s="14"/>
      <c r="F47" s="14"/>
      <c r="G47" s="14"/>
      <c r="H47" s="14"/>
      <c r="I47" s="14"/>
      <c r="J47" s="14"/>
      <c r="L47" s="63"/>
      <c r="N47" s="7"/>
    </row>
    <row r="48" spans="1:14" ht="13">
      <c r="A48" s="110">
        <f>A45+1</f>
        <v>27</v>
      </c>
      <c r="B48" s="113"/>
      <c r="C48" s="14" t="s">
        <v>101</v>
      </c>
      <c r="D48" s="14"/>
      <c r="E48" s="14"/>
      <c r="F48" s="14"/>
      <c r="G48" s="14"/>
      <c r="H48" s="14" t="str">
        <f>"1-Base TRR L "&amp;'1-BaseTRR'!A126&amp;""</f>
        <v>1-Base TRR L 66</v>
      </c>
      <c r="I48" s="14"/>
      <c r="J48" s="63">
        <f>'1-BaseTRR'!K126</f>
        <v>110879588.38578117</v>
      </c>
      <c r="L48" s="63"/>
      <c r="N48" s="7"/>
    </row>
    <row r="49" spans="1:14" ht="13">
      <c r="A49" s="110">
        <f t="shared" ref="A49:A59" si="1">A48+1</f>
        <v>28</v>
      </c>
      <c r="B49" s="113"/>
      <c r="C49" s="15" t="s">
        <v>264</v>
      </c>
      <c r="D49" s="14"/>
      <c r="E49" s="14"/>
      <c r="F49" s="14"/>
      <c r="G49" s="14"/>
      <c r="H49" s="14" t="str">
        <f>"1-Base TRR L "&amp;'1-BaseTRR'!A127&amp;""</f>
        <v>1-Base TRR L 67</v>
      </c>
      <c r="I49" s="14"/>
      <c r="J49" s="63">
        <f>'1-BaseTRR'!K127</f>
        <v>81772279.459677577</v>
      </c>
      <c r="L49" s="63"/>
      <c r="N49" s="7"/>
    </row>
    <row r="50" spans="1:14" ht="13">
      <c r="A50" s="110">
        <f>A49+1</f>
        <v>29</v>
      </c>
      <c r="B50" s="113"/>
      <c r="C50" s="14" t="s">
        <v>56</v>
      </c>
      <c r="D50" s="14"/>
      <c r="E50" s="14"/>
      <c r="F50" s="14"/>
      <c r="G50" s="14"/>
      <c r="H50" s="14" t="str">
        <f>"1-Base TRR L "&amp;'1-BaseTRR'!A128&amp;""</f>
        <v>1-Base TRR L 68</v>
      </c>
      <c r="I50" s="14"/>
      <c r="J50" s="63">
        <f>'1-BaseTRR'!K128</f>
        <v>4075483.5901751588</v>
      </c>
      <c r="L50" s="63"/>
      <c r="N50" s="7"/>
    </row>
    <row r="51" spans="1:14" ht="13">
      <c r="A51" s="110">
        <f t="shared" si="1"/>
        <v>30</v>
      </c>
      <c r="B51" s="113"/>
      <c r="C51" s="15" t="s">
        <v>250</v>
      </c>
      <c r="D51" s="14"/>
      <c r="E51" s="14"/>
      <c r="F51" s="14"/>
      <c r="G51" s="14"/>
      <c r="H51" s="14" t="str">
        <f>"1-Base TRR L "&amp;'1-BaseTRR'!A129&amp;""</f>
        <v>1-Base TRR L 69</v>
      </c>
      <c r="I51" s="14"/>
      <c r="J51" s="63">
        <f>'1-BaseTRR'!K129</f>
        <v>255151988.45508885</v>
      </c>
      <c r="L51" s="63"/>
      <c r="N51" s="7"/>
    </row>
    <row r="52" spans="1:14" ht="13">
      <c r="A52" s="110">
        <f t="shared" si="1"/>
        <v>31</v>
      </c>
      <c r="B52" s="113"/>
      <c r="C52" s="15" t="s">
        <v>291</v>
      </c>
      <c r="D52" s="14"/>
      <c r="E52" s="14"/>
      <c r="F52" s="14"/>
      <c r="G52" s="14"/>
      <c r="H52" s="14" t="str">
        <f>"1-Base TRR L "&amp;'1-BaseTRR'!A130&amp;""</f>
        <v>1-Base TRR L 70</v>
      </c>
      <c r="I52" s="14"/>
      <c r="J52" s="63">
        <f>'1-BaseTRR'!K130</f>
        <v>0</v>
      </c>
      <c r="L52" s="63"/>
      <c r="N52" s="7"/>
    </row>
    <row r="53" spans="1:14" ht="13">
      <c r="A53" s="110">
        <f t="shared" si="1"/>
        <v>32</v>
      </c>
      <c r="B53" s="113"/>
      <c r="C53" s="15" t="s">
        <v>79</v>
      </c>
      <c r="D53" s="14"/>
      <c r="E53" s="14"/>
      <c r="F53" s="14"/>
      <c r="G53" s="14"/>
      <c r="H53" s="14" t="str">
        <f>"1-Base TRR L "&amp;'1-BaseTRR'!A131&amp;""</f>
        <v>1-Base TRR L 71</v>
      </c>
      <c r="I53" s="14"/>
      <c r="J53" s="63">
        <f>'1-BaseTRR'!K131</f>
        <v>66056888.527829707</v>
      </c>
      <c r="L53" s="63"/>
      <c r="N53" s="7"/>
    </row>
    <row r="54" spans="1:14" ht="13">
      <c r="A54" s="110">
        <f t="shared" si="1"/>
        <v>33</v>
      </c>
      <c r="B54" s="113"/>
      <c r="C54" s="14" t="s">
        <v>11</v>
      </c>
      <c r="D54" s="14"/>
      <c r="E54" s="14"/>
      <c r="F54" s="14"/>
      <c r="G54" s="15"/>
      <c r="H54" s="14" t="str">
        <f>"1-Base TRR L "&amp;'1-BaseTRR'!A132&amp;""</f>
        <v>1-Base TRR L 72</v>
      </c>
      <c r="I54" s="14"/>
      <c r="J54" s="63">
        <f>'1-BaseTRR'!K132</f>
        <v>-54094032.244774804</v>
      </c>
      <c r="L54" s="63"/>
      <c r="N54" s="7"/>
    </row>
    <row r="55" spans="1:14" ht="13">
      <c r="A55" s="110">
        <f t="shared" si="1"/>
        <v>34</v>
      </c>
      <c r="B55" s="113"/>
      <c r="C55" s="14" t="s">
        <v>87</v>
      </c>
      <c r="D55" s="14"/>
      <c r="E55" s="14"/>
      <c r="F55" s="14"/>
      <c r="G55" s="14"/>
      <c r="H55" s="14" t="str">
        <f>"Line "&amp;A34&amp;""</f>
        <v>Line 20</v>
      </c>
      <c r="I55" s="14"/>
      <c r="J55" s="63">
        <f>J34</f>
        <v>471155656.16476303</v>
      </c>
      <c r="L55" s="63"/>
      <c r="N55" s="7"/>
    </row>
    <row r="56" spans="1:14" ht="13">
      <c r="A56" s="110">
        <f t="shared" si="1"/>
        <v>35</v>
      </c>
      <c r="B56" s="113"/>
      <c r="C56" s="14" t="s">
        <v>5</v>
      </c>
      <c r="D56" s="14"/>
      <c r="E56" s="14"/>
      <c r="F56" s="14"/>
      <c r="G56" s="14"/>
      <c r="H56" s="14" t="str">
        <f>"Line "&amp;A38&amp;""</f>
        <v>Line 21</v>
      </c>
      <c r="I56" s="14"/>
      <c r="J56" s="47">
        <f>J38</f>
        <v>98279826.109425396</v>
      </c>
      <c r="L56" s="63"/>
      <c r="N56" s="7"/>
    </row>
    <row r="57" spans="1:14" ht="13">
      <c r="A57" s="110">
        <f t="shared" si="1"/>
        <v>36</v>
      </c>
      <c r="B57" s="113"/>
      <c r="C57" s="15" t="s">
        <v>357</v>
      </c>
      <c r="D57" s="14"/>
      <c r="E57" s="14"/>
      <c r="F57" s="14"/>
      <c r="G57" s="14"/>
      <c r="H57" s="14" t="str">
        <f>"1-Base TRR L "&amp;'1-BaseTRR'!A135&amp;""</f>
        <v>1-Base TRR L 75</v>
      </c>
      <c r="I57" s="14"/>
      <c r="J57" s="47">
        <f>'1-BaseTRR'!K135</f>
        <v>0</v>
      </c>
      <c r="L57" s="63"/>
      <c r="N57" s="7"/>
    </row>
    <row r="58" spans="1:14" ht="13">
      <c r="A58" s="110">
        <f t="shared" si="1"/>
        <v>37</v>
      </c>
      <c r="B58" s="113"/>
      <c r="C58" s="569" t="s">
        <v>1699</v>
      </c>
      <c r="D58" s="674"/>
      <c r="E58" s="14"/>
      <c r="F58" s="14"/>
      <c r="G58" s="14"/>
      <c r="H58" s="14" t="str">
        <f>"1-Base TRR L "&amp;'1-BaseTRR'!A136&amp;""</f>
        <v>1-Base TRR L 76</v>
      </c>
      <c r="I58" s="14"/>
      <c r="J58" s="102">
        <f>'1-BaseTRR'!K136</f>
        <v>0</v>
      </c>
      <c r="L58" s="63"/>
      <c r="N58" s="7"/>
    </row>
    <row r="59" spans="1:14" ht="13">
      <c r="A59" s="110">
        <f t="shared" si="1"/>
        <v>38</v>
      </c>
      <c r="B59" s="113"/>
      <c r="C59" s="469" t="s">
        <v>1476</v>
      </c>
      <c r="D59" s="14"/>
      <c r="E59" s="14"/>
      <c r="F59" s="14"/>
      <c r="G59" s="14"/>
      <c r="H59" s="14" t="str">
        <f>"Sum Line "&amp;A48&amp;" to Line "&amp;A58&amp;""</f>
        <v>Sum Line 27 to Line 37</v>
      </c>
      <c r="I59" s="14"/>
      <c r="J59" s="703">
        <f>SUM(J48:J58)</f>
        <v>1033277678.4479661</v>
      </c>
      <c r="L59" s="63"/>
      <c r="N59" s="7"/>
    </row>
    <row r="60" spans="1:14" ht="13">
      <c r="A60" s="110"/>
      <c r="B60" s="113"/>
      <c r="C60" s="14"/>
      <c r="D60" s="14"/>
      <c r="E60" s="14"/>
      <c r="F60" s="14"/>
      <c r="G60" s="14"/>
      <c r="H60" s="14"/>
      <c r="I60" s="14"/>
      <c r="J60" s="63"/>
      <c r="L60" s="63"/>
      <c r="N60" s="7"/>
    </row>
    <row r="61" spans="1:14" ht="12.75" customHeight="1">
      <c r="A61" s="110">
        <f>A59+1</f>
        <v>39</v>
      </c>
      <c r="B61" s="113"/>
      <c r="C61" s="469" t="s">
        <v>1453</v>
      </c>
      <c r="D61" s="14"/>
      <c r="E61" s="14"/>
      <c r="F61" s="14"/>
      <c r="G61" s="14"/>
      <c r="H61" s="14" t="str">
        <f>"15-IncentiveAdder L "&amp;'15-IncentiveAdder'!A59&amp;""</f>
        <v>15-IncentiveAdder L 20</v>
      </c>
      <c r="I61" s="14"/>
      <c r="J61" s="63">
        <f>'15-IncentiveAdder'!G59</f>
        <v>26714525.602631234</v>
      </c>
      <c r="L61" s="63"/>
      <c r="N61" s="7"/>
    </row>
    <row r="62" spans="1:14" s="972" customFormat="1" ht="12.75" customHeight="1">
      <c r="A62" s="110" t="s">
        <v>2484</v>
      </c>
      <c r="B62" s="113"/>
      <c r="C62" s="469" t="s">
        <v>2485</v>
      </c>
      <c r="D62" s="14"/>
      <c r="E62" s="14"/>
      <c r="F62" s="14"/>
      <c r="G62" s="14"/>
      <c r="H62" s="469" t="s">
        <v>2486</v>
      </c>
      <c r="I62" s="14"/>
      <c r="J62" s="63">
        <f>-J61</f>
        <v>-26714525.602631234</v>
      </c>
      <c r="L62" s="63"/>
      <c r="N62" s="7"/>
    </row>
    <row r="63" spans="1:14" ht="13">
      <c r="A63" s="110"/>
      <c r="B63" s="113"/>
      <c r="C63" s="15"/>
      <c r="D63" s="14"/>
      <c r="E63" s="14"/>
      <c r="F63" s="14"/>
      <c r="G63" s="14"/>
      <c r="H63" s="14"/>
      <c r="I63" s="14"/>
      <c r="J63" s="63"/>
      <c r="L63" s="63"/>
      <c r="N63" s="7"/>
    </row>
    <row r="64" spans="1:14" ht="13">
      <c r="A64" s="110">
        <f>A61+1</f>
        <v>40</v>
      </c>
      <c r="B64" s="113"/>
      <c r="C64" s="469" t="s">
        <v>2153</v>
      </c>
      <c r="D64" s="14"/>
      <c r="E64" s="14"/>
      <c r="F64" s="14"/>
      <c r="G64" s="14"/>
      <c r="H64" s="14" t="str">
        <f>"Sum of Lines "&amp;A59&amp;" to "&amp;A62&amp;""</f>
        <v>Sum of Lines 38 to 39a</v>
      </c>
      <c r="I64" s="14"/>
      <c r="J64" s="63">
        <f>J59+J61+J62</f>
        <v>1033277678.4479661</v>
      </c>
      <c r="L64" s="63"/>
      <c r="N64" s="7"/>
    </row>
    <row r="65" spans="1:14" ht="13">
      <c r="A65" s="110"/>
      <c r="B65" s="113"/>
      <c r="C65" s="15"/>
      <c r="D65" s="14"/>
      <c r="E65" s="14"/>
      <c r="F65" s="14"/>
      <c r="G65" s="14"/>
      <c r="H65" s="14"/>
      <c r="I65" s="14"/>
      <c r="J65" s="63"/>
    </row>
    <row r="66" spans="1:14" ht="13">
      <c r="A66" s="110"/>
      <c r="B66" s="379" t="s">
        <v>2163</v>
      </c>
      <c r="C66" s="15"/>
      <c r="D66" s="14"/>
      <c r="E66" s="14"/>
      <c r="F66" s="14"/>
      <c r="G66" s="14"/>
      <c r="H66" s="14"/>
      <c r="I66" s="14"/>
      <c r="J66" s="63"/>
      <c r="N66" s="553"/>
    </row>
    <row r="67" spans="1:14" ht="13">
      <c r="A67" s="53" t="s">
        <v>319</v>
      </c>
      <c r="B67" s="65"/>
      <c r="G67" s="51" t="s">
        <v>1124</v>
      </c>
      <c r="N67" s="3"/>
    </row>
    <row r="68" spans="1:14" ht="13">
      <c r="A68" s="110">
        <f>A64+1</f>
        <v>41</v>
      </c>
      <c r="B68" s="846"/>
      <c r="C68" s="14"/>
      <c r="D68" s="849" t="s">
        <v>1477</v>
      </c>
      <c r="E68" s="63">
        <f>J64</f>
        <v>1033277678.4479661</v>
      </c>
      <c r="F68" s="14"/>
      <c r="G68" s="14" t="str">
        <f>"Line "&amp;A64&amp;""</f>
        <v>Line 40</v>
      </c>
      <c r="H68" s="14"/>
      <c r="I68" s="14"/>
      <c r="J68" s="14"/>
      <c r="L68" s="7"/>
      <c r="N68" s="7"/>
    </row>
    <row r="69" spans="1:14" ht="13">
      <c r="A69" s="110">
        <f>A68+1</f>
        <v>42</v>
      </c>
      <c r="B69" s="846"/>
      <c r="C69" s="14"/>
      <c r="D69" s="357" t="s">
        <v>1123</v>
      </c>
      <c r="E69" s="851">
        <f>'28-FFU'!D22</f>
        <v>9.2480778683301876E-3</v>
      </c>
      <c r="F69" s="14"/>
      <c r="G69" s="14" t="str">
        <f>"28-FFU, L "&amp;'28-FFU'!A22&amp;""</f>
        <v>28-FFU, L 5</v>
      </c>
      <c r="H69" s="14"/>
      <c r="I69" s="14"/>
      <c r="J69" s="14"/>
      <c r="L69" s="8"/>
      <c r="N69" s="8"/>
    </row>
    <row r="70" spans="1:14" ht="13">
      <c r="A70" s="110">
        <f>A69+1</f>
        <v>43</v>
      </c>
      <c r="B70" s="846"/>
      <c r="C70" s="14"/>
      <c r="D70" s="79" t="s">
        <v>231</v>
      </c>
      <c r="E70" s="63">
        <f>E68*E69</f>
        <v>9555832.4298942313</v>
      </c>
      <c r="F70" s="14"/>
      <c r="G70" s="14" t="str">
        <f>"Line "&amp;A68&amp;" * Line "&amp;A69&amp;""</f>
        <v>Line 41 * Line 42</v>
      </c>
      <c r="H70" s="14"/>
      <c r="I70" s="14"/>
      <c r="J70" s="14"/>
      <c r="L70" s="7"/>
      <c r="N70" s="7"/>
    </row>
    <row r="71" spans="1:14" ht="13">
      <c r="A71" s="110">
        <f>A70+1</f>
        <v>44</v>
      </c>
      <c r="B71" s="846"/>
      <c r="C71" s="14"/>
      <c r="D71" s="849" t="s">
        <v>1707</v>
      </c>
      <c r="E71" s="851">
        <f>'28-FFU'!E22</f>
        <v>2.134007585335019E-3</v>
      </c>
      <c r="F71" s="14"/>
      <c r="G71" s="14" t="str">
        <f>"28-FFU, L "&amp;'28-FFU'!A22&amp;""</f>
        <v>28-FFU, L 5</v>
      </c>
      <c r="H71" s="14"/>
      <c r="I71" s="14"/>
      <c r="J71" s="14"/>
      <c r="L71" s="8"/>
      <c r="N71" s="8"/>
    </row>
    <row r="72" spans="1:14" ht="13">
      <c r="A72" s="110">
        <f>A71+1</f>
        <v>45</v>
      </c>
      <c r="B72" s="846"/>
      <c r="C72" s="14"/>
      <c r="D72" s="849" t="s">
        <v>1434</v>
      </c>
      <c r="E72" s="63">
        <f>E68*E71</f>
        <v>2205022.4035653183</v>
      </c>
      <c r="F72" s="14"/>
      <c r="G72" s="14" t="str">
        <f>"Line "&amp;A68&amp;" * Line "&amp;A71&amp;""</f>
        <v>Line 41 * Line 44</v>
      </c>
      <c r="H72" s="14"/>
      <c r="I72" s="14"/>
      <c r="J72" s="14"/>
      <c r="L72" s="7"/>
      <c r="N72" s="7"/>
    </row>
    <row r="73" spans="1:14" ht="13">
      <c r="A73" s="110">
        <f>A72+1</f>
        <v>46</v>
      </c>
      <c r="B73" s="846"/>
      <c r="C73" s="14"/>
      <c r="D73" s="849" t="s">
        <v>1478</v>
      </c>
      <c r="E73" s="63">
        <f>E68+E70+E72</f>
        <v>1045038533.2814256</v>
      </c>
      <c r="F73" s="14"/>
      <c r="G73" s="14" t="str">
        <f>"L "&amp;A68&amp;" + L "&amp;A70&amp;" + L "&amp;A72&amp;""</f>
        <v>L 41 + L 43 + L 45</v>
      </c>
      <c r="H73" s="14"/>
      <c r="I73" s="14"/>
      <c r="J73" s="14"/>
      <c r="L73" s="7"/>
      <c r="N73" s="7"/>
    </row>
    <row r="74" spans="1:14" ht="13">
      <c r="A74" s="14"/>
      <c r="B74" s="859" t="s">
        <v>377</v>
      </c>
      <c r="C74" s="14"/>
      <c r="D74" s="79"/>
      <c r="E74" s="63"/>
      <c r="F74" s="14"/>
      <c r="G74" s="14"/>
      <c r="H74" s="579"/>
      <c r="I74" s="14"/>
      <c r="J74" s="14"/>
    </row>
    <row r="75" spans="1:14" ht="13">
      <c r="A75" s="110"/>
      <c r="B75" s="469" t="s">
        <v>2404</v>
      </c>
      <c r="C75" s="379"/>
      <c r="D75" s="79"/>
      <c r="E75" s="63"/>
      <c r="F75" s="14"/>
      <c r="G75" s="14"/>
      <c r="H75" s="14"/>
      <c r="I75" s="14"/>
      <c r="J75" s="14"/>
    </row>
    <row r="76" spans="1:14" ht="13">
      <c r="A76" s="110"/>
      <c r="B76" s="469" t="s">
        <v>2289</v>
      </c>
      <c r="C76" s="379"/>
      <c r="D76" s="79"/>
      <c r="E76" s="63"/>
      <c r="F76" s="14"/>
      <c r="G76" s="14"/>
      <c r="H76" s="14"/>
      <c r="I76" s="14"/>
      <c r="J76" s="14"/>
    </row>
    <row r="77" spans="1:14" ht="13">
      <c r="A77" s="110"/>
      <c r="B77" s="848" t="s">
        <v>1684</v>
      </c>
      <c r="C77" s="15"/>
      <c r="D77" s="79"/>
      <c r="E77" s="63"/>
      <c r="F77" s="14"/>
      <c r="G77" s="14"/>
      <c r="H77" s="14"/>
      <c r="I77" s="14"/>
      <c r="J77" s="14"/>
    </row>
    <row r="78" spans="1:14" ht="13">
      <c r="A78" s="110"/>
      <c r="B78" s="848" t="s">
        <v>1738</v>
      </c>
      <c r="C78" s="14"/>
      <c r="D78" s="79"/>
      <c r="E78" s="63"/>
      <c r="F78" s="14"/>
      <c r="G78" s="14"/>
      <c r="H78" s="14"/>
      <c r="I78" s="14"/>
      <c r="J78" s="14"/>
    </row>
    <row r="79" spans="1:14" ht="13">
      <c r="A79" s="110"/>
      <c r="B79" s="14"/>
      <c r="C79" s="14"/>
      <c r="D79" s="14"/>
      <c r="E79" s="14"/>
      <c r="F79" s="14"/>
      <c r="G79" s="14"/>
      <c r="H79" s="14"/>
      <c r="I79" s="14"/>
      <c r="J79" s="14"/>
    </row>
    <row r="80" spans="1:14" ht="13">
      <c r="A80" s="110"/>
      <c r="B80" s="469" t="s">
        <v>1824</v>
      </c>
      <c r="C80" s="14"/>
      <c r="D80" s="14"/>
      <c r="E80" s="14"/>
      <c r="F80" s="14"/>
      <c r="G80" s="14"/>
      <c r="H80" s="14"/>
      <c r="I80" s="14"/>
      <c r="J80" s="14"/>
    </row>
    <row r="81" spans="1:12" ht="13">
      <c r="A81" s="110"/>
      <c r="B81" s="469"/>
      <c r="C81" s="469" t="s">
        <v>1830</v>
      </c>
      <c r="D81" s="14"/>
      <c r="E81" s="14"/>
      <c r="F81" s="14"/>
      <c r="G81" s="14"/>
      <c r="H81" s="14"/>
      <c r="I81" s="14"/>
      <c r="J81" s="14"/>
    </row>
    <row r="82" spans="1:12" ht="13">
      <c r="A82" s="110"/>
      <c r="B82" s="469"/>
      <c r="C82" s="14"/>
      <c r="D82" s="14"/>
      <c r="E82" s="14"/>
      <c r="F82" s="14"/>
      <c r="G82" s="14"/>
      <c r="H82" s="14"/>
      <c r="I82" s="14"/>
      <c r="J82" s="110" t="s">
        <v>1821</v>
      </c>
    </row>
    <row r="83" spans="1:12" ht="13">
      <c r="A83" s="110"/>
      <c r="B83" s="14"/>
      <c r="C83" s="14"/>
      <c r="D83" s="14"/>
      <c r="E83" s="123" t="s">
        <v>1429</v>
      </c>
      <c r="F83" s="840" t="s">
        <v>1124</v>
      </c>
      <c r="G83" s="123" t="s">
        <v>232</v>
      </c>
      <c r="H83" s="123" t="s">
        <v>233</v>
      </c>
      <c r="I83" s="14"/>
      <c r="J83" s="123" t="s">
        <v>1820</v>
      </c>
    </row>
    <row r="84" spans="1:12" ht="13">
      <c r="B84" s="861" t="s">
        <v>1669</v>
      </c>
      <c r="C84" s="469" t="s">
        <v>1819</v>
      </c>
      <c r="D84" s="14"/>
      <c r="E84" s="1252">
        <v>0.10299999999999999</v>
      </c>
      <c r="F84" s="860" t="s">
        <v>1823</v>
      </c>
      <c r="G84" s="1144">
        <v>43781</v>
      </c>
      <c r="H84" s="1144">
        <v>43830</v>
      </c>
      <c r="I84" s="15"/>
      <c r="J84" s="115">
        <v>50</v>
      </c>
      <c r="K84" s="15"/>
      <c r="L84" s="15"/>
    </row>
    <row r="85" spans="1:12" ht="13">
      <c r="B85" s="861" t="s">
        <v>1670</v>
      </c>
      <c r="C85" s="469" t="s">
        <v>1843</v>
      </c>
      <c r="D85" s="14"/>
      <c r="E85" s="1252">
        <v>0.112</v>
      </c>
      <c r="F85" s="860" t="s">
        <v>2405</v>
      </c>
      <c r="G85" s="1144">
        <v>43466</v>
      </c>
      <c r="H85" s="1144">
        <v>43780</v>
      </c>
      <c r="I85" s="15"/>
      <c r="J85" s="115">
        <v>315</v>
      </c>
      <c r="K85" s="15"/>
      <c r="L85" s="15"/>
    </row>
    <row r="86" spans="1:12" ht="13">
      <c r="B86" s="861" t="s">
        <v>1671</v>
      </c>
      <c r="C86" s="469"/>
      <c r="D86" s="14"/>
      <c r="E86" s="862"/>
      <c r="F86" s="860"/>
      <c r="G86" s="529"/>
      <c r="H86" s="529"/>
      <c r="I86" s="849" t="s">
        <v>1981</v>
      </c>
      <c r="J86" s="15">
        <f>SUM(J84:J85)</f>
        <v>365</v>
      </c>
      <c r="K86" s="15"/>
      <c r="L86" s="15"/>
    </row>
    <row r="87" spans="1:12" ht="13">
      <c r="A87" s="14"/>
      <c r="B87" s="861" t="s">
        <v>1672</v>
      </c>
      <c r="C87" s="469" t="s">
        <v>1832</v>
      </c>
      <c r="D87" s="14"/>
      <c r="E87" s="78">
        <f>((E84*J84) + (E85* J85)) / J86</f>
        <v>0.11076712328767123</v>
      </c>
      <c r="F87" s="469" t="s">
        <v>1982</v>
      </c>
      <c r="G87" s="14"/>
      <c r="H87" s="15"/>
      <c r="I87" s="15"/>
      <c r="J87" s="15"/>
      <c r="K87" s="15"/>
      <c r="L87" s="15"/>
    </row>
    <row r="88" spans="1:12" ht="13">
      <c r="A88" s="110"/>
      <c r="B88" s="469"/>
      <c r="C88" s="14"/>
      <c r="D88" s="14"/>
      <c r="E88" s="14"/>
      <c r="F88" s="14"/>
      <c r="G88" s="14"/>
      <c r="H88" s="15"/>
      <c r="I88" s="15"/>
      <c r="J88" s="15"/>
      <c r="K88" s="15"/>
      <c r="L88" s="15"/>
    </row>
    <row r="89" spans="1:12" ht="13">
      <c r="A89" s="110"/>
      <c r="B89" s="469" t="s">
        <v>1822</v>
      </c>
      <c r="C89" s="14"/>
      <c r="D89" s="14"/>
      <c r="E89" s="14"/>
      <c r="F89" s="14"/>
      <c r="G89" s="14"/>
      <c r="H89" s="15"/>
      <c r="I89" s="15"/>
      <c r="J89" s="15"/>
      <c r="K89" s="15"/>
      <c r="L89" s="15"/>
    </row>
    <row r="90" spans="1:12" ht="13">
      <c r="A90" s="110"/>
      <c r="B90" s="469"/>
      <c r="C90" s="14"/>
      <c r="D90" s="14"/>
      <c r="E90" s="840" t="s">
        <v>1124</v>
      </c>
      <c r="F90" s="14"/>
      <c r="G90" s="14"/>
      <c r="H90" s="15"/>
      <c r="I90" s="15"/>
      <c r="J90" s="15"/>
      <c r="K90" s="15"/>
      <c r="L90" s="15"/>
    </row>
    <row r="91" spans="1:12" ht="13">
      <c r="A91" s="14"/>
      <c r="B91" s="861" t="s">
        <v>1673</v>
      </c>
      <c r="C91" s="469" t="s">
        <v>1845</v>
      </c>
      <c r="D91" s="14"/>
      <c r="E91" s="1253" t="s">
        <v>2856</v>
      </c>
      <c r="F91" s="1254"/>
      <c r="G91" s="97"/>
      <c r="H91" s="115"/>
      <c r="I91" s="115"/>
      <c r="J91" s="115"/>
      <c r="K91" s="15"/>
      <c r="L91" s="15"/>
    </row>
    <row r="92" spans="1:12" ht="13">
      <c r="B92" s="861" t="s">
        <v>1674</v>
      </c>
      <c r="C92" s="469" t="s">
        <v>1844</v>
      </c>
      <c r="D92" s="14"/>
      <c r="E92" s="1253" t="s">
        <v>2857</v>
      </c>
      <c r="F92" s="1254"/>
      <c r="G92" s="97"/>
      <c r="H92" s="115"/>
      <c r="I92" s="115"/>
      <c r="J92" s="115"/>
      <c r="K92" s="15"/>
      <c r="L92" s="15"/>
    </row>
    <row r="93" spans="1:12">
      <c r="B93" s="14"/>
      <c r="C93" s="469"/>
      <c r="D93" s="14"/>
      <c r="E93" s="529"/>
      <c r="F93" s="14"/>
      <c r="G93" s="14"/>
      <c r="H93" s="14"/>
      <c r="I93" s="15"/>
      <c r="J93" s="15"/>
      <c r="K93" s="15"/>
      <c r="L93" s="15"/>
    </row>
    <row r="94" spans="1:12" ht="13">
      <c r="B94" s="14"/>
      <c r="C94" s="14"/>
      <c r="D94" s="14"/>
      <c r="E94" s="123" t="s">
        <v>1429</v>
      </c>
      <c r="F94" s="840" t="s">
        <v>1124</v>
      </c>
      <c r="G94" s="14"/>
      <c r="H94" s="15"/>
      <c r="I94" s="15"/>
      <c r="J94" s="14"/>
    </row>
    <row r="95" spans="1:12" ht="13">
      <c r="B95" s="861" t="s">
        <v>1676</v>
      </c>
      <c r="C95" s="469" t="s">
        <v>1833</v>
      </c>
      <c r="D95" s="15"/>
      <c r="E95" s="67">
        <f>'1-BaseTRR'!K90</f>
        <v>2.0620659931938897E-2</v>
      </c>
      <c r="F95" s="14" t="str">
        <f>"1-Base TRR L "&amp;'1-BaseTRR'!A90&amp;""</f>
        <v>1-Base TRR L 51</v>
      </c>
      <c r="G95" s="14"/>
      <c r="H95" s="15"/>
      <c r="I95" s="15"/>
      <c r="J95" s="14"/>
    </row>
    <row r="96" spans="1:12" ht="13">
      <c r="B96" s="861" t="s">
        <v>1825</v>
      </c>
      <c r="C96" s="469" t="s">
        <v>1834</v>
      </c>
      <c r="D96" s="14"/>
      <c r="E96" s="67">
        <f>'1-BaseTRR'!K91</f>
        <v>4.1782699103187805E-3</v>
      </c>
      <c r="F96" s="14" t="str">
        <f>"1-Base TRR L "&amp;'1-BaseTRR'!A91&amp;""</f>
        <v>1-Base TRR L 52</v>
      </c>
      <c r="G96" s="14"/>
      <c r="H96" s="15"/>
      <c r="I96" s="15"/>
      <c r="J96" s="14"/>
    </row>
    <row r="97" spans="1:10" ht="13">
      <c r="B97" s="861" t="s">
        <v>1826</v>
      </c>
      <c r="C97" s="469" t="s">
        <v>1835</v>
      </c>
      <c r="D97" s="14"/>
      <c r="E97" s="49">
        <f>('1-BaseTRR'!K82) * E87</f>
        <v>5.2614383561643829E-2</v>
      </c>
      <c r="F97" s="14" t="str">
        <f>"1-Base TRR L "&amp;'1-BaseTRR'!A82&amp;" * Line d"</f>
        <v>1-Base TRR L 47 * Line d</v>
      </c>
      <c r="G97" s="15"/>
      <c r="H97" s="15"/>
      <c r="I97" s="14"/>
      <c r="J97" s="14"/>
    </row>
    <row r="98" spans="1:10" ht="13">
      <c r="A98" s="14"/>
      <c r="B98" s="110" t="s">
        <v>1827</v>
      </c>
      <c r="C98" s="46" t="s">
        <v>53</v>
      </c>
      <c r="D98" s="14"/>
      <c r="E98" s="48">
        <f>SUM(E95:E97)</f>
        <v>7.7413313403901507E-2</v>
      </c>
      <c r="F98" s="63" t="str">
        <f>"Sum of Lines "&amp;B95&amp;" to "&amp;B97&amp;""</f>
        <v>Sum of Lines g to i</v>
      </c>
      <c r="G98" s="106"/>
      <c r="H98" s="14"/>
      <c r="I98" s="14"/>
      <c r="J98" s="863"/>
    </row>
    <row r="99" spans="1:10" ht="13">
      <c r="A99" s="110"/>
      <c r="B99" s="14"/>
      <c r="C99" s="21"/>
      <c r="D99" s="24"/>
      <c r="E99" s="63"/>
      <c r="F99" s="63"/>
      <c r="G99" s="106"/>
      <c r="H99" s="63"/>
      <c r="I99" s="14"/>
      <c r="J99" s="863"/>
    </row>
    <row r="100" spans="1:10" ht="13">
      <c r="A100" s="110"/>
      <c r="B100" s="469" t="s">
        <v>1828</v>
      </c>
      <c r="C100" s="14"/>
      <c r="D100" s="14"/>
      <c r="E100" s="14"/>
      <c r="F100" s="14"/>
      <c r="G100" s="14"/>
      <c r="H100" s="14"/>
      <c r="I100" s="14"/>
      <c r="J100" s="14"/>
    </row>
    <row r="101" spans="1:10" ht="13">
      <c r="A101" s="110"/>
      <c r="B101" s="14"/>
      <c r="C101" s="14"/>
      <c r="D101" s="14"/>
      <c r="E101" s="14"/>
      <c r="F101" s="14"/>
      <c r="G101" s="14"/>
      <c r="H101" s="14"/>
      <c r="I101" s="14"/>
      <c r="J101" s="14"/>
    </row>
    <row r="102" spans="1:10" ht="13">
      <c r="A102" s="110"/>
      <c r="B102" s="14"/>
      <c r="C102" s="14"/>
      <c r="D102" s="14"/>
      <c r="E102" s="123" t="s">
        <v>1429</v>
      </c>
      <c r="F102" s="840" t="s">
        <v>1124</v>
      </c>
      <c r="G102" s="14"/>
      <c r="H102" s="14"/>
      <c r="I102" s="14"/>
      <c r="J102" s="14"/>
    </row>
    <row r="103" spans="1:10" ht="13">
      <c r="A103" s="14"/>
      <c r="B103" s="861" t="s">
        <v>2154</v>
      </c>
      <c r="C103" s="14"/>
      <c r="D103" s="14"/>
      <c r="E103" s="67">
        <f>E96+E97</f>
        <v>5.6792653471962606E-2</v>
      </c>
      <c r="F103" s="63" t="str">
        <f>"Sum of Lines "&amp;B96&amp;" to "&amp;B97&amp;""</f>
        <v>Sum of Lines h to i</v>
      </c>
      <c r="G103" s="14"/>
      <c r="H103" s="14"/>
      <c r="I103" s="14"/>
      <c r="J103" s="14"/>
    </row>
    <row r="104" spans="1:10" ht="13">
      <c r="A104" s="110"/>
      <c r="B104" s="14"/>
      <c r="C104" s="14"/>
      <c r="D104" s="14"/>
      <c r="E104" s="67"/>
      <c r="F104" s="63"/>
      <c r="G104" s="14"/>
      <c r="H104" s="14"/>
      <c r="I104" s="14"/>
      <c r="J104" s="14"/>
    </row>
    <row r="105" spans="1:10" ht="13">
      <c r="A105" s="110"/>
      <c r="B105" s="543" t="s">
        <v>230</v>
      </c>
      <c r="C105" s="14"/>
      <c r="D105" s="14"/>
      <c r="E105" s="106"/>
      <c r="F105" s="106"/>
      <c r="G105" s="106"/>
      <c r="H105" s="63"/>
      <c r="I105" s="14"/>
      <c r="J105" s="14"/>
    </row>
    <row r="106" spans="1:10" ht="13">
      <c r="A106" s="110"/>
      <c r="B106" s="860" t="s">
        <v>2487</v>
      </c>
      <c r="C106" s="14"/>
      <c r="D106" s="14"/>
      <c r="E106" s="14"/>
      <c r="F106" s="14"/>
      <c r="G106" s="14"/>
      <c r="H106" s="14"/>
      <c r="I106" s="14"/>
      <c r="J106" s="14"/>
    </row>
    <row r="107" spans="1:10" ht="13">
      <c r="A107" s="2"/>
      <c r="B107" s="466" t="s">
        <v>2488</v>
      </c>
      <c r="C107" s="14"/>
      <c r="D107" s="110"/>
      <c r="E107" s="110"/>
      <c r="F107" s="110"/>
      <c r="G107" s="110"/>
      <c r="H107" s="110"/>
      <c r="I107" s="14"/>
      <c r="J107" s="14"/>
    </row>
    <row r="108" spans="1:10" ht="13">
      <c r="A108" s="2"/>
      <c r="B108" s="848"/>
      <c r="C108" s="14"/>
      <c r="D108" s="110"/>
      <c r="E108" s="110"/>
      <c r="F108" s="110"/>
      <c r="G108" s="110"/>
      <c r="H108" s="110"/>
      <c r="I108" s="14"/>
      <c r="J108" s="14"/>
    </row>
    <row r="109" spans="1:10" ht="13">
      <c r="A109" s="2"/>
      <c r="B109" s="14"/>
      <c r="C109" s="29"/>
      <c r="D109" s="29"/>
      <c r="E109" s="123"/>
      <c r="F109" s="123"/>
      <c r="G109" s="123"/>
      <c r="H109" s="123"/>
      <c r="I109" s="14"/>
      <c r="J109" s="14"/>
    </row>
    <row r="110" spans="1:10" ht="13">
      <c r="A110" s="2"/>
    </row>
    <row r="111" spans="1:10" ht="13">
      <c r="A111" s="2"/>
    </row>
    <row r="112" spans="1:10" ht="13">
      <c r="A112" s="2"/>
    </row>
    <row r="113" spans="1:10" ht="13">
      <c r="A113" s="2"/>
      <c r="C113" s="21"/>
      <c r="E113" s="63"/>
      <c r="F113" s="63"/>
      <c r="H113" s="7"/>
      <c r="J113" s="82"/>
    </row>
    <row r="114" spans="1:10" ht="13">
      <c r="A114" s="2"/>
      <c r="C114" s="21"/>
      <c r="E114" s="63"/>
      <c r="F114" s="63"/>
      <c r="H114" s="7"/>
      <c r="J114" s="82"/>
    </row>
    <row r="115" spans="1:10" ht="13">
      <c r="A115" s="53"/>
      <c r="C115" s="21"/>
      <c r="E115" s="63"/>
      <c r="F115" s="63"/>
      <c r="H115" s="7"/>
      <c r="J115" s="82"/>
    </row>
    <row r="116" spans="1:10" ht="13">
      <c r="A116" s="2"/>
      <c r="D116" s="34"/>
      <c r="E116" s="63"/>
      <c r="F116" s="63"/>
      <c r="G116" s="12"/>
      <c r="H116" s="7"/>
      <c r="J116" s="82"/>
    </row>
    <row r="117" spans="1:10" ht="13">
      <c r="A117" s="2"/>
      <c r="C117" s="21"/>
      <c r="D117" s="94"/>
      <c r="E117" s="91"/>
      <c r="F117" s="7"/>
      <c r="G117" s="12"/>
      <c r="H117" s="7"/>
      <c r="J117" s="82"/>
    </row>
    <row r="118" spans="1:10" ht="13">
      <c r="A118" s="2"/>
      <c r="C118" s="21"/>
      <c r="D118" s="94"/>
      <c r="E118" s="7"/>
      <c r="F118" s="7"/>
      <c r="G118" s="12"/>
      <c r="H118" s="7"/>
      <c r="J118" s="82"/>
    </row>
    <row r="119" spans="1:10" ht="13">
      <c r="A119" s="2"/>
    </row>
    <row r="120" spans="1:10" ht="13">
      <c r="A120" s="2"/>
      <c r="B120" s="1"/>
    </row>
    <row r="121" spans="1:10" ht="13">
      <c r="A121" s="2"/>
    </row>
    <row r="122" spans="1:10" ht="13">
      <c r="A122" s="2"/>
    </row>
    <row r="123" spans="1:10" ht="13">
      <c r="A123" s="2"/>
      <c r="F123" s="2"/>
    </row>
    <row r="124" spans="1:10" ht="13">
      <c r="A124" s="2"/>
      <c r="F124" s="2"/>
    </row>
    <row r="125" spans="1:10" ht="13">
      <c r="A125" s="2"/>
      <c r="D125" s="2"/>
      <c r="E125" s="2"/>
      <c r="F125" s="2"/>
      <c r="H125" s="2"/>
    </row>
    <row r="126" spans="1:10" ht="13">
      <c r="A126" s="2"/>
      <c r="D126" s="2"/>
      <c r="E126" s="2"/>
      <c r="F126" s="2"/>
      <c r="G126" s="2"/>
      <c r="H126" s="4"/>
    </row>
    <row r="127" spans="1:10" ht="13">
      <c r="A127" s="53"/>
      <c r="C127" s="25"/>
      <c r="D127" s="25"/>
      <c r="E127" s="3"/>
      <c r="F127" s="84"/>
      <c r="G127" s="3"/>
      <c r="H127" s="4"/>
    </row>
    <row r="128" spans="1:10" ht="13">
      <c r="A128" s="2"/>
      <c r="C128" s="20"/>
      <c r="D128" s="24"/>
      <c r="E128" s="63"/>
      <c r="F128" s="63"/>
      <c r="G128" s="78"/>
      <c r="H128" s="7"/>
    </row>
    <row r="129" spans="1:8" ht="13">
      <c r="A129" s="2"/>
      <c r="C129" s="21"/>
      <c r="D129" s="24"/>
      <c r="E129" s="63"/>
      <c r="F129" s="63"/>
      <c r="G129" s="78"/>
      <c r="H129" s="7"/>
    </row>
    <row r="130" spans="1:8" ht="13">
      <c r="A130" s="2"/>
      <c r="C130" s="21"/>
      <c r="D130" s="24"/>
      <c r="E130" s="63"/>
      <c r="F130" s="63"/>
      <c r="G130" s="78"/>
      <c r="H130" s="7"/>
    </row>
    <row r="131" spans="1:8" ht="13">
      <c r="A131" s="2"/>
      <c r="C131" s="20"/>
      <c r="D131" s="24"/>
      <c r="E131" s="63"/>
      <c r="F131" s="63"/>
      <c r="G131" s="78"/>
      <c r="H131" s="7"/>
    </row>
    <row r="132" spans="1:8" ht="13">
      <c r="A132" s="2"/>
      <c r="C132" s="21"/>
      <c r="D132" s="24"/>
      <c r="E132" s="63"/>
      <c r="F132" s="63"/>
      <c r="G132" s="78"/>
      <c r="H132" s="7"/>
    </row>
    <row r="133" spans="1:8" ht="13">
      <c r="A133" s="2"/>
      <c r="C133" s="21"/>
      <c r="D133" s="24"/>
      <c r="E133" s="63"/>
      <c r="F133" s="63"/>
      <c r="G133" s="78"/>
      <c r="H133" s="7"/>
    </row>
    <row r="134" spans="1:8" ht="13">
      <c r="A134" s="2"/>
      <c r="C134" s="20"/>
      <c r="D134" s="24"/>
      <c r="E134" s="63"/>
      <c r="F134" s="63"/>
      <c r="G134" s="78"/>
      <c r="H134" s="7"/>
    </row>
    <row r="135" spans="1:8" ht="13">
      <c r="A135" s="2"/>
      <c r="C135" s="21"/>
      <c r="D135" s="24"/>
      <c r="E135" s="63"/>
      <c r="F135" s="63"/>
      <c r="G135" s="78"/>
      <c r="H135" s="7"/>
    </row>
    <row r="136" spans="1:8" ht="13">
      <c r="A136" s="2"/>
      <c r="C136" s="21"/>
      <c r="D136" s="24"/>
      <c r="E136" s="63"/>
      <c r="F136" s="63"/>
      <c r="G136" s="78"/>
      <c r="H136" s="7"/>
    </row>
    <row r="137" spans="1:8" ht="13">
      <c r="A137" s="2"/>
      <c r="C137" s="20"/>
      <c r="D137" s="24"/>
      <c r="E137" s="63"/>
      <c r="F137" s="63"/>
      <c r="G137" s="78"/>
      <c r="H137" s="7"/>
    </row>
    <row r="138" spans="1:8" ht="13">
      <c r="A138" s="2"/>
      <c r="C138" s="20"/>
      <c r="D138" s="24"/>
      <c r="E138" s="63"/>
      <c r="F138" s="63"/>
      <c r="G138" s="78"/>
      <c r="H138" s="7"/>
    </row>
    <row r="139" spans="1:8" ht="13">
      <c r="A139" s="2"/>
      <c r="C139" s="21"/>
      <c r="D139" s="24"/>
      <c r="E139" s="63"/>
      <c r="F139" s="63"/>
      <c r="G139" s="78"/>
      <c r="H139" s="57"/>
    </row>
    <row r="140" spans="1:8" ht="13">
      <c r="A140" s="2"/>
      <c r="E140" s="14"/>
      <c r="F140" s="14"/>
      <c r="G140" s="14"/>
      <c r="H140" s="7"/>
    </row>
    <row r="141" spans="1:8" ht="13">
      <c r="A141" s="2"/>
      <c r="C141" s="21"/>
      <c r="D141" s="24"/>
      <c r="E141" s="14"/>
      <c r="F141" s="144"/>
      <c r="G141" s="78"/>
      <c r="H141" s="71"/>
    </row>
    <row r="142" spans="1:8" ht="13">
      <c r="A142" s="2"/>
      <c r="B142" s="1"/>
      <c r="C142" s="21"/>
      <c r="D142" s="24"/>
      <c r="E142" s="14"/>
      <c r="F142" s="144"/>
      <c r="G142" s="78"/>
      <c r="H142" s="71"/>
    </row>
    <row r="143" spans="1:8" ht="13">
      <c r="A143" s="53"/>
      <c r="B143" s="1"/>
      <c r="C143" s="21"/>
      <c r="D143" s="24"/>
      <c r="E143" s="14"/>
      <c r="F143" s="144"/>
      <c r="G143" s="78"/>
      <c r="H143" s="71"/>
    </row>
    <row r="144" spans="1:8" ht="13">
      <c r="A144" s="2"/>
      <c r="C144" s="21"/>
      <c r="D144" s="85"/>
      <c r="E144" s="63"/>
      <c r="F144" s="145"/>
      <c r="G144" s="78"/>
      <c r="H144" s="71"/>
    </row>
    <row r="145" spans="1:10" ht="13">
      <c r="A145" s="2"/>
      <c r="C145" s="21"/>
      <c r="D145" s="37"/>
      <c r="E145" s="63"/>
      <c r="F145" s="145"/>
      <c r="G145" s="78"/>
      <c r="H145" s="71"/>
    </row>
    <row r="146" spans="1:10" ht="13">
      <c r="A146" s="2"/>
      <c r="C146" s="21"/>
      <c r="D146" s="37"/>
      <c r="E146" s="57"/>
      <c r="F146" s="117"/>
      <c r="G146" s="78"/>
      <c r="H146" s="71"/>
    </row>
    <row r="147" spans="1:10" ht="13">
      <c r="A147" s="2"/>
      <c r="C147" s="21"/>
      <c r="D147" s="85"/>
      <c r="E147" s="7"/>
      <c r="F147" s="71"/>
      <c r="G147" s="78"/>
      <c r="H147" s="71"/>
    </row>
    <row r="148" spans="1:10" ht="13">
      <c r="A148" s="2"/>
      <c r="C148" s="21"/>
      <c r="D148" s="24"/>
      <c r="F148" s="71"/>
      <c r="G148" s="78"/>
      <c r="H148" s="71"/>
    </row>
    <row r="149" spans="1:10" ht="13">
      <c r="A149" s="2"/>
    </row>
    <row r="150" spans="1:10" ht="13">
      <c r="A150" s="2"/>
    </row>
    <row r="151" spans="1:10" ht="13">
      <c r="A151" s="2"/>
    </row>
    <row r="152" spans="1:10" ht="13">
      <c r="A152" s="2"/>
      <c r="B152" s="1"/>
    </row>
    <row r="153" spans="1:10" ht="13">
      <c r="A153" s="2"/>
      <c r="B153" s="12"/>
    </row>
    <row r="154" spans="1:10" ht="13">
      <c r="A154" s="2"/>
      <c r="B154" s="12"/>
    </row>
    <row r="155" spans="1:10" ht="13">
      <c r="A155" s="2"/>
      <c r="B155" s="12"/>
    </row>
    <row r="156" spans="1:10" ht="13">
      <c r="A156" s="2"/>
    </row>
    <row r="157" spans="1:10" ht="13">
      <c r="A157" s="2"/>
      <c r="B157" s="1"/>
    </row>
    <row r="158" spans="1:10" ht="13">
      <c r="A158" s="2"/>
    </row>
    <row r="159" spans="1:10" ht="13">
      <c r="A159" s="53"/>
      <c r="C159" s="25"/>
      <c r="D159" s="3"/>
      <c r="G159" s="14"/>
      <c r="H159" s="14"/>
      <c r="I159" s="14"/>
      <c r="J159" s="14"/>
    </row>
    <row r="160" spans="1:10" ht="13">
      <c r="A160" s="2"/>
      <c r="C160" s="20"/>
      <c r="D160" s="142"/>
      <c r="F160" s="8"/>
      <c r="G160" s="14"/>
      <c r="H160" s="14"/>
      <c r="I160" s="14"/>
      <c r="J160" s="14"/>
    </row>
    <row r="161" spans="1:10" ht="13">
      <c r="A161" s="2"/>
      <c r="C161" s="21"/>
      <c r="D161" s="142"/>
      <c r="F161" s="8"/>
      <c r="G161" s="14"/>
      <c r="H161" s="14"/>
      <c r="I161" s="14"/>
      <c r="J161" s="14"/>
    </row>
    <row r="162" spans="1:10" ht="13">
      <c r="A162" s="2"/>
      <c r="C162" s="21"/>
      <c r="D162" s="142"/>
      <c r="F162" s="8"/>
      <c r="G162" s="14"/>
      <c r="H162" s="14"/>
      <c r="I162" s="14"/>
      <c r="J162" s="14"/>
    </row>
    <row r="163" spans="1:10" ht="13">
      <c r="A163" s="2"/>
      <c r="C163" s="20"/>
      <c r="D163" s="142"/>
      <c r="F163" s="8"/>
      <c r="G163" s="14"/>
      <c r="H163" s="14"/>
      <c r="I163" s="14"/>
      <c r="J163" s="14"/>
    </row>
    <row r="164" spans="1:10" ht="13">
      <c r="A164" s="2"/>
      <c r="C164" s="21"/>
      <c r="D164" s="142"/>
      <c r="F164" s="8"/>
      <c r="G164" s="14"/>
      <c r="H164" s="14"/>
      <c r="I164" s="14"/>
      <c r="J164" s="14"/>
    </row>
    <row r="165" spans="1:10" ht="13">
      <c r="A165" s="2"/>
      <c r="C165" s="21"/>
      <c r="D165" s="142"/>
      <c r="F165" s="8"/>
      <c r="G165" s="14"/>
      <c r="H165" s="14"/>
      <c r="I165" s="14"/>
      <c r="J165" s="14"/>
    </row>
    <row r="166" spans="1:10" ht="13">
      <c r="A166" s="2"/>
      <c r="C166" s="20"/>
      <c r="D166" s="142"/>
      <c r="F166" s="8"/>
      <c r="G166" s="14"/>
      <c r="H166" s="14"/>
      <c r="I166" s="14"/>
      <c r="J166" s="14"/>
    </row>
    <row r="167" spans="1:10" ht="13">
      <c r="A167" s="2"/>
      <c r="C167" s="21"/>
      <c r="D167" s="142"/>
      <c r="F167" s="8"/>
      <c r="G167" s="14"/>
      <c r="H167" s="14"/>
      <c r="I167" s="14"/>
      <c r="J167" s="14"/>
    </row>
    <row r="168" spans="1:10" ht="13">
      <c r="A168" s="2"/>
      <c r="C168" s="21"/>
      <c r="D168" s="142"/>
      <c r="F168" s="8"/>
      <c r="G168" s="14"/>
      <c r="H168" s="14"/>
      <c r="I168" s="14"/>
      <c r="J168" s="14"/>
    </row>
    <row r="169" spans="1:10" ht="13">
      <c r="A169" s="2"/>
      <c r="C169" s="20"/>
      <c r="D169" s="142"/>
      <c r="F169" s="8"/>
      <c r="G169" s="14"/>
      <c r="H169" s="14"/>
      <c r="I169" s="14"/>
      <c r="J169" s="14"/>
    </row>
    <row r="170" spans="1:10" ht="13">
      <c r="A170" s="2"/>
      <c r="C170" s="20"/>
      <c r="D170" s="142"/>
      <c r="F170" s="8"/>
    </row>
    <row r="171" spans="1:10" ht="13">
      <c r="A171" s="2"/>
      <c r="C171" s="21"/>
      <c r="D171" s="143"/>
      <c r="F171" s="81"/>
    </row>
    <row r="172" spans="1:10" ht="13">
      <c r="A172" s="2"/>
      <c r="C172" s="34"/>
      <c r="D172" s="142"/>
    </row>
  </sheetData>
  <phoneticPr fontId="23" type="noConversion"/>
  <pageMargins left="0.75" right="0.75" top="1" bottom="1" header="0.5" footer="0.5"/>
  <pageSetup scale="80" orientation="landscape" cellComments="asDisplayed" r:id="rId1"/>
  <headerFooter alignWithMargins="0">
    <oddHeader>&amp;CSchedule 4
True Up TRR
&amp;RTO2021 Draft Annual Update 
Attachment 1</oddHeader>
    <oddFooter>&amp;R&amp;A</oddFooter>
  </headerFooter>
  <rowBreaks count="4" manualBreakCount="4">
    <brk id="45" max="16383" man="1"/>
    <brk id="73" max="16383" man="1"/>
    <brk id="119" max="9" man="1"/>
    <brk id="1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dimension ref="A1:AB54"/>
  <sheetViews>
    <sheetView zoomScaleNormal="100" zoomScalePageLayoutView="80" workbookViewId="0">
      <selection activeCell="A6" sqref="A6"/>
    </sheetView>
  </sheetViews>
  <sheetFormatPr defaultColWidth="8.54296875" defaultRowHeight="12.5"/>
  <cols>
    <col min="1" max="1" width="4.54296875" style="972" customWidth="1"/>
    <col min="2" max="2" width="3.54296875" style="972" customWidth="1"/>
    <col min="3" max="3" width="8.54296875" style="972"/>
    <col min="4" max="4" width="13.54296875" style="972" customWidth="1"/>
    <col min="5" max="5" width="8.54296875" style="972"/>
    <col min="6" max="7" width="10.54296875" style="972" customWidth="1"/>
    <col min="8" max="8" width="8.54296875" style="972"/>
    <col min="9" max="9" width="27.54296875" style="972" customWidth="1"/>
    <col min="10" max="10" width="30.54296875" style="972" customWidth="1"/>
    <col min="11" max="11" width="2.54296875" style="972" customWidth="1"/>
    <col min="12" max="12" width="16.54296875" style="972" customWidth="1"/>
    <col min="13" max="13" width="1.54296875" style="972" customWidth="1"/>
    <col min="14" max="14" width="4.54296875" style="972" customWidth="1"/>
    <col min="15" max="28" width="14.54296875" style="972" customWidth="1"/>
    <col min="29" max="16384" width="8.54296875" style="972"/>
  </cols>
  <sheetData>
    <row r="1" spans="1:28" ht="13">
      <c r="A1" s="1" t="s">
        <v>24</v>
      </c>
      <c r="J1" s="97" t="s">
        <v>301</v>
      </c>
    </row>
    <row r="2" spans="1:28" ht="13">
      <c r="B2" s="1"/>
      <c r="I2" s="553"/>
      <c r="J2" s="553" t="s">
        <v>169</v>
      </c>
      <c r="L2" s="245">
        <v>2019</v>
      </c>
    </row>
    <row r="3" spans="1:28" ht="13">
      <c r="I3" s="3" t="s">
        <v>168</v>
      </c>
      <c r="J3" s="3" t="s">
        <v>170</v>
      </c>
      <c r="L3" s="3" t="s">
        <v>171</v>
      </c>
    </row>
    <row r="5" spans="1:28" ht="13">
      <c r="A5" s="10" t="s">
        <v>177</v>
      </c>
      <c r="B5" s="119"/>
      <c r="C5" s="11"/>
      <c r="D5" s="11"/>
      <c r="E5" s="11"/>
      <c r="F5" s="11"/>
      <c r="G5" s="11"/>
      <c r="H5" s="11"/>
      <c r="I5" s="9"/>
      <c r="J5" s="9"/>
      <c r="K5" s="9"/>
      <c r="L5" s="9"/>
      <c r="N5" s="1256"/>
      <c r="O5" s="1257"/>
      <c r="P5" s="1257"/>
      <c r="Q5" s="1257"/>
      <c r="R5" s="1257"/>
      <c r="S5" s="1257"/>
      <c r="T5" s="1257"/>
    </row>
    <row r="6" spans="1:28" ht="13">
      <c r="B6" s="1"/>
      <c r="C6" s="467"/>
      <c r="D6" s="467"/>
      <c r="E6" s="467"/>
      <c r="F6" s="467"/>
      <c r="G6" s="467"/>
      <c r="H6" s="467"/>
      <c r="I6" s="467"/>
      <c r="J6" s="467"/>
      <c r="K6" s="467"/>
      <c r="L6" s="467"/>
      <c r="O6" s="84"/>
      <c r="P6" s="84"/>
      <c r="Q6" s="84"/>
      <c r="R6" s="84"/>
      <c r="S6" s="84"/>
      <c r="T6" s="84"/>
      <c r="U6" s="84"/>
      <c r="V6" s="84"/>
      <c r="W6" s="84"/>
      <c r="X6" s="84"/>
      <c r="Y6" s="84"/>
      <c r="Z6" s="84"/>
      <c r="AA6" s="84"/>
      <c r="AB6" s="84"/>
    </row>
    <row r="7" spans="1:28" ht="13">
      <c r="A7" s="53" t="s">
        <v>319</v>
      </c>
      <c r="B7" s="1"/>
      <c r="C7" s="75" t="s">
        <v>268</v>
      </c>
      <c r="D7" s="467"/>
      <c r="E7" s="467"/>
      <c r="F7" s="467"/>
      <c r="G7" s="467"/>
      <c r="H7" s="467"/>
      <c r="I7" s="467"/>
      <c r="J7" s="467"/>
      <c r="K7" s="467"/>
      <c r="L7" s="467"/>
      <c r="N7" s="53"/>
      <c r="O7" s="37"/>
      <c r="P7" s="483"/>
      <c r="Q7" s="476"/>
      <c r="R7" s="476"/>
      <c r="S7" s="476"/>
      <c r="T7" s="476"/>
      <c r="U7" s="476"/>
      <c r="V7" s="476"/>
      <c r="W7" s="476"/>
      <c r="X7" s="476"/>
      <c r="Y7" s="476"/>
      <c r="Z7" s="476"/>
      <c r="AA7" s="476"/>
      <c r="AB7" s="476"/>
    </row>
    <row r="8" spans="1:28" ht="13">
      <c r="A8" s="553">
        <v>1</v>
      </c>
      <c r="B8" s="1"/>
      <c r="C8" s="467" t="s">
        <v>206</v>
      </c>
      <c r="D8" s="467"/>
      <c r="E8" s="467"/>
      <c r="F8" s="467"/>
      <c r="G8" s="467"/>
      <c r="H8" s="467"/>
      <c r="I8" s="467" t="s">
        <v>1607</v>
      </c>
      <c r="J8" s="471" t="str">
        <f>"5-ROR-2, Line "&amp;'5-ROR-2'!A8&amp;""</f>
        <v>5-ROR-2, Line 1</v>
      </c>
      <c r="K8" s="467"/>
      <c r="L8" s="474">
        <f>'5-ROR-2'!C8</f>
        <v>14061240659.305387</v>
      </c>
      <c r="N8" s="553"/>
      <c r="O8" s="474"/>
      <c r="P8" s="474"/>
      <c r="Q8" s="474"/>
      <c r="R8" s="474"/>
      <c r="S8" s="474"/>
      <c r="T8" s="474"/>
      <c r="U8" s="474"/>
      <c r="V8" s="474"/>
      <c r="W8" s="474"/>
      <c r="X8" s="474"/>
      <c r="Y8" s="474"/>
      <c r="Z8" s="474"/>
      <c r="AA8" s="474"/>
      <c r="AB8" s="474"/>
    </row>
    <row r="9" spans="1:28" ht="13">
      <c r="A9" s="553">
        <f>A8+1</f>
        <v>2</v>
      </c>
      <c r="B9" s="1"/>
      <c r="C9" s="467" t="s">
        <v>207</v>
      </c>
      <c r="D9" s="467"/>
      <c r="E9" s="467"/>
      <c r="F9" s="467"/>
      <c r="G9" s="467"/>
      <c r="H9" s="467"/>
      <c r="I9" s="467" t="s">
        <v>1607</v>
      </c>
      <c r="J9" s="471" t="str">
        <f>"5-ROR-2, Line "&amp;'5-ROR-2'!A10&amp;""</f>
        <v>5-ROR-2, Line 2</v>
      </c>
      <c r="K9" s="467"/>
      <c r="L9" s="474">
        <f>'5-ROR-2'!C10</f>
        <v>0</v>
      </c>
      <c r="N9" s="553"/>
      <c r="O9" s="474"/>
      <c r="P9" s="474"/>
      <c r="Q9" s="474"/>
      <c r="R9" s="474"/>
      <c r="S9" s="474"/>
      <c r="T9" s="474"/>
      <c r="U9" s="474"/>
      <c r="V9" s="474"/>
      <c r="W9" s="474"/>
      <c r="X9" s="474"/>
      <c r="Y9" s="474"/>
      <c r="Z9" s="474"/>
      <c r="AA9" s="474"/>
      <c r="AB9" s="474"/>
    </row>
    <row r="10" spans="1:28" ht="13">
      <c r="A10" s="553" t="s">
        <v>507</v>
      </c>
      <c r="B10" s="1"/>
      <c r="C10" s="467" t="s">
        <v>1817</v>
      </c>
      <c r="D10" s="1109"/>
      <c r="E10" s="1109"/>
      <c r="F10" s="1109"/>
      <c r="G10" s="1109"/>
      <c r="H10" s="1109"/>
      <c r="I10" s="467" t="s">
        <v>1607</v>
      </c>
      <c r="J10" s="471" t="str">
        <f>"5-ROR-2, Line "&amp;'5-ROR-2'!A12&amp;""</f>
        <v>5-ROR-2, Line 2a</v>
      </c>
      <c r="K10" s="467"/>
      <c r="L10" s="474">
        <f>'5-ROR-2'!C12</f>
        <v>0</v>
      </c>
      <c r="N10" s="553"/>
      <c r="O10" s="474"/>
      <c r="P10" s="474"/>
      <c r="Q10" s="474"/>
      <c r="R10" s="474"/>
      <c r="S10" s="474"/>
      <c r="T10" s="474"/>
      <c r="U10" s="474"/>
      <c r="V10" s="474"/>
      <c r="W10" s="474"/>
      <c r="X10" s="474"/>
      <c r="Y10" s="474"/>
      <c r="Z10" s="474"/>
      <c r="AA10" s="474"/>
      <c r="AB10" s="474"/>
    </row>
    <row r="11" spans="1:28" ht="13">
      <c r="A11" s="553">
        <f>A9+1</f>
        <v>3</v>
      </c>
      <c r="B11" s="1"/>
      <c r="C11" s="467" t="s">
        <v>208</v>
      </c>
      <c r="D11" s="467"/>
      <c r="E11" s="467"/>
      <c r="F11" s="467"/>
      <c r="G11" s="467"/>
      <c r="H11" s="467"/>
      <c r="I11" s="467" t="s">
        <v>1607</v>
      </c>
      <c r="J11" s="471" t="str">
        <f>"5-ROR-2, Line "&amp;'5-ROR-2'!A14&amp;""</f>
        <v>5-ROR-2, Line 3</v>
      </c>
      <c r="K11" s="467"/>
      <c r="L11" s="474">
        <f>'5-ROR-2'!C14</f>
        <v>306455395.05615389</v>
      </c>
      <c r="N11" s="553"/>
      <c r="O11" s="474"/>
      <c r="P11" s="474"/>
      <c r="Q11" s="474"/>
      <c r="R11" s="474"/>
      <c r="S11" s="474"/>
      <c r="T11" s="474"/>
      <c r="U11" s="474"/>
      <c r="V11" s="474"/>
      <c r="W11" s="474"/>
      <c r="X11" s="474"/>
      <c r="Y11" s="474"/>
      <c r="Z11" s="474"/>
      <c r="AA11" s="474"/>
      <c r="AB11" s="474"/>
    </row>
    <row r="12" spans="1:28" ht="13">
      <c r="A12" s="553">
        <v>4</v>
      </c>
      <c r="B12" s="1"/>
      <c r="C12" s="471" t="s">
        <v>209</v>
      </c>
      <c r="D12" s="467"/>
      <c r="E12" s="467"/>
      <c r="F12" s="467"/>
      <c r="G12" s="467"/>
      <c r="H12" s="467"/>
      <c r="J12" s="471" t="str">
        <f>"L"&amp;A8&amp;" + L"&amp;A9&amp;" + L"&amp;A10&amp;" + L"&amp;A11&amp;""</f>
        <v>L1 + L2 + L2a + L3</v>
      </c>
      <c r="K12" s="467"/>
      <c r="L12" s="1258">
        <f>SUM(L8:L11)</f>
        <v>14367696054.361542</v>
      </c>
    </row>
    <row r="13" spans="1:28" ht="13">
      <c r="B13" s="1"/>
      <c r="C13" s="467"/>
      <c r="D13" s="467"/>
      <c r="E13" s="467"/>
      <c r="F13" s="467"/>
      <c r="G13" s="467" t="s">
        <v>328</v>
      </c>
      <c r="H13" s="467"/>
      <c r="I13" s="467"/>
      <c r="J13" s="471"/>
      <c r="K13" s="467"/>
      <c r="L13" s="467"/>
    </row>
    <row r="14" spans="1:28" ht="13">
      <c r="A14" s="553"/>
      <c r="B14" s="1"/>
      <c r="C14" s="75" t="s">
        <v>2490</v>
      </c>
      <c r="D14" s="467"/>
      <c r="E14" s="467"/>
      <c r="F14" s="467"/>
      <c r="G14" s="467"/>
      <c r="H14" s="467"/>
      <c r="I14" s="467"/>
      <c r="J14" s="471"/>
      <c r="K14" s="467"/>
      <c r="L14" s="467"/>
    </row>
    <row r="15" spans="1:28" ht="13">
      <c r="A15" s="553">
        <f>A12+1</f>
        <v>5</v>
      </c>
      <c r="B15" s="1"/>
      <c r="C15" s="467" t="s">
        <v>2491</v>
      </c>
      <c r="D15" s="467"/>
      <c r="E15" s="467"/>
      <c r="F15" s="467"/>
      <c r="G15" s="467"/>
      <c r="H15" s="467"/>
      <c r="I15" s="467"/>
      <c r="J15" s="471" t="s">
        <v>2492</v>
      </c>
      <c r="K15" s="467"/>
      <c r="L15" s="996">
        <v>629079672</v>
      </c>
    </row>
    <row r="16" spans="1:28" ht="13">
      <c r="A16" s="553">
        <f>A15+1</f>
        <v>6</v>
      </c>
      <c r="B16" s="1"/>
      <c r="C16" s="467" t="s">
        <v>2493</v>
      </c>
      <c r="D16" s="467"/>
      <c r="E16" s="467"/>
      <c r="F16" s="467"/>
      <c r="G16" s="467"/>
      <c r="H16" s="467"/>
      <c r="I16" s="467"/>
      <c r="J16" s="471" t="s">
        <v>2494</v>
      </c>
      <c r="K16" s="467"/>
      <c r="L16" s="996">
        <v>15209740</v>
      </c>
    </row>
    <row r="17" spans="1:28" ht="13">
      <c r="A17" s="553">
        <f t="shared" ref="A17:A19" si="0">A16+1</f>
        <v>7</v>
      </c>
      <c r="B17" s="1"/>
      <c r="C17" s="467" t="s">
        <v>2495</v>
      </c>
      <c r="D17" s="467"/>
      <c r="E17" s="467"/>
      <c r="F17" s="467"/>
      <c r="G17" s="467"/>
      <c r="H17" s="467"/>
      <c r="I17" s="467"/>
      <c r="J17" s="471" t="s">
        <v>2457</v>
      </c>
      <c r="K17" s="467"/>
      <c r="L17" s="996">
        <v>12446072</v>
      </c>
    </row>
    <row r="18" spans="1:28" ht="13">
      <c r="A18" s="553">
        <f t="shared" si="0"/>
        <v>8</v>
      </c>
      <c r="B18" s="1"/>
      <c r="C18" s="467" t="s">
        <v>2496</v>
      </c>
      <c r="D18" s="467"/>
      <c r="E18" s="467"/>
      <c r="F18" s="467"/>
      <c r="G18" s="467"/>
      <c r="H18" s="467"/>
      <c r="I18" s="467" t="s">
        <v>2497</v>
      </c>
      <c r="J18" s="471" t="s">
        <v>2498</v>
      </c>
      <c r="K18" s="467"/>
      <c r="L18" s="996">
        <v>-1197123</v>
      </c>
    </row>
    <row r="19" spans="1:28" ht="13">
      <c r="A19" s="553">
        <f t="shared" si="0"/>
        <v>9</v>
      </c>
      <c r="B19" s="1"/>
      <c r="C19" s="467" t="s">
        <v>2499</v>
      </c>
      <c r="D19" s="467"/>
      <c r="E19" s="467"/>
      <c r="F19" s="467"/>
      <c r="G19" s="467"/>
      <c r="H19" s="467"/>
      <c r="I19" s="467" t="s">
        <v>2497</v>
      </c>
      <c r="J19" s="471" t="s">
        <v>2500</v>
      </c>
      <c r="K19" s="467"/>
      <c r="L19" s="996">
        <v>0</v>
      </c>
    </row>
    <row r="20" spans="1:28" ht="13">
      <c r="A20" s="553">
        <v>10</v>
      </c>
      <c r="B20" s="1"/>
      <c r="C20" s="467" t="s">
        <v>2501</v>
      </c>
      <c r="D20" s="467"/>
      <c r="E20" s="467"/>
      <c r="F20" s="467"/>
      <c r="G20" s="467"/>
      <c r="H20" s="467"/>
      <c r="I20" s="467"/>
      <c r="J20" s="471" t="s">
        <v>2502</v>
      </c>
      <c r="K20" s="467"/>
      <c r="L20" s="996">
        <v>0</v>
      </c>
    </row>
    <row r="21" spans="1:28" ht="13">
      <c r="A21" s="553">
        <v>11</v>
      </c>
      <c r="B21" s="1"/>
      <c r="C21" s="471" t="s">
        <v>253</v>
      </c>
      <c r="D21" s="467"/>
      <c r="E21" s="467"/>
      <c r="F21" s="467"/>
      <c r="G21" s="467"/>
      <c r="H21" s="467"/>
      <c r="J21" s="471" t="str">
        <f>"Sum of Lines "&amp;A15&amp;" to "&amp;A20&amp;""</f>
        <v>Sum of Lines 5 to 10</v>
      </c>
      <c r="K21" s="467"/>
      <c r="L21" s="1258">
        <f>SUM(L15:L20)</f>
        <v>655538361</v>
      </c>
    </row>
    <row r="22" spans="1:28" ht="13">
      <c r="B22" s="1"/>
      <c r="C22" s="467"/>
      <c r="D22" s="467"/>
      <c r="E22" s="467"/>
      <c r="F22" s="467"/>
      <c r="G22" s="467"/>
      <c r="H22" s="467"/>
      <c r="I22" s="467"/>
      <c r="J22" s="471"/>
      <c r="K22" s="467"/>
      <c r="L22" s="467"/>
    </row>
    <row r="23" spans="1:28" ht="13">
      <c r="A23" s="553">
        <f>A21+1</f>
        <v>12</v>
      </c>
      <c r="B23" s="1"/>
      <c r="C23" s="467" t="s">
        <v>2503</v>
      </c>
      <c r="D23" s="467"/>
      <c r="E23" s="467"/>
      <c r="F23" s="467"/>
      <c r="G23" s="467"/>
      <c r="H23" s="467"/>
      <c r="J23" s="471" t="str">
        <f>"Line "&amp;A21&amp;" / Line "&amp;A12&amp;""</f>
        <v>Line 11 / Line 4</v>
      </c>
      <c r="K23" s="467"/>
      <c r="L23" s="1149">
        <f>L21/L12</f>
        <v>4.5625851112085641E-2</v>
      </c>
    </row>
    <row r="24" spans="1:28" ht="13">
      <c r="A24" s="553"/>
      <c r="B24" s="1"/>
      <c r="C24" s="467"/>
      <c r="D24" s="467"/>
      <c r="E24" s="467"/>
      <c r="F24" s="467"/>
      <c r="G24" s="467"/>
      <c r="H24" s="467"/>
      <c r="J24" s="471"/>
      <c r="K24" s="467"/>
      <c r="L24" s="1149"/>
    </row>
    <row r="25" spans="1:28" ht="13">
      <c r="B25" s="1"/>
      <c r="C25" s="75" t="s">
        <v>1459</v>
      </c>
      <c r="D25" s="467"/>
      <c r="E25" s="467"/>
      <c r="F25" s="467"/>
      <c r="G25" s="467"/>
      <c r="H25" s="467"/>
      <c r="I25" s="467"/>
      <c r="J25" s="471"/>
      <c r="K25" s="467"/>
      <c r="L25" s="467"/>
    </row>
    <row r="26" spans="1:28" ht="13">
      <c r="A26" s="553">
        <f>A23+1</f>
        <v>13</v>
      </c>
      <c r="B26" s="1"/>
      <c r="C26" s="467" t="s">
        <v>42</v>
      </c>
      <c r="D26" s="467"/>
      <c r="E26" s="467"/>
      <c r="F26" s="467"/>
      <c r="G26" s="467"/>
      <c r="H26" s="467"/>
      <c r="I26" s="467" t="s">
        <v>1607</v>
      </c>
      <c r="J26" s="471" t="str">
        <f>"5-ROR-2, Line "&amp;'5-ROR-2'!A16&amp;""</f>
        <v>5-ROR-2, Line 4</v>
      </c>
      <c r="K26" s="467"/>
      <c r="L26" s="474">
        <f>'5-ROR-2'!C16</f>
        <v>2245054950</v>
      </c>
      <c r="N26" s="553"/>
      <c r="O26" s="474"/>
      <c r="P26" s="474"/>
      <c r="Q26" s="474"/>
      <c r="R26" s="474"/>
      <c r="S26" s="474"/>
      <c r="T26" s="474"/>
      <c r="U26" s="474"/>
      <c r="V26" s="474"/>
      <c r="W26" s="474"/>
      <c r="X26" s="474"/>
      <c r="Y26" s="474"/>
      <c r="Z26" s="474"/>
      <c r="AA26" s="474"/>
      <c r="AB26" s="474"/>
    </row>
    <row r="27" spans="1:28" ht="13">
      <c r="A27" s="553">
        <f t="shared" ref="A27:A28" si="1">A26+1</f>
        <v>14</v>
      </c>
      <c r="B27" s="1"/>
      <c r="C27" s="467" t="s">
        <v>1455</v>
      </c>
      <c r="D27" s="467"/>
      <c r="E27" s="467"/>
      <c r="F27" s="467"/>
      <c r="G27" s="467"/>
      <c r="H27" s="467"/>
      <c r="I27" s="467" t="s">
        <v>1607</v>
      </c>
      <c r="J27" s="471" t="str">
        <f>"5-ROR-2, Line "&amp;'5-ROR-2'!A18&amp;""</f>
        <v>5-ROR-2, Line 5</v>
      </c>
      <c r="K27" s="467"/>
      <c r="L27" s="474">
        <f>'5-ROR-2'!C18</f>
        <v>-35163418.50555554</v>
      </c>
      <c r="N27" s="553"/>
      <c r="O27" s="474"/>
      <c r="P27" s="474"/>
      <c r="Q27" s="474"/>
      <c r="R27" s="474"/>
      <c r="S27" s="474"/>
      <c r="T27" s="474"/>
      <c r="U27" s="474"/>
      <c r="V27" s="474"/>
      <c r="W27" s="474"/>
      <c r="X27" s="474"/>
      <c r="Y27" s="474"/>
      <c r="Z27" s="474"/>
      <c r="AA27" s="474"/>
      <c r="AB27" s="474"/>
    </row>
    <row r="28" spans="1:28" ht="13">
      <c r="A28" s="553">
        <f t="shared" si="1"/>
        <v>15</v>
      </c>
      <c r="B28" s="1"/>
      <c r="C28" s="467" t="s">
        <v>1150</v>
      </c>
      <c r="D28" s="467"/>
      <c r="E28" s="467"/>
      <c r="F28" s="467"/>
      <c r="G28" s="467"/>
      <c r="H28" s="467"/>
      <c r="I28" s="467" t="s">
        <v>1607</v>
      </c>
      <c r="J28" s="471" t="str">
        <f>"5-ROR-2, Line "&amp;'5-ROR-2'!A20&amp;""</f>
        <v>5-ROR-2, Line 6</v>
      </c>
      <c r="K28" s="467"/>
      <c r="L28" s="1259">
        <f>'5-ROR-2'!C20</f>
        <v>-17823980.290312503</v>
      </c>
      <c r="N28" s="553"/>
      <c r="O28" s="474"/>
      <c r="P28" s="474"/>
      <c r="Q28" s="474"/>
      <c r="R28" s="474"/>
      <c r="S28" s="474"/>
      <c r="T28" s="474"/>
      <c r="U28" s="474"/>
      <c r="V28" s="474"/>
      <c r="W28" s="474"/>
      <c r="X28" s="474"/>
      <c r="Y28" s="474"/>
      <c r="Z28" s="474"/>
      <c r="AA28" s="474"/>
      <c r="AB28" s="474"/>
    </row>
    <row r="29" spans="1:28" ht="13">
      <c r="A29" s="553">
        <f>A28+1</f>
        <v>16</v>
      </c>
      <c r="B29" s="1"/>
      <c r="C29" s="471" t="s">
        <v>47</v>
      </c>
      <c r="D29" s="467"/>
      <c r="E29" s="467"/>
      <c r="F29" s="467"/>
      <c r="G29" s="467"/>
      <c r="H29" s="467"/>
      <c r="I29" s="467"/>
      <c r="J29" s="471" t="str">
        <f>"Sum of Lines "&amp;A26&amp;" to "&amp;A28&amp;""</f>
        <v>Sum of Lines 13 to 15</v>
      </c>
      <c r="K29" s="467"/>
      <c r="L29" s="474">
        <f>SUM(L26:L28)</f>
        <v>2192067551.2041321</v>
      </c>
    </row>
    <row r="30" spans="1:28" ht="13">
      <c r="A30" s="553"/>
      <c r="B30" s="1"/>
      <c r="C30" s="467"/>
      <c r="D30" s="467"/>
      <c r="E30" s="467"/>
      <c r="F30" s="467"/>
      <c r="G30" s="467"/>
      <c r="H30" s="467"/>
      <c r="I30" s="467"/>
      <c r="J30" s="471"/>
      <c r="K30" s="467"/>
      <c r="L30" s="474"/>
    </row>
    <row r="31" spans="1:28" ht="13">
      <c r="A31" s="553"/>
      <c r="B31" s="1"/>
      <c r="C31" s="75" t="s">
        <v>2504</v>
      </c>
      <c r="D31" s="467"/>
      <c r="E31" s="467"/>
      <c r="F31" s="467"/>
      <c r="G31" s="467"/>
      <c r="H31" s="467"/>
      <c r="I31" s="467"/>
      <c r="J31" s="471"/>
      <c r="K31" s="467"/>
      <c r="L31" s="474"/>
    </row>
    <row r="32" spans="1:28" ht="13">
      <c r="A32" s="553">
        <f>A29+1</f>
        <v>17</v>
      </c>
      <c r="B32" s="1"/>
      <c r="C32" s="467" t="s">
        <v>2505</v>
      </c>
      <c r="D32" s="467"/>
      <c r="E32" s="467"/>
      <c r="F32" s="467"/>
      <c r="G32" s="467"/>
      <c r="H32" s="467"/>
      <c r="I32" s="467" t="s">
        <v>2506</v>
      </c>
      <c r="J32" s="471" t="s">
        <v>2507</v>
      </c>
      <c r="K32" s="467"/>
      <c r="L32" s="996">
        <v>120926595</v>
      </c>
    </row>
    <row r="33" spans="1:28" ht="13">
      <c r="A33" s="553">
        <f>A32+1</f>
        <v>18</v>
      </c>
      <c r="B33" s="1"/>
      <c r="C33" s="467" t="s">
        <v>2508</v>
      </c>
      <c r="D33" s="467"/>
      <c r="E33" s="467"/>
      <c r="F33" s="467"/>
      <c r="G33" s="467"/>
      <c r="H33" s="467"/>
      <c r="I33" s="467"/>
      <c r="J33" s="471" t="s">
        <v>212</v>
      </c>
      <c r="K33" s="467"/>
      <c r="L33" s="474">
        <f>'5-ROR-2'!H64</f>
        <v>1036090.6520642734</v>
      </c>
    </row>
    <row r="34" spans="1:28" ht="13">
      <c r="A34" s="553">
        <f>A33+1</f>
        <v>19</v>
      </c>
      <c r="B34" s="1"/>
      <c r="C34" s="467" t="s">
        <v>2509</v>
      </c>
      <c r="D34" s="467"/>
      <c r="E34" s="467"/>
      <c r="F34" s="467"/>
      <c r="G34" s="467"/>
      <c r="H34" s="467"/>
      <c r="I34" s="467"/>
      <c r="J34" s="471" t="s">
        <v>211</v>
      </c>
      <c r="K34" s="467"/>
      <c r="L34" s="474">
        <f>'5-ROR-2'!I50</f>
        <v>3420000.4000000004</v>
      </c>
    </row>
    <row r="35" spans="1:28" ht="13">
      <c r="A35" s="553">
        <f t="shared" ref="A35" si="2">A34+1</f>
        <v>20</v>
      </c>
      <c r="B35" s="1"/>
      <c r="C35" s="471" t="s">
        <v>2505</v>
      </c>
      <c r="D35" s="467"/>
      <c r="E35" s="467"/>
      <c r="F35" s="467"/>
      <c r="G35" s="467"/>
      <c r="H35" s="467"/>
      <c r="J35" s="471" t="str">
        <f>"Sum of Lines "&amp;A32&amp;" to "&amp;A34&amp;""</f>
        <v>Sum of Lines 17 to 19</v>
      </c>
      <c r="K35" s="467"/>
      <c r="L35" s="1258">
        <f>SUM(L32:L34)</f>
        <v>125382686.05206428</v>
      </c>
    </row>
    <row r="36" spans="1:28" ht="13">
      <c r="B36" s="1"/>
      <c r="C36" s="467"/>
      <c r="D36" s="467"/>
      <c r="E36" s="467"/>
      <c r="F36" s="467"/>
      <c r="G36" s="467"/>
      <c r="H36" s="467"/>
      <c r="I36" s="467"/>
      <c r="J36" s="471"/>
      <c r="K36" s="467"/>
      <c r="L36" s="474"/>
    </row>
    <row r="37" spans="1:28" ht="13">
      <c r="A37" s="553">
        <f>A35+1</f>
        <v>21</v>
      </c>
      <c r="B37" s="1"/>
      <c r="C37" s="467" t="s">
        <v>43</v>
      </c>
      <c r="D37" s="467"/>
      <c r="E37" s="467"/>
      <c r="F37" s="467"/>
      <c r="G37" s="467"/>
      <c r="H37" s="467"/>
      <c r="J37" s="471" t="str">
        <f>"Line "&amp;A35&amp;" / Line "&amp;A29&amp;""</f>
        <v>Line 20 / Line 16</v>
      </c>
      <c r="K37" s="467"/>
      <c r="L37" s="1149">
        <f>L35/L29</f>
        <v>5.719836780722834E-2</v>
      </c>
    </row>
    <row r="38" spans="1:28" ht="13">
      <c r="B38" s="1"/>
      <c r="C38" s="467"/>
      <c r="D38" s="467"/>
      <c r="E38" s="467"/>
      <c r="F38" s="467"/>
      <c r="G38" s="467"/>
      <c r="H38" s="467"/>
      <c r="I38" s="467"/>
      <c r="J38" s="471"/>
      <c r="K38" s="467"/>
      <c r="L38" s="467"/>
    </row>
    <row r="39" spans="1:28" ht="13">
      <c r="B39" s="1"/>
      <c r="C39" s="75" t="s">
        <v>269</v>
      </c>
      <c r="D39" s="467"/>
      <c r="E39" s="467"/>
      <c r="F39" s="467"/>
      <c r="G39" s="467"/>
      <c r="H39" s="467"/>
      <c r="I39" s="1132"/>
      <c r="J39" s="471"/>
      <c r="K39" s="467"/>
      <c r="L39" s="467"/>
    </row>
    <row r="40" spans="1:28" ht="13">
      <c r="A40" s="553">
        <f>A37+1</f>
        <v>22</v>
      </c>
      <c r="B40" s="1"/>
      <c r="C40" s="467" t="s">
        <v>210</v>
      </c>
      <c r="D40" s="467"/>
      <c r="E40" s="467"/>
      <c r="F40" s="467"/>
      <c r="G40" s="467"/>
      <c r="H40" s="467"/>
      <c r="I40" s="467" t="s">
        <v>1607</v>
      </c>
      <c r="J40" s="471" t="str">
        <f>"5-ROR-2, Line "&amp;'5-ROR-2'!A22&amp;""</f>
        <v>5-ROR-2, Line 7</v>
      </c>
      <c r="K40" s="467"/>
      <c r="L40" s="474">
        <f>'5-ROR-2'!C22</f>
        <v>15704168456.043846</v>
      </c>
      <c r="N40" s="553"/>
      <c r="O40" s="474"/>
      <c r="P40" s="474"/>
      <c r="Q40" s="474"/>
      <c r="R40" s="474"/>
      <c r="S40" s="474"/>
      <c r="T40" s="474"/>
      <c r="U40" s="474"/>
      <c r="V40" s="474"/>
      <c r="W40" s="474"/>
      <c r="X40" s="474"/>
      <c r="Y40" s="474"/>
      <c r="Z40" s="474"/>
      <c r="AA40" s="474"/>
      <c r="AB40" s="474"/>
    </row>
    <row r="41" spans="1:28" ht="13">
      <c r="A41" s="553">
        <f>A40+1</f>
        <v>23</v>
      </c>
      <c r="B41" s="1"/>
      <c r="C41" s="467" t="s">
        <v>45</v>
      </c>
      <c r="D41" s="467"/>
      <c r="E41" s="467"/>
      <c r="F41" s="467"/>
      <c r="G41" s="467"/>
      <c r="H41" s="467"/>
      <c r="I41" s="467" t="str">
        <f>"Same as L "&amp;A26&amp;", but negative"</f>
        <v>Same as L 13, but negative</v>
      </c>
      <c r="J41" s="471" t="str">
        <f>"5-ROR-2, Line "&amp;'5-ROR-2'!A16&amp;""</f>
        <v>5-ROR-2, Line 4</v>
      </c>
      <c r="K41" s="467"/>
      <c r="L41" s="474">
        <f>-'5-ROR-2'!C16</f>
        <v>-2245054950</v>
      </c>
      <c r="N41" s="553"/>
      <c r="O41" s="474"/>
      <c r="P41" s="474"/>
      <c r="Q41" s="474"/>
      <c r="R41" s="474"/>
      <c r="S41" s="474"/>
      <c r="T41" s="474"/>
      <c r="U41" s="474"/>
      <c r="V41" s="474"/>
      <c r="W41" s="474"/>
      <c r="X41" s="474"/>
      <c r="Y41" s="474"/>
      <c r="Z41" s="474"/>
      <c r="AA41" s="474"/>
      <c r="AB41" s="474"/>
    </row>
    <row r="42" spans="1:28" ht="13">
      <c r="A42" s="553">
        <f t="shared" ref="A42:A44" si="3">A41+1</f>
        <v>24</v>
      </c>
      <c r="B42" s="1"/>
      <c r="C42" s="467" t="s">
        <v>1456</v>
      </c>
      <c r="D42" s="467"/>
      <c r="E42" s="467"/>
      <c r="F42" s="467"/>
      <c r="G42" s="467"/>
      <c r="H42" s="467"/>
      <c r="I42" s="467" t="str">
        <f>"Same as L "&amp;A28&amp;", but reverse sign"</f>
        <v>Same as L 15, but reverse sign</v>
      </c>
      <c r="J42" s="471" t="s">
        <v>281</v>
      </c>
      <c r="K42" s="467"/>
      <c r="L42" s="474">
        <f>-L28</f>
        <v>17823980.290312503</v>
      </c>
      <c r="N42" s="553"/>
      <c r="O42" s="474"/>
      <c r="P42" s="474"/>
      <c r="Q42" s="474"/>
      <c r="R42" s="474"/>
      <c r="S42" s="474"/>
      <c r="T42" s="474"/>
      <c r="U42" s="474"/>
      <c r="V42" s="474"/>
      <c r="W42" s="474"/>
      <c r="X42" s="474"/>
      <c r="Y42" s="474"/>
      <c r="Z42" s="474"/>
      <c r="AA42" s="474"/>
      <c r="AB42" s="474"/>
    </row>
    <row r="43" spans="1:28" ht="13">
      <c r="A43" s="553">
        <f t="shared" si="3"/>
        <v>25</v>
      </c>
      <c r="B43" s="1"/>
      <c r="C43" s="467" t="s">
        <v>1457</v>
      </c>
      <c r="D43" s="467"/>
      <c r="E43" s="467"/>
      <c r="F43" s="467"/>
      <c r="G43" s="467"/>
      <c r="H43" s="467"/>
      <c r="I43" s="467" t="s">
        <v>1607</v>
      </c>
      <c r="J43" s="471" t="str">
        <f>"5-ROR-2, Line "&amp;'5-ROR-2'!A24&amp;""</f>
        <v>5-ROR-2, Line 8</v>
      </c>
      <c r="K43" s="467"/>
      <c r="L43" s="474">
        <f>'5-ROR-2'!C24</f>
        <v>-2604739.0815384616</v>
      </c>
      <c r="N43" s="553"/>
      <c r="O43" s="474"/>
      <c r="P43" s="474"/>
      <c r="Q43" s="474"/>
      <c r="R43" s="474"/>
      <c r="S43" s="474"/>
      <c r="T43" s="474"/>
      <c r="U43" s="474"/>
      <c r="V43" s="474"/>
      <c r="W43" s="474"/>
      <c r="X43" s="474"/>
      <c r="Y43" s="474"/>
      <c r="Z43" s="474"/>
      <c r="AA43" s="474"/>
      <c r="AB43" s="474"/>
    </row>
    <row r="44" spans="1:28" ht="13">
      <c r="A44" s="553">
        <f t="shared" si="3"/>
        <v>26</v>
      </c>
      <c r="B44" s="1"/>
      <c r="C44" s="467" t="s">
        <v>1458</v>
      </c>
      <c r="D44" s="467"/>
      <c r="E44" s="467"/>
      <c r="F44" s="467"/>
      <c r="G44" s="467"/>
      <c r="H44" s="467"/>
      <c r="I44" s="467" t="s">
        <v>1607</v>
      </c>
      <c r="J44" s="471" t="str">
        <f>"5-ROR-2, Line "&amp;'5-ROR-2'!A26&amp;""</f>
        <v>5-ROR-2, Line 9</v>
      </c>
      <c r="K44" s="467"/>
      <c r="L44" s="474">
        <f>'5-ROR-2'!C26</f>
        <v>-25818107.696923077</v>
      </c>
      <c r="N44" s="553"/>
      <c r="O44" s="474"/>
      <c r="P44" s="474"/>
      <c r="Q44" s="474"/>
      <c r="R44" s="474"/>
      <c r="S44" s="474"/>
      <c r="T44" s="474"/>
      <c r="U44" s="474"/>
      <c r="V44" s="474"/>
      <c r="W44" s="474"/>
      <c r="X44" s="474"/>
      <c r="Y44" s="474"/>
      <c r="Z44" s="474"/>
      <c r="AA44" s="474"/>
      <c r="AB44" s="474"/>
    </row>
    <row r="45" spans="1:28" ht="13">
      <c r="A45" s="553">
        <f>A44+1</f>
        <v>27</v>
      </c>
      <c r="B45" s="1"/>
      <c r="C45" s="467" t="s">
        <v>44</v>
      </c>
      <c r="D45" s="467"/>
      <c r="E45" s="467"/>
      <c r="F45" s="467"/>
      <c r="G45" s="467"/>
      <c r="H45" s="467"/>
      <c r="I45" s="467"/>
      <c r="J45" s="471" t="str">
        <f>"Sum of Lines "&amp;A40&amp;" to "&amp;A44&amp;""</f>
        <v>Sum of Lines 22 to 26</v>
      </c>
      <c r="K45" s="467"/>
      <c r="L45" s="1258">
        <f>SUM(L40:L44)</f>
        <v>13448514639.555696</v>
      </c>
    </row>
    <row r="46" spans="1:28" ht="13">
      <c r="A46" s="553"/>
      <c r="B46" s="1"/>
      <c r="C46" s="467"/>
      <c r="D46" s="467"/>
      <c r="E46" s="467"/>
      <c r="F46" s="467"/>
      <c r="G46" s="467"/>
      <c r="H46" s="467"/>
      <c r="I46" s="467"/>
      <c r="J46" s="471"/>
      <c r="K46" s="467"/>
      <c r="L46" s="1456"/>
    </row>
    <row r="47" spans="1:28" ht="13">
      <c r="B47" s="51" t="s">
        <v>230</v>
      </c>
      <c r="C47" s="467"/>
      <c r="D47" s="467"/>
      <c r="E47" s="467"/>
      <c r="F47" s="467"/>
      <c r="G47" s="467"/>
      <c r="H47" s="467"/>
      <c r="I47" s="467"/>
      <c r="J47" s="467"/>
      <c r="K47" s="467"/>
      <c r="L47" s="467"/>
    </row>
    <row r="48" spans="1:28">
      <c r="B48" s="467" t="s">
        <v>2875</v>
      </c>
      <c r="J48" s="467"/>
    </row>
    <row r="49" spans="2:2">
      <c r="B49" s="467" t="s">
        <v>2876</v>
      </c>
    </row>
    <row r="50" spans="2:2">
      <c r="B50" s="482" t="str">
        <f>"3) Negative of Line "&amp;A28&amp;""&amp;", charge to common equity reversed for ratemaking."</f>
        <v>3) Negative of Line 15, charge to common equity reversed for ratemaking.</v>
      </c>
    </row>
    <row r="51" spans="2:2">
      <c r="B51" s="467"/>
    </row>
    <row r="52" spans="2:2">
      <c r="B52" s="471"/>
    </row>
    <row r="53" spans="2:2">
      <c r="B53" s="467"/>
    </row>
    <row r="54" spans="2:2">
      <c r="B54" s="471"/>
    </row>
  </sheetData>
  <pageMargins left="0.7" right="0.7" top="0.75" bottom="0.75" header="0.3" footer="0.3"/>
  <pageSetup scale="55" orientation="landscape" r:id="rId1"/>
  <headerFooter>
    <oddHeader>&amp;CSchedule 5 ROR-1
Return and Capitalization&amp;RTO2021 Draft Annual Update 
Attachment 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68"/>
  <sheetViews>
    <sheetView zoomScaleNormal="100" zoomScalePageLayoutView="80" workbookViewId="0">
      <selection activeCell="A6" sqref="A6"/>
    </sheetView>
  </sheetViews>
  <sheetFormatPr defaultColWidth="8.54296875" defaultRowHeight="12.5"/>
  <cols>
    <col min="1" max="1" width="4.54296875" style="972" customWidth="1"/>
    <col min="2" max="2" width="6.453125" style="972" customWidth="1"/>
    <col min="3" max="3" width="15.54296875" style="972" customWidth="1"/>
    <col min="4" max="4" width="16.453125" style="972" customWidth="1"/>
    <col min="5" max="15" width="14.54296875" style="972" customWidth="1"/>
    <col min="16" max="16" width="15.453125" style="972" bestFit="1" customWidth="1"/>
    <col min="17" max="16384" width="8.54296875" style="972"/>
  </cols>
  <sheetData>
    <row r="1" spans="1:17" ht="13">
      <c r="A1" s="1" t="s">
        <v>1627</v>
      </c>
      <c r="B1" s="1"/>
    </row>
    <row r="2" spans="1:17" ht="13">
      <c r="A2" s="553" t="s">
        <v>2165</v>
      </c>
      <c r="B2" s="1007">
        <v>2019</v>
      </c>
      <c r="D2" s="68" t="s">
        <v>2537</v>
      </c>
      <c r="E2" s="515" t="s">
        <v>2662</v>
      </c>
      <c r="F2" s="375"/>
    </row>
    <row r="3" spans="1:17" ht="13">
      <c r="C3" s="84" t="s">
        <v>358</v>
      </c>
      <c r="D3" s="84" t="s">
        <v>342</v>
      </c>
      <c r="E3" s="84" t="s">
        <v>343</v>
      </c>
      <c r="F3" s="84" t="s">
        <v>344</v>
      </c>
      <c r="G3" s="84" t="s">
        <v>345</v>
      </c>
      <c r="H3" s="84" t="s">
        <v>346</v>
      </c>
      <c r="I3" s="84" t="s">
        <v>347</v>
      </c>
      <c r="J3" s="84" t="s">
        <v>534</v>
      </c>
      <c r="K3" s="84" t="s">
        <v>951</v>
      </c>
      <c r="L3" s="84" t="s">
        <v>963</v>
      </c>
      <c r="M3" s="84" t="s">
        <v>966</v>
      </c>
      <c r="N3" s="84" t="s">
        <v>984</v>
      </c>
      <c r="O3" s="84" t="s">
        <v>1461</v>
      </c>
      <c r="P3" s="84" t="s">
        <v>1462</v>
      </c>
    </row>
    <row r="4" spans="1:17" ht="13">
      <c r="A4" s="3" t="s">
        <v>319</v>
      </c>
      <c r="B4" s="3" t="s">
        <v>1628</v>
      </c>
      <c r="C4" s="37" t="s">
        <v>10</v>
      </c>
      <c r="D4" s="483" t="s">
        <v>180</v>
      </c>
      <c r="E4" s="476" t="s">
        <v>181</v>
      </c>
      <c r="F4" s="476" t="s">
        <v>182</v>
      </c>
      <c r="G4" s="476" t="s">
        <v>195</v>
      </c>
      <c r="H4" s="476" t="s">
        <v>183</v>
      </c>
      <c r="I4" s="476" t="s">
        <v>184</v>
      </c>
      <c r="J4" s="476" t="s">
        <v>1460</v>
      </c>
      <c r="K4" s="476" t="s">
        <v>186</v>
      </c>
      <c r="L4" s="476" t="s">
        <v>187</v>
      </c>
      <c r="M4" s="476" t="s">
        <v>188</v>
      </c>
      <c r="N4" s="476" t="s">
        <v>191</v>
      </c>
      <c r="O4" s="476" t="s">
        <v>190</v>
      </c>
      <c r="P4" s="476" t="s">
        <v>180</v>
      </c>
    </row>
    <row r="5" spans="1:17" ht="13">
      <c r="A5" s="3"/>
      <c r="B5" s="3"/>
      <c r="C5" s="476" t="s">
        <v>2166</v>
      </c>
      <c r="D5" s="483"/>
      <c r="E5" s="476"/>
      <c r="F5" s="476"/>
      <c r="G5" s="476"/>
      <c r="H5" s="476"/>
      <c r="I5" s="476"/>
      <c r="J5" s="476"/>
      <c r="K5" s="476"/>
      <c r="L5" s="476"/>
      <c r="M5" s="476"/>
      <c r="N5" s="476"/>
      <c r="O5" s="476"/>
      <c r="P5" s="476"/>
    </row>
    <row r="6" spans="1:17" ht="13">
      <c r="A6" s="53"/>
      <c r="B6" s="53"/>
      <c r="C6" s="37"/>
      <c r="D6" s="483"/>
      <c r="E6" s="476"/>
      <c r="F6" s="476"/>
      <c r="G6" s="476"/>
      <c r="H6" s="476"/>
      <c r="I6" s="476"/>
      <c r="J6" s="476"/>
      <c r="K6" s="476"/>
      <c r="L6" s="476"/>
      <c r="M6" s="476"/>
      <c r="N6" s="476"/>
      <c r="O6" s="476"/>
      <c r="P6" s="476"/>
    </row>
    <row r="7" spans="1:17" ht="13">
      <c r="B7" s="1" t="s">
        <v>1629</v>
      </c>
      <c r="D7" s="483"/>
      <c r="E7" s="476"/>
      <c r="F7" s="476"/>
      <c r="G7" s="476"/>
      <c r="H7" s="476"/>
      <c r="I7" s="476"/>
      <c r="J7" s="476"/>
      <c r="K7" s="476"/>
      <c r="L7" s="476"/>
      <c r="M7" s="476"/>
      <c r="N7" s="476"/>
      <c r="O7" s="476"/>
      <c r="P7" s="476"/>
    </row>
    <row r="8" spans="1:17" ht="13">
      <c r="A8" s="553">
        <v>1</v>
      </c>
      <c r="B8" s="553"/>
      <c r="C8" s="474">
        <f>SUM(D8:P8)/13</f>
        <v>14061240659.305387</v>
      </c>
      <c r="D8" s="996">
        <v>12801899999.969999</v>
      </c>
      <c r="E8" s="996">
        <v>12801899999.969999</v>
      </c>
      <c r="F8" s="996">
        <v>12762614285.68</v>
      </c>
      <c r="G8" s="996">
        <v>13862614285.68</v>
      </c>
      <c r="H8" s="996">
        <v>13862614285.68</v>
      </c>
      <c r="I8" s="996">
        <v>13862614285.68</v>
      </c>
      <c r="J8" s="996">
        <v>13862614285.68</v>
      </c>
      <c r="K8" s="996">
        <v>13862614285.68</v>
      </c>
      <c r="L8" s="996">
        <v>15023328571.389999</v>
      </c>
      <c r="M8" s="996">
        <v>15023328571.389999</v>
      </c>
      <c r="N8" s="996">
        <v>15023328571.389999</v>
      </c>
      <c r="O8" s="996">
        <v>15023328571.389999</v>
      </c>
      <c r="P8" s="996">
        <v>15023328571.389999</v>
      </c>
      <c r="Q8" s="467"/>
    </row>
    <row r="9" spans="1:17" ht="13">
      <c r="A9" s="553"/>
      <c r="B9" s="1" t="s">
        <v>2167</v>
      </c>
      <c r="C9" s="7"/>
      <c r="D9" s="474"/>
      <c r="E9" s="474"/>
      <c r="F9" s="474"/>
      <c r="G9" s="474"/>
      <c r="H9" s="474"/>
      <c r="I9" s="474"/>
      <c r="J9" s="474"/>
      <c r="K9" s="474"/>
      <c r="L9" s="474"/>
      <c r="M9" s="474"/>
      <c r="N9" s="474"/>
      <c r="O9" s="474"/>
      <c r="P9" s="474"/>
    </row>
    <row r="10" spans="1:17" ht="13">
      <c r="A10" s="553">
        <f>A8+1</f>
        <v>2</v>
      </c>
      <c r="B10" s="553"/>
      <c r="C10" s="474">
        <f t="shared" ref="C10:C14" si="0">SUM(D10:P10)/13</f>
        <v>0</v>
      </c>
      <c r="D10" s="996">
        <v>0</v>
      </c>
      <c r="E10" s="996">
        <v>0</v>
      </c>
      <c r="F10" s="996">
        <v>0</v>
      </c>
      <c r="G10" s="996">
        <v>0</v>
      </c>
      <c r="H10" s="996">
        <v>0</v>
      </c>
      <c r="I10" s="996">
        <v>0</v>
      </c>
      <c r="J10" s="996">
        <v>0</v>
      </c>
      <c r="K10" s="996">
        <v>0</v>
      </c>
      <c r="L10" s="996">
        <v>0</v>
      </c>
      <c r="M10" s="996">
        <v>0</v>
      </c>
      <c r="N10" s="996">
        <v>0</v>
      </c>
      <c r="O10" s="996">
        <v>0</v>
      </c>
      <c r="P10" s="996">
        <v>0</v>
      </c>
      <c r="Q10" s="467"/>
    </row>
    <row r="11" spans="1:17" ht="13">
      <c r="A11" s="553"/>
      <c r="B11" s="1" t="s">
        <v>2510</v>
      </c>
      <c r="D11" s="474"/>
      <c r="E11" s="474"/>
      <c r="F11" s="474"/>
      <c r="G11" s="474"/>
      <c r="H11" s="474"/>
      <c r="I11" s="474"/>
      <c r="J11" s="474"/>
      <c r="K11" s="474"/>
      <c r="L11" s="474"/>
      <c r="M11" s="474"/>
      <c r="N11" s="474"/>
      <c r="O11" s="474"/>
      <c r="P11" s="474"/>
    </row>
    <row r="12" spans="1:17" ht="13">
      <c r="A12" s="553" t="s">
        <v>507</v>
      </c>
      <c r="B12" s="1"/>
      <c r="C12" s="474">
        <f>SUM(D12:P12)/13</f>
        <v>0</v>
      </c>
      <c r="D12" s="497">
        <v>0</v>
      </c>
      <c r="E12" s="497">
        <v>0</v>
      </c>
      <c r="F12" s="497">
        <v>0</v>
      </c>
      <c r="G12" s="497">
        <v>0</v>
      </c>
      <c r="H12" s="497">
        <v>0</v>
      </c>
      <c r="I12" s="497">
        <v>0</v>
      </c>
      <c r="J12" s="497">
        <v>0</v>
      </c>
      <c r="K12" s="497">
        <v>0</v>
      </c>
      <c r="L12" s="497">
        <v>0</v>
      </c>
      <c r="M12" s="497">
        <v>0</v>
      </c>
      <c r="N12" s="497">
        <v>0</v>
      </c>
      <c r="O12" s="497">
        <v>0</v>
      </c>
      <c r="P12" s="497">
        <v>0</v>
      </c>
      <c r="Q12" s="467"/>
    </row>
    <row r="13" spans="1:17" ht="13">
      <c r="A13" s="553"/>
      <c r="B13" s="1" t="s">
        <v>2511</v>
      </c>
      <c r="D13" s="474"/>
      <c r="E13" s="474"/>
      <c r="F13" s="474"/>
      <c r="G13" s="474"/>
      <c r="H13" s="474"/>
      <c r="I13" s="474"/>
      <c r="J13" s="474"/>
      <c r="K13" s="474"/>
      <c r="L13" s="474"/>
      <c r="M13" s="474"/>
      <c r="N13" s="474"/>
      <c r="O13" s="474"/>
      <c r="P13" s="474"/>
    </row>
    <row r="14" spans="1:17" ht="13">
      <c r="A14" s="553">
        <f>A10+1</f>
        <v>3</v>
      </c>
      <c r="B14" s="553"/>
      <c r="C14" s="474">
        <f t="shared" si="0"/>
        <v>306455395.05615389</v>
      </c>
      <c r="D14" s="996">
        <v>306490452.56999999</v>
      </c>
      <c r="E14" s="996">
        <v>306484699.54000002</v>
      </c>
      <c r="F14" s="996">
        <v>306478922.25999999</v>
      </c>
      <c r="G14" s="996">
        <v>306473120.62</v>
      </c>
      <c r="H14" s="996">
        <v>306467294.50999999</v>
      </c>
      <c r="I14" s="996">
        <v>306461443.82999998</v>
      </c>
      <c r="J14" s="996">
        <v>306455568.48000002</v>
      </c>
      <c r="K14" s="996">
        <v>306449668.36000001</v>
      </c>
      <c r="L14" s="996">
        <v>306443743.36000001</v>
      </c>
      <c r="M14" s="996">
        <v>306437793.38</v>
      </c>
      <c r="N14" s="996">
        <v>306431818.31</v>
      </c>
      <c r="O14" s="996">
        <v>306425818.04000002</v>
      </c>
      <c r="P14" s="996">
        <v>306419792.47000003</v>
      </c>
      <c r="Q14" s="467"/>
    </row>
    <row r="15" spans="1:17" ht="13">
      <c r="B15" s="1" t="s">
        <v>2862</v>
      </c>
    </row>
    <row r="16" spans="1:17" ht="13">
      <c r="A16" s="553">
        <v>4</v>
      </c>
      <c r="B16" s="553"/>
      <c r="C16" s="474">
        <f t="shared" ref="C16:C22" si="1">SUM(D16:P16)/13</f>
        <v>2245054950</v>
      </c>
      <c r="D16" s="996">
        <v>2245054950</v>
      </c>
      <c r="E16" s="996">
        <v>2245054950</v>
      </c>
      <c r="F16" s="996">
        <v>2245054950</v>
      </c>
      <c r="G16" s="996">
        <v>2245054950</v>
      </c>
      <c r="H16" s="996">
        <v>2245054950</v>
      </c>
      <c r="I16" s="996">
        <v>2245054950</v>
      </c>
      <c r="J16" s="996">
        <v>2245054950</v>
      </c>
      <c r="K16" s="996">
        <v>2245054950</v>
      </c>
      <c r="L16" s="996">
        <v>2245054950</v>
      </c>
      <c r="M16" s="996">
        <v>2245054950</v>
      </c>
      <c r="N16" s="996">
        <v>2245054950</v>
      </c>
      <c r="O16" s="996">
        <v>2245054950</v>
      </c>
      <c r="P16" s="996">
        <v>2245054950</v>
      </c>
      <c r="Q16" s="467"/>
    </row>
    <row r="17" spans="1:17" ht="13">
      <c r="A17" s="553"/>
      <c r="B17" s="1" t="s">
        <v>2863</v>
      </c>
      <c r="D17" s="474"/>
      <c r="E17" s="474"/>
      <c r="F17" s="474"/>
      <c r="G17" s="474"/>
      <c r="H17" s="474"/>
      <c r="I17" s="474"/>
      <c r="J17" s="474"/>
      <c r="K17" s="474"/>
      <c r="L17" s="474"/>
      <c r="M17" s="474"/>
      <c r="N17" s="474"/>
      <c r="O17" s="474"/>
      <c r="P17" s="474"/>
    </row>
    <row r="18" spans="1:17" ht="13">
      <c r="A18" s="553">
        <f>A16+1</f>
        <v>5</v>
      </c>
      <c r="B18" s="553"/>
      <c r="C18" s="474">
        <f t="shared" si="1"/>
        <v>-35163418.50555554</v>
      </c>
      <c r="D18" s="497">
        <v>-36870625.247222207</v>
      </c>
      <c r="E18" s="497">
        <v>-36586090.790277764</v>
      </c>
      <c r="F18" s="497">
        <v>-36301556.333333321</v>
      </c>
      <c r="G18" s="497">
        <v>-36017021.876388878</v>
      </c>
      <c r="H18" s="497">
        <v>-35732487.419444434</v>
      </c>
      <c r="I18" s="497">
        <v>-35447952.962499984</v>
      </c>
      <c r="J18" s="497">
        <v>-35163418.50555554</v>
      </c>
      <c r="K18" s="497">
        <v>-34878884.048611097</v>
      </c>
      <c r="L18" s="497">
        <v>-34594349.591666661</v>
      </c>
      <c r="M18" s="497">
        <v>-34309815.13472221</v>
      </c>
      <c r="N18" s="497">
        <v>-34025280.677777767</v>
      </c>
      <c r="O18" s="497">
        <v>-33740746.220833324</v>
      </c>
      <c r="P18" s="497">
        <v>-33456211.763888881</v>
      </c>
    </row>
    <row r="19" spans="1:17" ht="13">
      <c r="A19" s="553"/>
      <c r="B19" s="1" t="s">
        <v>2864</v>
      </c>
      <c r="D19" s="474"/>
      <c r="E19" s="474"/>
      <c r="F19" s="474"/>
      <c r="G19" s="474"/>
      <c r="H19" s="474"/>
      <c r="I19" s="474"/>
      <c r="J19" s="474"/>
      <c r="K19" s="474"/>
      <c r="L19" s="474"/>
      <c r="M19" s="474"/>
      <c r="N19" s="474"/>
      <c r="O19" s="474"/>
      <c r="P19" s="474"/>
    </row>
    <row r="20" spans="1:17" ht="13">
      <c r="A20" s="553">
        <f>A18+1</f>
        <v>6</v>
      </c>
      <c r="B20" s="553"/>
      <c r="C20" s="474">
        <f t="shared" si="1"/>
        <v>-17823980.290312503</v>
      </c>
      <c r="D20" s="996">
        <v>-18337973.014893901</v>
      </c>
      <c r="E20" s="497">
        <v>-18252334.578202222</v>
      </c>
      <c r="F20" s="497">
        <v>-18166696.141510591</v>
      </c>
      <c r="G20" s="497">
        <v>-18081057.70481896</v>
      </c>
      <c r="H20" s="497">
        <v>-17995419.268127326</v>
      </c>
      <c r="I20" s="497">
        <v>-17909780.831435699</v>
      </c>
      <c r="J20" s="497">
        <v>-17824142.394744068</v>
      </c>
      <c r="K20" s="497">
        <v>-17738503.958052438</v>
      </c>
      <c r="L20" s="497">
        <v>-17652865.521360807</v>
      </c>
      <c r="M20" s="497">
        <v>-17567227.079999998</v>
      </c>
      <c r="N20" s="497">
        <v>-17481588.647977501</v>
      </c>
      <c r="O20" s="497">
        <v>-17395247.760305524</v>
      </c>
      <c r="P20" s="497">
        <v>-17308906.872633502</v>
      </c>
    </row>
    <row r="21" spans="1:17" ht="13">
      <c r="B21" s="1" t="s">
        <v>2865</v>
      </c>
    </row>
    <row r="22" spans="1:17" ht="13">
      <c r="A22" s="553">
        <v>7</v>
      </c>
      <c r="B22" s="553"/>
      <c r="C22" s="474">
        <f t="shared" si="1"/>
        <v>15704168456.043846</v>
      </c>
      <c r="D22" s="996">
        <v>13785814465</v>
      </c>
      <c r="E22" s="497">
        <v>13895712474.389999</v>
      </c>
      <c r="F22" s="497">
        <v>13767842252.379999</v>
      </c>
      <c r="G22" s="497">
        <v>13870286066.51</v>
      </c>
      <c r="H22" s="497">
        <v>14697239347.15</v>
      </c>
      <c r="I22" s="497">
        <v>14816789369.77</v>
      </c>
      <c r="J22" s="497">
        <v>15492646758.120001</v>
      </c>
      <c r="K22" s="497">
        <v>15638828771.209999</v>
      </c>
      <c r="L22" s="497">
        <v>17040370051.540001</v>
      </c>
      <c r="M22" s="497">
        <v>17645554361.889999</v>
      </c>
      <c r="N22" s="497">
        <v>17790078831.189999</v>
      </c>
      <c r="O22" s="497">
        <v>17885756771.27</v>
      </c>
      <c r="P22" s="497">
        <v>17827270408.150002</v>
      </c>
      <c r="Q22" s="467"/>
    </row>
    <row r="23" spans="1:17" ht="13">
      <c r="A23" s="553"/>
      <c r="B23" s="1" t="s">
        <v>2866</v>
      </c>
      <c r="D23" s="474"/>
      <c r="E23" s="474"/>
      <c r="F23" s="474"/>
      <c r="G23" s="474"/>
      <c r="H23" s="474"/>
      <c r="I23" s="474"/>
      <c r="J23" s="474"/>
      <c r="K23" s="474"/>
      <c r="L23" s="474"/>
      <c r="M23" s="474"/>
      <c r="N23" s="474"/>
      <c r="O23" s="474"/>
      <c r="P23" s="474"/>
    </row>
    <row r="24" spans="1:17" ht="13">
      <c r="A24" s="553">
        <v>8</v>
      </c>
      <c r="B24" s="553"/>
      <c r="C24" s="474">
        <f t="shared" ref="C24:C26" si="2">SUM(D24:P24)/13</f>
        <v>-2604739.0815384616</v>
      </c>
      <c r="D24" s="996">
        <v>-2604107.71</v>
      </c>
      <c r="E24" s="996">
        <v>-2604255.75</v>
      </c>
      <c r="F24" s="996">
        <v>-2604255.75</v>
      </c>
      <c r="G24" s="996">
        <v>-2604255.75</v>
      </c>
      <c r="H24" s="996">
        <v>-2604255.75</v>
      </c>
      <c r="I24" s="996">
        <v>-2604353.25</v>
      </c>
      <c r="J24" s="996">
        <v>-2605065.75</v>
      </c>
      <c r="K24" s="996">
        <v>-2605065.75</v>
      </c>
      <c r="L24" s="996">
        <v>-2605206</v>
      </c>
      <c r="M24" s="996">
        <v>-2605206</v>
      </c>
      <c r="N24" s="996">
        <v>-2605206</v>
      </c>
      <c r="O24" s="996">
        <v>-2605206</v>
      </c>
      <c r="P24" s="996">
        <v>-2605168.6</v>
      </c>
      <c r="Q24" s="467"/>
    </row>
    <row r="25" spans="1:17" ht="13">
      <c r="A25" s="553"/>
      <c r="B25" s="1" t="s">
        <v>2867</v>
      </c>
      <c r="D25" s="474"/>
      <c r="E25" s="474"/>
      <c r="F25" s="474"/>
      <c r="G25" s="474"/>
      <c r="H25" s="474"/>
      <c r="I25" s="474"/>
      <c r="J25" s="474"/>
      <c r="K25" s="474"/>
      <c r="L25" s="474"/>
      <c r="M25" s="474"/>
      <c r="N25" s="474"/>
      <c r="O25" s="474"/>
      <c r="P25" s="474"/>
    </row>
    <row r="26" spans="1:17" ht="13">
      <c r="A26" s="553">
        <f>A24+1</f>
        <v>9</v>
      </c>
      <c r="B26" s="553"/>
      <c r="C26" s="474">
        <f t="shared" si="2"/>
        <v>-25818107.696923077</v>
      </c>
      <c r="D26" s="996">
        <v>-22574194.449999999</v>
      </c>
      <c r="E26" s="996">
        <v>-22115036.120000001</v>
      </c>
      <c r="F26" s="996">
        <v>-26679120.789999999</v>
      </c>
      <c r="G26" s="996">
        <v>-26605429.539999999</v>
      </c>
      <c r="H26" s="996">
        <v>-26146271.210000001</v>
      </c>
      <c r="I26" s="996">
        <v>-25687112.879999999</v>
      </c>
      <c r="J26" s="996">
        <v>-25613421.649999999</v>
      </c>
      <c r="K26" s="996">
        <v>-25154263.32</v>
      </c>
      <c r="L26" s="996">
        <v>-24695104.989999998</v>
      </c>
      <c r="M26" s="996">
        <v>-24621413.75</v>
      </c>
      <c r="N26" s="996">
        <v>-24162255.420000002</v>
      </c>
      <c r="O26" s="996">
        <v>-23351570.789999999</v>
      </c>
      <c r="P26" s="996">
        <v>-38230205.149999999</v>
      </c>
      <c r="Q26" s="467"/>
    </row>
    <row r="27" spans="1:17" ht="13">
      <c r="A27" s="553"/>
      <c r="B27" s="553"/>
      <c r="C27" s="474"/>
      <c r="D27" s="474"/>
      <c r="E27" s="474"/>
      <c r="F27" s="474"/>
      <c r="G27" s="474"/>
      <c r="H27" s="474"/>
      <c r="I27" s="474"/>
      <c r="J27" s="474"/>
      <c r="K27" s="474"/>
      <c r="L27" s="474"/>
      <c r="M27" s="474"/>
      <c r="N27" s="474"/>
      <c r="O27" s="474"/>
      <c r="P27" s="474"/>
    </row>
    <row r="28" spans="1:17" ht="13">
      <c r="A28" s="553"/>
      <c r="B28" s="51" t="s">
        <v>377</v>
      </c>
      <c r="C28" s="474"/>
      <c r="D28" s="474"/>
      <c r="E28" s="474"/>
      <c r="F28" s="474"/>
      <c r="G28" s="474"/>
      <c r="H28" s="474"/>
      <c r="I28" s="474"/>
      <c r="J28" s="474"/>
      <c r="K28" s="474"/>
      <c r="L28" s="474"/>
      <c r="M28" s="474"/>
      <c r="N28" s="474"/>
      <c r="O28" s="474"/>
      <c r="P28" s="474"/>
    </row>
    <row r="29" spans="1:17" ht="13">
      <c r="A29" s="553"/>
      <c r="B29" s="467" t="s">
        <v>1630</v>
      </c>
      <c r="C29" s="474"/>
      <c r="D29" s="474"/>
      <c r="E29" s="474"/>
      <c r="F29" s="474"/>
      <c r="G29" s="474"/>
      <c r="H29" s="474"/>
      <c r="I29" s="474"/>
      <c r="J29" s="474"/>
      <c r="K29" s="474"/>
      <c r="L29" s="474"/>
      <c r="M29" s="474"/>
      <c r="N29" s="474"/>
      <c r="O29" s="474"/>
      <c r="P29" s="474"/>
    </row>
    <row r="30" spans="1:17" ht="13">
      <c r="A30" s="553"/>
      <c r="B30" s="471" t="s">
        <v>1640</v>
      </c>
      <c r="C30" s="474"/>
      <c r="D30" s="474"/>
      <c r="E30" s="474"/>
      <c r="F30" s="474"/>
      <c r="G30" s="474"/>
      <c r="H30" s="474"/>
      <c r="I30" s="474"/>
      <c r="J30" s="474"/>
      <c r="K30" s="474"/>
      <c r="L30" s="474"/>
      <c r="M30" s="474"/>
      <c r="N30" s="474"/>
      <c r="O30" s="474"/>
      <c r="P30" s="474"/>
    </row>
    <row r="31" spans="1:17">
      <c r="B31" s="467" t="s">
        <v>2874</v>
      </c>
    </row>
    <row r="32" spans="1:17">
      <c r="B32" s="471"/>
    </row>
    <row r="33" spans="2:13" ht="13">
      <c r="B33" s="51" t="s">
        <v>230</v>
      </c>
    </row>
    <row r="34" spans="2:13">
      <c r="B34" s="467" t="s">
        <v>1747</v>
      </c>
    </row>
    <row r="35" spans="2:13">
      <c r="B35" s="467" t="s">
        <v>1748</v>
      </c>
    </row>
    <row r="36" spans="2:13">
      <c r="B36" s="467" t="s">
        <v>2512</v>
      </c>
    </row>
    <row r="37" spans="2:13">
      <c r="B37" s="467" t="s">
        <v>2513</v>
      </c>
    </row>
    <row r="38" spans="2:13">
      <c r="B38" s="467" t="s">
        <v>2868</v>
      </c>
    </row>
    <row r="39" spans="2:13">
      <c r="B39" s="467" t="s">
        <v>2869</v>
      </c>
    </row>
    <row r="40" spans="2:13">
      <c r="B40" s="471" t="s">
        <v>2514</v>
      </c>
    </row>
    <row r="41" spans="2:13" ht="13">
      <c r="H41" s="553" t="s">
        <v>2515</v>
      </c>
    </row>
    <row r="42" spans="2:13" ht="13">
      <c r="C42" s="553"/>
      <c r="E42" s="553" t="s">
        <v>2516</v>
      </c>
      <c r="F42" s="553" t="s">
        <v>2517</v>
      </c>
      <c r="G42" s="553" t="s">
        <v>2517</v>
      </c>
      <c r="H42" s="553" t="s">
        <v>199</v>
      </c>
      <c r="I42" s="553" t="s">
        <v>1335</v>
      </c>
    </row>
    <row r="43" spans="2:13" ht="13">
      <c r="C43" s="3" t="s">
        <v>2518</v>
      </c>
      <c r="E43" s="3" t="s">
        <v>175</v>
      </c>
      <c r="F43" s="3" t="s">
        <v>2519</v>
      </c>
      <c r="G43" s="3" t="s">
        <v>2520</v>
      </c>
      <c r="H43" s="84" t="s">
        <v>2521</v>
      </c>
      <c r="I43" s="3" t="s">
        <v>2515</v>
      </c>
      <c r="J43" s="3" t="s">
        <v>168</v>
      </c>
    </row>
    <row r="44" spans="2:13">
      <c r="C44" s="1397" t="s">
        <v>2804</v>
      </c>
      <c r="D44" s="946"/>
      <c r="E44" s="995">
        <f>350000*1000</f>
        <v>350000000</v>
      </c>
      <c r="F44" s="1260">
        <v>40925</v>
      </c>
      <c r="G44" s="995">
        <v>1241101.87499999</v>
      </c>
      <c r="H44" s="1063">
        <v>10</v>
      </c>
      <c r="I44" s="1393">
        <v>595728.9</v>
      </c>
      <c r="J44" s="97"/>
      <c r="K44" s="97"/>
      <c r="L44" s="97"/>
      <c r="M44" s="97"/>
    </row>
    <row r="45" spans="2:13">
      <c r="C45" s="1397" t="s">
        <v>2805</v>
      </c>
      <c r="D45" s="946"/>
      <c r="E45" s="995">
        <v>400000000</v>
      </c>
      <c r="F45" s="1260">
        <v>41303</v>
      </c>
      <c r="G45" s="995">
        <v>9981454.1638888698</v>
      </c>
      <c r="H45" s="1063">
        <v>30</v>
      </c>
      <c r="I45" s="1393">
        <v>432409.566666667</v>
      </c>
      <c r="J45" s="97"/>
      <c r="K45" s="97"/>
      <c r="L45" s="97"/>
      <c r="M45" s="97"/>
    </row>
    <row r="46" spans="2:13">
      <c r="C46" s="1398" t="s">
        <v>2806</v>
      </c>
      <c r="D46" s="946"/>
      <c r="E46" s="995">
        <v>275000000</v>
      </c>
      <c r="F46" s="1260">
        <v>41704</v>
      </c>
      <c r="G46" s="995">
        <v>2665752.1499999901</v>
      </c>
      <c r="H46" s="1063">
        <v>10</v>
      </c>
      <c r="I46" s="1393">
        <v>627235.80000000005</v>
      </c>
      <c r="J46" s="97"/>
      <c r="K46" s="97"/>
      <c r="L46" s="97"/>
      <c r="M46" s="97"/>
    </row>
    <row r="47" spans="2:13">
      <c r="C47" s="1399" t="s">
        <v>2807</v>
      </c>
      <c r="D47" s="1261"/>
      <c r="E47" s="995">
        <v>325000000</v>
      </c>
      <c r="F47" s="1260">
        <v>42240</v>
      </c>
      <c r="G47" s="995">
        <v>3637760.86666667</v>
      </c>
      <c r="H47" s="1063">
        <v>10</v>
      </c>
      <c r="I47" s="1393">
        <v>641957.80000000005</v>
      </c>
      <c r="J47" s="97"/>
      <c r="K47" s="97"/>
      <c r="L47" s="97"/>
      <c r="M47" s="97"/>
    </row>
    <row r="48" spans="2:13">
      <c r="C48" s="1399" t="s">
        <v>2808</v>
      </c>
      <c r="D48" s="1261"/>
      <c r="E48" s="995">
        <v>300000000</v>
      </c>
      <c r="F48" s="1260">
        <v>42437</v>
      </c>
      <c r="G48" s="995">
        <v>4349881.2500000102</v>
      </c>
      <c r="H48" s="1063">
        <v>10</v>
      </c>
      <c r="I48" s="1393">
        <v>695981</v>
      </c>
      <c r="J48" s="978"/>
      <c r="K48" s="97"/>
      <c r="L48" s="97"/>
      <c r="M48" s="97"/>
    </row>
    <row r="49" spans="2:14">
      <c r="C49" s="1400" t="s">
        <v>2809</v>
      </c>
      <c r="D49" s="1261"/>
      <c r="E49" s="995">
        <v>475000000</v>
      </c>
      <c r="F49" s="1260">
        <v>42912</v>
      </c>
      <c r="G49" s="497">
        <v>11580261.4583333</v>
      </c>
      <c r="H49" s="1063">
        <v>30</v>
      </c>
      <c r="I49" s="1394">
        <v>426687.33333333302</v>
      </c>
      <c r="J49" s="516" t="s">
        <v>2810</v>
      </c>
      <c r="K49" s="97"/>
      <c r="L49" s="97"/>
      <c r="M49" s="97"/>
    </row>
    <row r="50" spans="2:14">
      <c r="C50" s="482"/>
      <c r="D50" s="482"/>
      <c r="I50" s="7">
        <f>SUM(I44:I49)</f>
        <v>3420000.4000000004</v>
      </c>
      <c r="J50" s="467" t="s">
        <v>2522</v>
      </c>
    </row>
    <row r="51" spans="2:14">
      <c r="B51" s="467" t="s">
        <v>2870</v>
      </c>
    </row>
    <row r="52" spans="2:14">
      <c r="B52" s="471" t="s">
        <v>2523</v>
      </c>
    </row>
    <row r="53" spans="2:14" ht="13">
      <c r="G53" s="553" t="s">
        <v>2515</v>
      </c>
    </row>
    <row r="54" spans="2:14" ht="13">
      <c r="C54" s="553"/>
      <c r="E54" s="553" t="s">
        <v>2524</v>
      </c>
      <c r="F54" s="553" t="s">
        <v>2515</v>
      </c>
      <c r="G54" s="553" t="s">
        <v>199</v>
      </c>
      <c r="H54" s="553" t="s">
        <v>1335</v>
      </c>
      <c r="I54" s="553"/>
    </row>
    <row r="55" spans="2:14" ht="13">
      <c r="C55" s="3" t="s">
        <v>2525</v>
      </c>
      <c r="E55" s="3" t="s">
        <v>2519</v>
      </c>
      <c r="F55" s="3" t="s">
        <v>175</v>
      </c>
      <c r="G55" s="84" t="s">
        <v>2521</v>
      </c>
      <c r="H55" s="3" t="s">
        <v>2515</v>
      </c>
      <c r="I55" s="3" t="s">
        <v>168</v>
      </c>
    </row>
    <row r="56" spans="2:14" ht="13">
      <c r="C56" s="1398" t="s">
        <v>2811</v>
      </c>
      <c r="D56" s="1395"/>
      <c r="E56" s="1260">
        <v>31444</v>
      </c>
      <c r="F56" s="995">
        <v>15312.5</v>
      </c>
      <c r="G56" s="1063">
        <v>34</v>
      </c>
      <c r="H56" s="1394">
        <v>183750</v>
      </c>
      <c r="I56" s="1396"/>
      <c r="J56" s="97"/>
      <c r="K56" s="97"/>
      <c r="L56" s="97"/>
      <c r="M56" s="97"/>
      <c r="N56" s="97"/>
    </row>
    <row r="57" spans="2:14" ht="13">
      <c r="C57" s="1398" t="s">
        <v>2811</v>
      </c>
      <c r="D57" s="1395"/>
      <c r="E57" s="1260">
        <v>31444</v>
      </c>
      <c r="F57" s="995">
        <v>2512.25490196077</v>
      </c>
      <c r="G57" s="1063">
        <v>34</v>
      </c>
      <c r="H57" s="1394">
        <v>30147.058823529402</v>
      </c>
      <c r="I57" s="1396"/>
      <c r="J57" s="97"/>
      <c r="K57" s="97"/>
      <c r="L57" s="97"/>
      <c r="M57" s="97"/>
      <c r="N57" s="97"/>
    </row>
    <row r="58" spans="2:14" ht="13">
      <c r="C58" s="1398" t="s">
        <v>2812</v>
      </c>
      <c r="D58" s="1395"/>
      <c r="E58" s="1260">
        <v>41333</v>
      </c>
      <c r="F58" s="995">
        <v>1997237.70165123</v>
      </c>
      <c r="G58" s="1063">
        <v>30</v>
      </c>
      <c r="H58" s="1394">
        <v>86211.699351851697</v>
      </c>
      <c r="I58" s="1396" t="s">
        <v>2813</v>
      </c>
      <c r="J58" s="1396"/>
      <c r="K58" s="1396"/>
      <c r="L58" s="97"/>
      <c r="M58" s="97"/>
      <c r="N58" s="97"/>
    </row>
    <row r="59" spans="2:14" ht="13">
      <c r="C59" s="1398" t="s">
        <v>2814</v>
      </c>
      <c r="D59" s="1395"/>
      <c r="E59" s="1260">
        <v>41333</v>
      </c>
      <c r="F59" s="995">
        <v>2229302.0563271702</v>
      </c>
      <c r="G59" s="1063">
        <v>30</v>
      </c>
      <c r="H59" s="1394">
        <v>96228.865740741297</v>
      </c>
      <c r="I59" s="1396" t="s">
        <v>2813</v>
      </c>
      <c r="J59" s="1396"/>
      <c r="K59" s="1396"/>
      <c r="L59" s="97"/>
      <c r="M59" s="97"/>
      <c r="N59" s="97"/>
    </row>
    <row r="60" spans="2:14" ht="13">
      <c r="C60" s="1398" t="s">
        <v>2815</v>
      </c>
      <c r="D60" s="1395"/>
      <c r="E60" s="1260">
        <v>42460</v>
      </c>
      <c r="F60" s="995">
        <v>1342376.56250001</v>
      </c>
      <c r="G60" s="1063">
        <v>10</v>
      </c>
      <c r="H60" s="1394">
        <v>214780.25000000099</v>
      </c>
      <c r="I60" s="1396" t="s">
        <v>2816</v>
      </c>
      <c r="J60" s="1396"/>
      <c r="K60" s="1396"/>
      <c r="L60" s="97"/>
      <c r="M60" s="97"/>
      <c r="N60" s="97"/>
    </row>
    <row r="61" spans="2:14" ht="13">
      <c r="C61" s="1398" t="s">
        <v>2817</v>
      </c>
      <c r="D61" s="1395"/>
      <c r="E61" s="1260">
        <v>42935</v>
      </c>
      <c r="F61" s="995">
        <v>11722165.7972531</v>
      </c>
      <c r="G61" s="1063">
        <v>30</v>
      </c>
      <c r="H61" s="1394">
        <v>424972.77814815001</v>
      </c>
      <c r="I61" s="1463"/>
      <c r="J61" s="1463"/>
      <c r="K61" s="1463"/>
      <c r="L61" s="97"/>
      <c r="M61" s="97"/>
      <c r="N61" s="97"/>
    </row>
    <row r="62" spans="2:14">
      <c r="C62" s="946"/>
      <c r="D62" s="946"/>
      <c r="E62" s="1262"/>
      <c r="F62" s="497"/>
      <c r="G62" s="1063"/>
      <c r="H62" s="497"/>
      <c r="I62" s="978"/>
      <c r="J62" s="978"/>
      <c r="K62" s="97"/>
      <c r="L62" s="97"/>
      <c r="M62" s="97"/>
      <c r="N62" s="97"/>
    </row>
    <row r="63" spans="2:14">
      <c r="C63" s="946"/>
      <c r="D63" s="946"/>
      <c r="E63" s="1262"/>
      <c r="F63" s="497"/>
      <c r="G63" s="1063"/>
      <c r="H63" s="497"/>
      <c r="I63" s="978"/>
      <c r="J63" s="978"/>
      <c r="K63" s="97"/>
      <c r="L63" s="97"/>
      <c r="M63" s="97"/>
      <c r="N63" s="97"/>
    </row>
    <row r="64" spans="2:14">
      <c r="C64" s="482"/>
      <c r="D64" s="482"/>
      <c r="H64" s="7">
        <f>SUM(H56:H63)</f>
        <v>1036090.6520642734</v>
      </c>
      <c r="I64" s="467" t="s">
        <v>2526</v>
      </c>
    </row>
    <row r="66" spans="2:2">
      <c r="B66" s="467" t="s">
        <v>2871</v>
      </c>
    </row>
    <row r="67" spans="2:2">
      <c r="B67" s="467" t="s">
        <v>2872</v>
      </c>
    </row>
    <row r="68" spans="2:2">
      <c r="B68" s="467" t="s">
        <v>2873</v>
      </c>
    </row>
  </sheetData>
  <mergeCells count="1">
    <mergeCell ref="I61:K61"/>
  </mergeCells>
  <pageMargins left="0.7" right="0.7" top="0.75" bottom="0.75" header="0.3" footer="0.3"/>
  <pageSetup scale="54" fitToHeight="0" orientation="landscape" cellComments="asDisplayed" r:id="rId1"/>
  <headerFooter>
    <oddHeader>&amp;CSchedule 5 ROR-2
Return and Capitalization
&amp;RTO2021 Draft Annual Update 
Attachment 1</oddHeader>
    <oddFooter>&amp;R5-ROR-2</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customXsn xmlns="http://schemas.microsoft.com/office/2006/metadata/customXsn">
  <xsnLocation/>
  <cached>True</cached>
  <openByDefault>True</openByDefault>
  <xsnScope/>
</customXsn>
</file>

<file path=customXml/item4.xml><?xml version="1.0" encoding="utf-8"?>
<p:properties xmlns:p="http://schemas.microsoft.com/office/2006/metadata/properties" xmlns:xsi="http://www.w3.org/2001/XMLSchema-instance" xmlns:pc="http://schemas.microsoft.com/office/infopath/2007/PartnerControls">
  <documentManagement>
    <Document_x0020_Date xmlns="ec52a836-0bb4-4d79-aa0d-20b4805e15e2" xsi:nil="true"/>
    <Legal_x0020_Group1 xmlns="ec52a836-0bb4-4d79-aa0d-20b4805e15e2">Transmission and Wholesale Markets</Legal_x0020_Group1>
    <Clip xmlns="4a395b14-ee59-43b1-b020-0aff8b256b59" xsi:nil="true"/>
    <_dlc_DocId xmlns="ec52a836-0bb4-4d79-aa0d-20b4805e15e2">LIMSO365-1487909763-3371</_dlc_DocId>
    <_dlc_DocIdUrl xmlns="ec52a836-0bb4-4d79-aa0d-20b4805e15e2">
      <Url>https://edisonintl.sharepoint.com/teams/LIMS%20O365/TWMW/_layouts/15/DocIdRedir.aspx?ID=LIMSO365-1487909763-3371</Url>
      <Description>LIMSO365-1487909763-3371</Description>
    </_dlc_DocIdUrl>
  </documentManagement>
</p:properties>
</file>

<file path=customXml/item5.xml><?xml version="1.0" encoding="utf-8"?>
<ct:contentTypeSchema xmlns:ct="http://schemas.microsoft.com/office/2006/metadata/contentType" xmlns:ma="http://schemas.microsoft.com/office/2006/metadata/properties/metaAttributes" ct:_="" ma:_="" ma:contentTypeName="Legal Document" ma:contentTypeID="0x01010059CF184591B1604A8B5108A47612E8120085E47BF52B16274BB211D3B2DA8C37CB" ma:contentTypeVersion="73" ma:contentTypeDescription="" ma:contentTypeScope="" ma:versionID="a933c5185b0d2af71e6db68059dae87f">
  <xsd:schema xmlns:xsd="http://www.w3.org/2001/XMLSchema" xmlns:xs="http://www.w3.org/2001/XMLSchema" xmlns:p="http://schemas.microsoft.com/office/2006/metadata/properties" xmlns:ns3="ec52a836-0bb4-4d79-aa0d-20b4805e15e2" xmlns:ns4="4a395b14-ee59-43b1-b020-0aff8b256b59" xmlns:ns5="f00742b3-bbdc-40aa-80c7-4fc35bdc8024" targetNamespace="http://schemas.microsoft.com/office/2006/metadata/properties" ma:root="true" ma:fieldsID="261d5bce47047d231511220ffa4d5a78" ns3:_="" ns4:_="" ns5:_="">
    <xsd:import namespace="ec52a836-0bb4-4d79-aa0d-20b4805e15e2"/>
    <xsd:import namespace="4a395b14-ee59-43b1-b020-0aff8b256b59"/>
    <xsd:import namespace="f00742b3-bbdc-40aa-80c7-4fc35bdc8024"/>
    <xsd:element name="properties">
      <xsd:complexType>
        <xsd:sequence>
          <xsd:element name="documentManagement">
            <xsd:complexType>
              <xsd:all>
                <xsd:element ref="ns3:Document_x0020_Date" minOccurs="0"/>
                <xsd:element ref="ns4:Clip" minOccurs="0"/>
                <xsd:element ref="ns3:Legal_x0020_Group1" minOccurs="0"/>
                <xsd:element ref="ns3:SharedWithUsers" minOccurs="0"/>
                <xsd:element ref="ns3:SharedWithDetails" minOccurs="0"/>
                <xsd:element ref="ns5:LastSharedByUser" minOccurs="0"/>
                <xsd:element ref="ns5:LastSharedByTime" minOccurs="0"/>
                <xsd:element ref="ns3:_dlc_DocId" minOccurs="0"/>
                <xsd:element ref="ns3:_dlc_DocIdUrl" minOccurs="0"/>
                <xsd:element ref="ns3:_dlc_DocIdPersistId"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52a836-0bb4-4d79-aa0d-20b4805e15e2" elementFormDefault="qualified">
    <xsd:import namespace="http://schemas.microsoft.com/office/2006/documentManagement/types"/>
    <xsd:import namespace="http://schemas.microsoft.com/office/infopath/2007/PartnerControls"/>
    <xsd:element name="Document_x0020_Date" ma:index="3" nillable="true" ma:displayName="Document Date" ma:format="DateOnly" ma:internalName="Document_x0020_Date">
      <xsd:simpleType>
        <xsd:restriction base="dms:DateTime"/>
      </xsd:simpleType>
    </xsd:element>
    <xsd:element name="Legal_x0020_Group1" ma:index="6" nillable="true" ma:displayName="Legal Group" ma:default="Transmission and Wholesale Markets" ma:format="Dropdown" ma:internalName="Legal_x0020_Group1">
      <xsd:simpleType>
        <xsd:restriction base="dms:Choice">
          <xsd:enumeration value="Claims and General Litigation"/>
          <xsd:enumeration value="Commercial Litigation"/>
          <xsd:enumeration value="Contracts And Intellectual Property"/>
          <xsd:enumeration value="Base Rates and Grid Support"/>
          <xsd:enumeration value="Corporate Governance - Area"/>
          <xsd:enumeration value="Customer and Tariff"/>
          <xsd:enumeration value="Labor and Employment"/>
          <xsd:enumeration value="Licensing and Environmental"/>
          <xsd:enumeration value="Power Procurement"/>
          <xsd:enumeration value="Real Prop and Local Government"/>
          <xsd:enumeration value="Resource Policy and Planning"/>
          <xsd:enumeration value="Transmission and Wholesale Markets"/>
        </xsd:restrictio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a395b14-ee59-43b1-b020-0aff8b256b59" elementFormDefault="qualified">
    <xsd:import namespace="http://schemas.microsoft.com/office/2006/documentManagement/types"/>
    <xsd:import namespace="http://schemas.microsoft.com/office/infopath/2007/PartnerControls"/>
    <xsd:element name="Clip" ma:index="4" nillable="true" ma:displayName="Clip" ma:list="{d663fa17-8aef-42f5-b1f4-844335a181a3}" ma:internalName="Clip" ma:showField="Title">
      <xsd:simpleType>
        <xsd:restriction base="dms:Lookup"/>
      </xsd:simpleType>
    </xsd:element>
    <xsd:element name="MediaServiceMetadata" ma:index="19" nillable="true" ma:displayName="MediaServiceMetadata" ma:description="" ma:hidden="true" ma:internalName="MediaServiceMetadata" ma:readOnly="true">
      <xsd:simpleType>
        <xsd:restriction base="dms:Note"/>
      </xsd:simpleType>
    </xsd:element>
    <xsd:element name="MediaServiceFastMetadata" ma:index="20" nillable="true" ma:displayName="MediaServiceFastMetadata" ma:description=""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Location" ma:index="24" nillable="true" ma:displayName="Location" ma:internalName="MediaServiceLocation" ma:readOnly="true">
      <xsd:simpleType>
        <xsd:restriction base="dms:Text"/>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element name="MediaServiceAutoKeyPoints" ma:index="28" nillable="true" ma:displayName="MediaServiceAutoKeyPoints" ma:hidden="true" ma:internalName="MediaServiceAutoKeyPoints" ma:readOnly="true">
      <xsd:simpleType>
        <xsd:restriction base="dms:Note"/>
      </xsd:simpleType>
    </xsd:element>
    <xsd:element name="MediaServiceKeyPoints" ma:index="2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0742b3-bbdc-40aa-80c7-4fc35bdc8024" elementFormDefault="qualified">
    <xsd:import namespace="http://schemas.microsoft.com/office/2006/documentManagement/types"/>
    <xsd:import namespace="http://schemas.microsoft.com/office/infopath/2007/PartnerControls"/>
    <xsd:element name="LastSharedByUser" ma:index="14" nillable="true" ma:displayName="Last Shared By User" ma:description="" ma:internalName="LastSharedByUser" ma:readOnly="true">
      <xsd:simpleType>
        <xsd:restriction base="dms:Note">
          <xsd:maxLength value="255"/>
        </xsd:restriction>
      </xsd:simpleType>
    </xsd:element>
    <xsd:element name="LastSharedByTime" ma:index="15"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13" ma:displayName="Content Type"/>
        <xsd:element ref="dc:title" minOccurs="0" maxOccurs="1" ma:index="1" ma:displayName="Title"/>
        <xsd:element ref="dc:subject" minOccurs="0" maxOccurs="1"/>
        <xsd:element ref="dc:description" minOccurs="0" maxOccurs="1" ma:index="5" ma:displayName="Comments"/>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451B22-D90B-4D19-B8B1-AF4FE30B9EEF}">
  <ds:schemaRefs>
    <ds:schemaRef ds:uri="http://schemas.microsoft.com/sharepoint/events"/>
  </ds:schemaRefs>
</ds:datastoreItem>
</file>

<file path=customXml/itemProps2.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3.xml><?xml version="1.0" encoding="utf-8"?>
<ds:datastoreItem xmlns:ds="http://schemas.openxmlformats.org/officeDocument/2006/customXml" ds:itemID="{A2B30779-2D29-4934-A499-EBF0EF1C5590}">
  <ds:schemaRefs>
    <ds:schemaRef ds:uri="http://schemas.microsoft.com/office/2006/metadata/customXsn"/>
  </ds:schemaRefs>
</ds:datastoreItem>
</file>

<file path=customXml/itemProps4.xml><?xml version="1.0" encoding="utf-8"?>
<ds:datastoreItem xmlns:ds="http://schemas.openxmlformats.org/officeDocument/2006/customXml" ds:itemID="{18EFB732-2170-4C43-B29C-A57FFC6F81E0}">
  <ds:schemaRefs>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4a395b14-ee59-43b1-b020-0aff8b256b59"/>
    <ds:schemaRef ds:uri="f00742b3-bbdc-40aa-80c7-4fc35bdc8024"/>
    <ds:schemaRef ds:uri="ec52a836-0bb4-4d79-aa0d-20b4805e15e2"/>
    <ds:schemaRef ds:uri="http://purl.org/dc/elements/1.1/"/>
    <ds:schemaRef ds:uri="http://schemas.microsoft.com/office/2006/metadata/properties"/>
    <ds:schemaRef ds:uri="http://www.w3.org/XML/1998/namespace"/>
    <ds:schemaRef ds:uri="http://purl.org/dc/dcmitype/"/>
  </ds:schemaRefs>
</ds:datastoreItem>
</file>

<file path=customXml/itemProps5.xml><?xml version="1.0" encoding="utf-8"?>
<ds:datastoreItem xmlns:ds="http://schemas.openxmlformats.org/officeDocument/2006/customXml" ds:itemID="{46FDAEC8-8EB6-4E78-92E0-3031E31DCE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52a836-0bb4-4d79-aa0d-20b4805e15e2"/>
    <ds:schemaRef ds:uri="4a395b14-ee59-43b1-b020-0aff8b256b59"/>
    <ds:schemaRef ds:uri="f00742b3-bbdc-40aa-80c7-4fc35bdc8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42</vt:i4>
      </vt:variant>
    </vt:vector>
  </HeadingPairs>
  <TitlesOfParts>
    <vt:vector size="82"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Bert Hansen</dc:creator>
  <dc:description/>
  <cp:lastModifiedBy>Jee Kim</cp:lastModifiedBy>
  <cp:lastPrinted>2020-06-24T20:25:19Z</cp:lastPrinted>
  <dcterms:created xsi:type="dcterms:W3CDTF">2009-02-27T16:01:11Z</dcterms:created>
  <dcterms:modified xsi:type="dcterms:W3CDTF">2020-07-08T15:44:24Z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0x01010059CF184591B1604A8B5108A47612E8120085E47BF52B16274BB211D3B2DA8C37CB</vt:lpwstr>
  </property>
  <property fmtid="{D5CDD505-2E9C-101B-9397-08002B2CF9AE}" pid="3" name="_dlc_DocIdItemGuid">
    <vt:lpwstr>1abc73ce-fb89-4fa0-af00-7af4d1b86cca</vt:lpwstr>
  </property>
</Properties>
</file>