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defaultThemeVersion="124226"/>
  <mc:AlternateContent xmlns:mc="http://schemas.openxmlformats.org/markup-compatibility/2006">
    <mc:Choice Requires="x15">
      <x15ac:absPath xmlns:x15ac="http://schemas.microsoft.com/office/spreadsheetml/2010/11/ac" url="\\sce\workgroup\RPA\REG OPS\FERC-REG\FERC\FERC Contract &amp; Cost Analysis\2022 FERC Rate Case TO2022\6-Jun 15 Draft Informational Posting\Workpapers\"/>
    </mc:Choice>
  </mc:AlternateContent>
  <xr:revisionPtr revIDLastSave="0" documentId="13_ncr:1_{FE4A8EDA-D607-4A56-8A97-3CC2352B1105}" xr6:coauthVersionLast="45" xr6:coauthVersionMax="45" xr10:uidLastSave="{00000000-0000-0000-0000-000000000000}"/>
  <bookViews>
    <workbookView xWindow="28680" yWindow="-120" windowWidth="29040" windowHeight="16440" xr2:uid="{00000000-000D-0000-FFFF-FFFF00000000}"/>
  </bookViews>
  <sheets>
    <sheet name="One Time Adj Explanation" sheetId="100" r:id="rId1"/>
    <sheet name="WP-Total Adj with Int" sheetId="86" r:id="rId2"/>
    <sheet name="WP-2018 True Up TRR Adj" sheetId="194" r:id="rId3"/>
    <sheet name="WP-2018 Sch4-TUTRR" sheetId="223" r:id="rId4"/>
    <sheet name="WP-2018 Sch20-AandG" sheetId="224" r:id="rId5"/>
    <sheet name="WP-2019 True Up TRR Adj" sheetId="213" r:id="rId6"/>
    <sheet name="WP-2019 TO2018 Sch4-TUTRR" sheetId="221" r:id="rId7"/>
    <sheet name="WP-2019 TO2018 Sch20-AandG" sheetId="222" r:id="rId8"/>
    <sheet name="WP-2019 TO2021 Sch4-TUTRR" sheetId="219" r:id="rId9"/>
    <sheet name="WP-2019 TO2021 Sch20-AandG" sheetId="2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Alt2007" localSheetId="4">#REF!</definedName>
    <definedName name="_Alt2007" localSheetId="3">#REF!</definedName>
    <definedName name="_Alt2007" localSheetId="2">#REF!</definedName>
    <definedName name="_Alt2007" localSheetId="5">#REF!</definedName>
    <definedName name="_Alt2007">#REF!</definedName>
    <definedName name="_Apr06" localSheetId="4">#REF!</definedName>
    <definedName name="_Apr06" localSheetId="3">#REF!</definedName>
    <definedName name="_Apr06" localSheetId="2">#REF!</definedName>
    <definedName name="_Apr06" localSheetId="5">#REF!</definedName>
    <definedName name="_Apr06">#REF!</definedName>
    <definedName name="_F100040">'[1]EIX Cost Centers'!$A$1:$B$33</definedName>
    <definedName name="_Feb06" localSheetId="4">#REF!</definedName>
    <definedName name="_Feb06" localSheetId="3">#REF!</definedName>
    <definedName name="_Feb06" localSheetId="2">#REF!</definedName>
    <definedName name="_Feb06" localSheetId="5">#REF!</definedName>
    <definedName name="_Feb06">#REF!</definedName>
    <definedName name="_Fill" localSheetId="4" hidden="1">#REF!</definedName>
    <definedName name="_Fill" localSheetId="3" hidden="1">#REF!</definedName>
    <definedName name="_Fill" localSheetId="2" hidden="1">#REF!</definedName>
    <definedName name="_Fill" localSheetId="5" hidden="1">#REF!</definedName>
    <definedName name="_Fill" hidden="1">#REF!</definedName>
    <definedName name="_May06" localSheetId="4">#REF!</definedName>
    <definedName name="_May06" localSheetId="3">#REF!</definedName>
    <definedName name="_May06" localSheetId="2">#REF!</definedName>
    <definedName name="_May06" localSheetId="5">#REF!</definedName>
    <definedName name="_May06">#REF!</definedName>
    <definedName name="_Nov05" localSheetId="4">#REF!</definedName>
    <definedName name="_Nov05" localSheetId="3">#REF!</definedName>
    <definedName name="_Nov05">#REF!</definedName>
    <definedName name="_Order1" hidden="1">255</definedName>
    <definedName name="_Order2" hidden="1">255</definedName>
    <definedName name="_SO2" localSheetId="4">#REF!</definedName>
    <definedName name="_SO2" localSheetId="3">#REF!</definedName>
    <definedName name="_SO2" localSheetId="2">#REF!</definedName>
    <definedName name="_SO2" localSheetId="5">#REF!</definedName>
    <definedName name="_SO2">#REF!</definedName>
    <definedName name="_SO4" localSheetId="4">#REF!</definedName>
    <definedName name="_SO4" localSheetId="3">#REF!</definedName>
    <definedName name="_SO4" localSheetId="2">#REF!</definedName>
    <definedName name="_SO4" localSheetId="5">#REF!</definedName>
    <definedName name="_SO4">#REF!</definedName>
    <definedName name="Active" localSheetId="4">#REF!</definedName>
    <definedName name="Active" localSheetId="3">#REF!</definedName>
    <definedName name="Active" localSheetId="2">#REF!</definedName>
    <definedName name="Active" localSheetId="5">#REF!</definedName>
    <definedName name="Active">#REF!</definedName>
    <definedName name="AltForecast">#REF!</definedName>
    <definedName name="Assets">'[2]GL Master Data lookup'!#REF!</definedName>
    <definedName name="Basis_Point" localSheetId="4">#REF!</definedName>
    <definedName name="Basis_Point" localSheetId="3">#REF!</definedName>
    <definedName name="Basis_Point" localSheetId="2">#REF!</definedName>
    <definedName name="Basis_Point" localSheetId="5">#REF!</definedName>
    <definedName name="Basis_Point">#REF!</definedName>
    <definedName name="Basis_Prices_Upload_Date">[3]Check!$B$29</definedName>
    <definedName name="Basis_Web_Query">[4]BasisPrices!$B$29</definedName>
    <definedName name="BHV" localSheetId="4">#REF!</definedName>
    <definedName name="BHV" localSheetId="3">#REF!</definedName>
    <definedName name="BHV" localSheetId="2">#REF!</definedName>
    <definedName name="BHV" localSheetId="5">#REF!</definedName>
    <definedName name="BHV">#REF!</definedName>
    <definedName name="Bio" localSheetId="4">#REF!</definedName>
    <definedName name="Bio" localSheetId="3">#REF!</definedName>
    <definedName name="Bio" localSheetId="2">#REF!</definedName>
    <definedName name="Bio" localSheetId="5">#REF!</definedName>
    <definedName name="Bio">#REF!</definedName>
    <definedName name="BLOCK" localSheetId="4">#REF!</definedName>
    <definedName name="BLOCK" localSheetId="3">#REF!</definedName>
    <definedName name="BLOCK" localSheetId="2">#REF!</definedName>
    <definedName name="BLOCK" localSheetId="5">#REF!</definedName>
    <definedName name="BLOCK">#REF!</definedName>
    <definedName name="BLOCKPOSTING">#REF!</definedName>
    <definedName name="Calc_implied_vol">[4]Volatility!$B$31</definedName>
    <definedName name="Clearing_House_deals_MTM_PT___Current_Month" localSheetId="4">#REF!</definedName>
    <definedName name="Clearing_House_deals_MTM_PT___Current_Month" localSheetId="3">#REF!</definedName>
    <definedName name="Clearing_House_deals_MTM_PT___Current_Month" localSheetId="2">#REF!</definedName>
    <definedName name="Clearing_House_deals_MTM_PT___Current_Month" localSheetId="5">#REF!</definedName>
    <definedName name="Clearing_House_deals_MTM_PT___Current_Month">#REF!</definedName>
    <definedName name="Cogen" localSheetId="4">#REF!</definedName>
    <definedName name="Cogen" localSheetId="3">#REF!</definedName>
    <definedName name="Cogen" localSheetId="2">#REF!</definedName>
    <definedName name="Cogen" localSheetId="5">#REF!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4">#REF!</definedName>
    <definedName name="CRR_PT2" localSheetId="3">#REF!</definedName>
    <definedName name="CRR_PT2" localSheetId="2">#REF!</definedName>
    <definedName name="CRR_PT2" localSheetId="5">#REF!</definedName>
    <definedName name="CRR_PT2">#REF!</definedName>
    <definedName name="CRR_SD_1" localSheetId="4">#REF!</definedName>
    <definedName name="CRR_SD_1" localSheetId="3">#REF!</definedName>
    <definedName name="CRR_SD_1" localSheetId="2">#REF!</definedName>
    <definedName name="CRR_SD_1" localSheetId="5">#REF!</definedName>
    <definedName name="CRR_SD_1">#REF!</definedName>
    <definedName name="CRR_SD_2" localSheetId="4">#REF!</definedName>
    <definedName name="CRR_SD_2" localSheetId="3">#REF!</definedName>
    <definedName name="CRR_SD_2" localSheetId="2">#REF!</definedName>
    <definedName name="CRR_SD_2" localSheetId="5">#REF!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4">#REF!</definedName>
    <definedName name="DWR_End_Row" localSheetId="3">#REF!</definedName>
    <definedName name="DWR_End_Row" localSheetId="2">#REF!</definedName>
    <definedName name="DWR_End_Row" localSheetId="5">#REF!</definedName>
    <definedName name="DWR_End_Row">#REF!</definedName>
    <definedName name="DWR_Start_Row" localSheetId="4">#REF!</definedName>
    <definedName name="DWR_Start_Row" localSheetId="3">#REF!</definedName>
    <definedName name="DWR_Start_Row" localSheetId="2">#REF!</definedName>
    <definedName name="DWR_Start_Row" localSheetId="5">#REF!</definedName>
    <definedName name="DWR_Start_Row">#REF!</definedName>
    <definedName name="Effective_date">'[4]Calpine Renewable Cntrct  MTM'!$L$81</definedName>
    <definedName name="EIX_10k" localSheetId="4">#REF!</definedName>
    <definedName name="EIX_10k" localSheetId="3">#REF!</definedName>
    <definedName name="EIX_10k" localSheetId="2">#REF!</definedName>
    <definedName name="EIX_10k" localSheetId="5">#REF!</definedName>
    <definedName name="EIX_10k">#REF!</definedName>
    <definedName name="EIX_10K_DET_M" localSheetId="4">#REF!</definedName>
    <definedName name="EIX_10K_DET_M" localSheetId="3">#REF!</definedName>
    <definedName name="EIX_10K_DET_M" localSheetId="2">#REF!</definedName>
    <definedName name="EIX_10K_DET_M" localSheetId="5">#REF!</definedName>
    <definedName name="EIX_10K_DET_M">#REF!</definedName>
    <definedName name="EIX_10K_DET_T" localSheetId="4">#REF!</definedName>
    <definedName name="EIX_10K_DET_T" localSheetId="3">#REF!</definedName>
    <definedName name="EIX_10K_DET_T" localSheetId="2">#REF!</definedName>
    <definedName name="EIX_10K_DET_T" localSheetId="5">#REF!</definedName>
    <definedName name="EIX_10K_DET_T">#REF!</definedName>
    <definedName name="EIX_10K_DETAIL">#REF!</definedName>
    <definedName name="EIX_10K_M">#REF!</definedName>
    <definedName name="EIX_10k_t">#REF!</definedName>
    <definedName name="EIX_10K_WK_CURR">[7]WS!#REF!</definedName>
    <definedName name="EIX_10K_WK_JAN1" localSheetId="4">#REF!</definedName>
    <definedName name="EIX_10K_WK_JAN1" localSheetId="3">#REF!</definedName>
    <definedName name="EIX_10K_WK_JAN1" localSheetId="2">#REF!</definedName>
    <definedName name="EIX_10K_WK_JAN1" localSheetId="5">#REF!</definedName>
    <definedName name="EIX_10K_WK_JAN1">#REF!</definedName>
    <definedName name="EIX_10k_WK_LASTMO" localSheetId="4">#REF!</definedName>
    <definedName name="EIX_10k_WK_LASTMO" localSheetId="3">#REF!</definedName>
    <definedName name="EIX_10k_WK_LASTMO" localSheetId="2">#REF!</definedName>
    <definedName name="EIX_10k_WK_LASTMO" localSheetId="5">#REF!</definedName>
    <definedName name="EIX_10k_WK_LASTMO">#REF!</definedName>
    <definedName name="EIX_WS" localSheetId="4">[7]WS!#REF!</definedName>
    <definedName name="EIX_WS" localSheetId="3">[7]WS!#REF!</definedName>
    <definedName name="EIX_WS" localSheetId="2">[7]WS!#REF!</definedName>
    <definedName name="EIX_WS" localSheetId="5">[7]WS!#REF!</definedName>
    <definedName name="EIX_WS">[7]WS!#REF!</definedName>
    <definedName name="eixytd" localSheetId="4">#REF!</definedName>
    <definedName name="eixytd" localSheetId="3">#REF!</definedName>
    <definedName name="eixytd" localSheetId="2">#REF!</definedName>
    <definedName name="eixytd" localSheetId="5">#REF!</definedName>
    <definedName name="eixytd">#REF!</definedName>
    <definedName name="ENTRYNODE" localSheetId="4">#REF!</definedName>
    <definedName name="ENTRYNODE" localSheetId="3">#REF!</definedName>
    <definedName name="ENTRYNODE" localSheetId="2">#REF!</definedName>
    <definedName name="ENTRYNODE" localSheetId="5">#REF!</definedName>
    <definedName name="ENTRYNODE">#REF!</definedName>
    <definedName name="EOptns_Term_Sch_Point" localSheetId="4">#REF!</definedName>
    <definedName name="EOptns_Term_Sch_Point" localSheetId="3">#REF!</definedName>
    <definedName name="EOptns_Term_Sch_Point" localSheetId="2">#REF!</definedName>
    <definedName name="EOptns_Term_Sch_Point" localSheetId="5">#REF!</definedName>
    <definedName name="EOptns_Term_Sch_Point">#REF!</definedName>
    <definedName name="Equity" localSheetId="4">'[2]GL Master Data lookup'!#REF!</definedName>
    <definedName name="Equity" localSheetId="3">'[2]GL Master Data lookup'!#REF!</definedName>
    <definedName name="Equity" localSheetId="2">'[2]GL Master Data lookup'!#REF!</definedName>
    <definedName name="Equity" localSheetId="5">'[2]GL Master Data lookup'!#REF!</definedName>
    <definedName name="Equity">'[2]GL Master Data lookup'!#REF!</definedName>
    <definedName name="Escalation_Rate" localSheetId="4">#REF!</definedName>
    <definedName name="Escalation_Rate" localSheetId="3">#REF!</definedName>
    <definedName name="Escalation_Rate" localSheetId="2">#REF!</definedName>
    <definedName name="Escalation_Rate" localSheetId="5">#REF!</definedName>
    <definedName name="Escalation_Rate">#REF!</definedName>
    <definedName name="FERC" localSheetId="4">#REF!</definedName>
    <definedName name="FERC" localSheetId="3">#REF!</definedName>
    <definedName name="FERC" localSheetId="2">#REF!</definedName>
    <definedName name="FERC" localSheetId="5">#REF!</definedName>
    <definedName name="FERC">#REF!</definedName>
    <definedName name="FERC_Map">'[2]CARS to FERC Map'!$A$2:$B$2339</definedName>
    <definedName name="Format_Quotes">[4]PowerPrices!$B$62</definedName>
    <definedName name="FSD" localSheetId="4">#REF!</definedName>
    <definedName name="FSD" localSheetId="3">#REF!</definedName>
    <definedName name="FSD" localSheetId="2">#REF!</definedName>
    <definedName name="FSD" localSheetId="5">#REF!</definedName>
    <definedName name="FSD">#REF!</definedName>
    <definedName name="Fut_Point" localSheetId="4">#REF!</definedName>
    <definedName name="Fut_Point" localSheetId="3">#REF!</definedName>
    <definedName name="Fut_Point" localSheetId="2">#REF!</definedName>
    <definedName name="Fut_Point" localSheetId="5">#REF!</definedName>
    <definedName name="Fut_Point">#REF!</definedName>
    <definedName name="Futs_Web_Query">[4]FuturePrices!$B$34</definedName>
    <definedName name="Futures_Prices_Upload_Date">[3]Check!$B$28</definedName>
    <definedName name="Gas" localSheetId="4">#REF!</definedName>
    <definedName name="Gas" localSheetId="3">#REF!</definedName>
    <definedName name="Gas" localSheetId="2">#REF!</definedName>
    <definedName name="Gas" localSheetId="5">#REF!</definedName>
    <definedName name="Gas">#REF!</definedName>
    <definedName name="Gas_Fin_Non_Options" localSheetId="4">#REF!</definedName>
    <definedName name="Gas_Fin_Non_Options" localSheetId="3">#REF!</definedName>
    <definedName name="Gas_Fin_Non_Options" localSheetId="2">#REF!</definedName>
    <definedName name="Gas_Fin_Non_Options" localSheetId="5">#REF!</definedName>
    <definedName name="Gas_Fin_Non_Options">#REF!</definedName>
    <definedName name="Gas_NOpt_PT_1" localSheetId="4">#REF!</definedName>
    <definedName name="Gas_NOpt_PT_1" localSheetId="3">#REF!</definedName>
    <definedName name="Gas_NOpt_PT_1" localSheetId="2">#REF!</definedName>
    <definedName name="Gas_NOpt_PT_1" localSheetId="5">#REF!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4">#REF!</definedName>
    <definedName name="HISTORICDOLLAR" localSheetId="3">#REF!</definedName>
    <definedName name="HISTORICDOLLAR" localSheetId="2">#REF!</definedName>
    <definedName name="HISTORICDOLLAR" localSheetId="5">#REF!</definedName>
    <definedName name="HISTORICDOLLAR">#REF!</definedName>
    <definedName name="Hydro" localSheetId="4">#REF!</definedName>
    <definedName name="Hydro" localSheetId="3">#REF!</definedName>
    <definedName name="Hydro" localSheetId="2">#REF!</definedName>
    <definedName name="Hydro" localSheetId="5">#REF!</definedName>
    <definedName name="Hydro">#REF!</definedName>
    <definedName name="Interest_Rates_Upload_Date">[3]Check!$B$30</definedName>
    <definedName name="IR_Web_Query">[4]InterestRates!$B$26</definedName>
    <definedName name="ITEMTYPE" localSheetId="4">#REF!</definedName>
    <definedName name="ITEMTYPE" localSheetId="3">#REF!</definedName>
    <definedName name="ITEMTYPE" localSheetId="2">#REF!</definedName>
    <definedName name="ITEMTYPE" localSheetId="5">#REF!</definedName>
    <definedName name="ITEMTYPE">#REF!</definedName>
    <definedName name="Level" localSheetId="4">#REF!</definedName>
    <definedName name="Level" localSheetId="3">#REF!</definedName>
    <definedName name="Level" localSheetId="2">#REF!</definedName>
    <definedName name="Level" localSheetId="5">#REF!</definedName>
    <definedName name="Level">#REF!</definedName>
    <definedName name="Liab" localSheetId="4">'[2]GL Master Data lookup'!#REF!</definedName>
    <definedName name="Liab" localSheetId="3">'[2]GL Master Data lookup'!#REF!</definedName>
    <definedName name="Liab" localSheetId="2">'[2]GL Master Data lookup'!#REF!</definedName>
    <definedName name="Liab" localSheetId="5">'[2]GL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4">#REF!</definedName>
    <definedName name="Load_Flag" localSheetId="3">#REF!</definedName>
    <definedName name="Load_Flag" localSheetId="2">#REF!</definedName>
    <definedName name="Load_Flag" localSheetId="5">#REF!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4">#REF!</definedName>
    <definedName name="MTM_Summary_Compare" localSheetId="3">#REF!</definedName>
    <definedName name="MTM_Summary_Compare" localSheetId="2">#REF!</definedName>
    <definedName name="MTM_Summary_Compare" localSheetId="5">#REF!</definedName>
    <definedName name="MTM_Summary_Compare">#REF!</definedName>
    <definedName name="NEG" localSheetId="4">#REF!</definedName>
    <definedName name="NEG" localSheetId="3">#REF!</definedName>
    <definedName name="NEG" localSheetId="2">#REF!</definedName>
    <definedName name="NEG" localSheetId="5">#REF!</definedName>
    <definedName name="NEG">#REF!</definedName>
    <definedName name="new" localSheetId="4" hidden="1">{#N/A,#N/A,TRUE,"Section6";#N/A,#N/A,TRUE,"OHcycles";#N/A,#N/A,TRUE,"OHtiming";#N/A,#N/A,TRUE,"OHcosts";#N/A,#N/A,TRUE,"GTdegradation";#N/A,#N/A,TRUE,"GTperformance";#N/A,#N/A,TRUE,"GraphEquip"}</definedName>
    <definedName name="new" localSheetId="3" hidden="1">{#N/A,#N/A,TRUE,"Section6";#N/A,#N/A,TRUE,"OHcycles";#N/A,#N/A,TRUE,"OHtiming";#N/A,#N/A,TRUE,"OHcosts";#N/A,#N/A,TRUE,"GTdegradation";#N/A,#N/A,TRUE,"GTperformance";#N/A,#N/A,TRUE,"GraphEquip"}</definedName>
    <definedName name="new" localSheetId="2" hidden="1">{#N/A,#N/A,TRUE,"Section6";#N/A,#N/A,TRUE,"OHcycles";#N/A,#N/A,TRUE,"OHtiming";#N/A,#N/A,TRUE,"OHcosts";#N/A,#N/A,TRUE,"GTdegradation";#N/A,#N/A,TRUE,"GTperformance";#N/A,#N/A,TRUE,"GraphEquip"}</definedName>
    <definedName name="new" localSheetId="5"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4">#REF!</definedName>
    <definedName name="Next_Month" localSheetId="3">#REF!</definedName>
    <definedName name="Next_Month" localSheetId="2">#REF!</definedName>
    <definedName name="Next_Month" localSheetId="5">#REF!</definedName>
    <definedName name="Next_Month">#REF!</definedName>
    <definedName name="NoContamSystems">SUM('[8]Facility Technical Data'!$C$11:$C$12)</definedName>
    <definedName name="OOR" localSheetId="4">'[2]GL Master Data lookup'!#REF!</definedName>
    <definedName name="OOR" localSheetId="3">'[2]GL Master Data lookup'!#REF!</definedName>
    <definedName name="OOR" localSheetId="2">'[2]GL Master Data lookup'!#REF!</definedName>
    <definedName name="OOR" localSheetId="5">'[2]GL Master Data lookup'!#REF!</definedName>
    <definedName name="OOR">'[2]GL Master Data lookup'!#REF!</definedName>
    <definedName name="Op_Exp" localSheetId="4">'[2]GL Master Data lookup'!#REF!</definedName>
    <definedName name="Op_Exp" localSheetId="3">'[2]GL Master Data lookup'!#REF!</definedName>
    <definedName name="Op_Exp" localSheetId="2">'[2]GL Master Data lookup'!#REF!</definedName>
    <definedName name="Op_Exp" localSheetId="5">'[2]GL Master Data lookup'!#REF!</definedName>
    <definedName name="Op_Exp">'[2]GL Master Data lookup'!#REF!</definedName>
    <definedName name="OracleUploadDate">[9]Renewable!$I$1</definedName>
    <definedName name="ord">'[10]Master Data'!$B$1:$T$118</definedName>
    <definedName name="P_L" localSheetId="4">'[2]GL Master Data lookup'!#REF!</definedName>
    <definedName name="P_L" localSheetId="3">'[2]GL Master Data lookup'!#REF!</definedName>
    <definedName name="P_L" localSheetId="2">'[2]GL Master Data lookup'!#REF!</definedName>
    <definedName name="P_L" localSheetId="5">'[2]GL Master Data lookup'!#REF!</definedName>
    <definedName name="P_L">'[2]GL Master Data lookup'!#REF!</definedName>
    <definedName name="Past_Cash" localSheetId="4">'[2]GL Master Data lookup'!#REF!</definedName>
    <definedName name="Past_Cash" localSheetId="3">'[2]GL Master Data lookup'!#REF!</definedName>
    <definedName name="Past_Cash" localSheetId="2">'[2]GL Master Data lookup'!#REF!</definedName>
    <definedName name="Past_Cash" localSheetId="5">'[2]GL Master Data lookup'!#REF!</definedName>
    <definedName name="Past_Cash">'[2]GL Master Data lookup'!#REF!</definedName>
    <definedName name="PivotTablePoint" localSheetId="4">#REF!</definedName>
    <definedName name="PivotTablePoint" localSheetId="3">#REF!</definedName>
    <definedName name="PivotTablePoint" localSheetId="2">#REF!</definedName>
    <definedName name="PivotTablePoint" localSheetId="5">#REF!</definedName>
    <definedName name="PivotTablePoint">#REF!</definedName>
    <definedName name="Posting_Keys" localSheetId="4">#REF!</definedName>
    <definedName name="Posting_Keys" localSheetId="3">#REF!</definedName>
    <definedName name="Posting_Keys" localSheetId="2">#REF!</definedName>
    <definedName name="Posting_Keys" localSheetId="5">#REF!</definedName>
    <definedName name="Posting_Keys">#REF!</definedName>
    <definedName name="Power" localSheetId="4">#REF!</definedName>
    <definedName name="Power" localSheetId="3">#REF!</definedName>
    <definedName name="Power" localSheetId="2">#REF!</definedName>
    <definedName name="Power" localSheetId="5">#REF!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Explanation'!$A$1:$F$32</definedName>
    <definedName name="_xlnm.Print_Area" localSheetId="4">'WP-2018 Sch20-AandG'!$A$1:$J$104</definedName>
    <definedName name="_xlnm.Print_Area" localSheetId="3">'WP-2018 Sch4-TUTRR'!$A$1:$J$109</definedName>
    <definedName name="_xlnm.Print_Area" localSheetId="2">'WP-2018 True Up TRR Adj'!$A$1:$G$15</definedName>
    <definedName name="_xlnm.Print_Area" localSheetId="7">'WP-2019 TO2018 Sch20-AandG'!$A$1:$J$105</definedName>
    <definedName name="_xlnm.Print_Area" localSheetId="6">'WP-2019 TO2018 Sch4-TUTRR'!$A$1:$J$109</definedName>
    <definedName name="_xlnm.Print_Area" localSheetId="9">'WP-2019 TO2021 Sch20-AandG'!$A$1:$J$109</definedName>
    <definedName name="_xlnm.Print_Area" localSheetId="8">'WP-2019 TO2021 Sch4-TUTRR'!$A$1:$J$107</definedName>
    <definedName name="_xlnm.Print_Area" localSheetId="5">'WP-2019 True Up TRR Adj'!$B$2:$J$19</definedName>
    <definedName name="_xlnm.Print_Area" localSheetId="1">'WP-Total Adj with Int'!$A$1:$K$37</definedName>
    <definedName name="print1" localSheetId="4">#REF!</definedName>
    <definedName name="print1" localSheetId="3">#REF!</definedName>
    <definedName name="print1" localSheetId="2">#REF!</definedName>
    <definedName name="print1" localSheetId="5">#REF!</definedName>
    <definedName name="print1">#REF!</definedName>
    <definedName name="print2" localSheetId="4">#REF!</definedName>
    <definedName name="print2" localSheetId="3">#REF!</definedName>
    <definedName name="print2" localSheetId="2">#REF!</definedName>
    <definedName name="print2" localSheetId="5">#REF!</definedName>
    <definedName name="print2">#REF!</definedName>
    <definedName name="PriorMTMdate">'[11]Input And Prices'!$B$3</definedName>
    <definedName name="ProcessDate" localSheetId="4">#REF!</definedName>
    <definedName name="ProcessDate" localSheetId="3">#REF!</definedName>
    <definedName name="ProcessDate" localSheetId="2">#REF!</definedName>
    <definedName name="ProcessDate" localSheetId="5">#REF!</definedName>
    <definedName name="ProcessDate">#REF!</definedName>
    <definedName name="ProcessDate2">[9]Check!$B$3</definedName>
    <definedName name="ProcessMonth" localSheetId="4">#REF!</definedName>
    <definedName name="ProcessMonth" localSheetId="3">#REF!</definedName>
    <definedName name="ProcessMonth" localSheetId="2">#REF!</definedName>
    <definedName name="ProcessMonth" localSheetId="5">#REF!</definedName>
    <definedName name="ProcessMonth">#REF!</definedName>
    <definedName name="ProxyList">'[3]Calpine Renewable Cntrct  MTM'!$AT$15:$AT$20</definedName>
    <definedName name="QF_Asgn_List_Capacity" localSheetId="4">#REF!</definedName>
    <definedName name="QF_Asgn_List_Capacity" localSheetId="3">#REF!</definedName>
    <definedName name="QF_Asgn_List_Capacity" localSheetId="2">#REF!</definedName>
    <definedName name="QF_Asgn_List_Capacity" localSheetId="5">#REF!</definedName>
    <definedName name="QF_Asgn_List_Capacity">#REF!</definedName>
    <definedName name="QF_Asgn_List0212" localSheetId="4">#REF!</definedName>
    <definedName name="QF_Asgn_List0212" localSheetId="3">#REF!</definedName>
    <definedName name="QF_Asgn_List0212" localSheetId="2">#REF!</definedName>
    <definedName name="QF_Asgn_List0212" localSheetId="5">#REF!</definedName>
    <definedName name="QF_Asgn_List0212">#REF!</definedName>
    <definedName name="QF_Asgn_List0301" localSheetId="4">#REF!</definedName>
    <definedName name="QF_Asgn_List0301" localSheetId="3">#REF!</definedName>
    <definedName name="QF_Asgn_List0301" localSheetId="2">#REF!</definedName>
    <definedName name="QF_Asgn_List0301" localSheetId="5">#REF!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 localSheetId="4">#REF!</definedName>
    <definedName name="SCE_10K_WK_JAN1" localSheetId="3">#REF!</definedName>
    <definedName name="SCE_10K_WK_JAN1" localSheetId="2">#REF!</definedName>
    <definedName name="SCE_10K_WK_JAN1" localSheetId="5">#REF!</definedName>
    <definedName name="SCE_10K_WK_JAN1">#REF!</definedName>
    <definedName name="SCE_10K_WK_LASTMO" localSheetId="4">#REF!</definedName>
    <definedName name="SCE_10K_WK_LASTMO" localSheetId="3">#REF!</definedName>
    <definedName name="SCE_10K_WK_LASTMO" localSheetId="2">#REF!</definedName>
    <definedName name="SCE_10K_WK_LASTMO" localSheetId="5">#REF!</definedName>
    <definedName name="SCE_10K_WK_LASTMO">#REF!</definedName>
    <definedName name="SCE_WS" localSheetId="4">#REF!</definedName>
    <definedName name="SCE_WS" localSheetId="3">#REF!</definedName>
    <definedName name="SCE_WS" localSheetId="2">#REF!</definedName>
    <definedName name="SCE_WS" localSheetId="5">#REF!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 localSheetId="4">#REF!</definedName>
    <definedName name="Solar" localSheetId="3">#REF!</definedName>
    <definedName name="Solar" localSheetId="2">#REF!</definedName>
    <definedName name="Solar" localSheetId="5">#REF!</definedName>
    <definedName name="Solar">#REF!</definedName>
    <definedName name="SUBMITEM" localSheetId="4">#REF!</definedName>
    <definedName name="SUBMITEM" localSheetId="3">#REF!</definedName>
    <definedName name="SUBMITEM" localSheetId="2">#REF!</definedName>
    <definedName name="SUBMITEM" localSheetId="5">#REF!</definedName>
    <definedName name="SUBMITEM">#REF!</definedName>
    <definedName name="SUBMITEMS" localSheetId="4">#REF!</definedName>
    <definedName name="SUBMITEMS" localSheetId="3">#REF!</definedName>
    <definedName name="SUBMITEMS" localSheetId="2">#REF!</definedName>
    <definedName name="SUBMITEMS" localSheetId="5">#REF!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 localSheetId="4">#REF!</definedName>
    <definedName name="TransCapMTM" localSheetId="3">#REF!</definedName>
    <definedName name="TransCapMTM" localSheetId="2">#REF!</definedName>
    <definedName name="TransCapMTM" localSheetId="5">#REF!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4">#REF!</definedName>
    <definedName name="Upload_IR_Access" localSheetId="3">#REF!</definedName>
    <definedName name="Upload_IR_Access" localSheetId="2">#REF!</definedName>
    <definedName name="Upload_IR_Access" localSheetId="5">#REF!</definedName>
    <definedName name="Upload_IR_Access">#REF!</definedName>
    <definedName name="Upload_Pwr">[4]PowerPrices!$B$66</definedName>
    <definedName name="Upload_Pwr_Access">[4]PowerPrices!$B$67</definedName>
    <definedName name="UploadAccess">[4]Volatility!$B$34</definedName>
    <definedName name="Uploads_IR_Access" localSheetId="4">#REF!</definedName>
    <definedName name="Uploads_IR_Access" localSheetId="3">#REF!</definedName>
    <definedName name="Uploads_IR_Access" localSheetId="2">#REF!</definedName>
    <definedName name="Uploads_IR_Access" localSheetId="5">#REF!</definedName>
    <definedName name="Uploads_IR_Access">#REF!</definedName>
    <definedName name="UploadVol">[4]Volatility!$B$33</definedName>
    <definedName name="Volatility_Upload_Date">[3]Check!$B$31</definedName>
    <definedName name="Week" localSheetId="4">{0;1;2;3;4;5}</definedName>
    <definedName name="Week" localSheetId="3">{0;1;2;3;4;5}</definedName>
    <definedName name="Week" localSheetId="2">{0;1;2;3;4;5}</definedName>
    <definedName name="Week" localSheetId="5">{0;1;2;3;4;5}</definedName>
    <definedName name="Week">{0;1;2;3;4;5}</definedName>
    <definedName name="Weekday" localSheetId="4">{1,2,3,4,5,6,7}</definedName>
    <definedName name="Weekday" localSheetId="3">{1,2,3,4,5,6,7}</definedName>
    <definedName name="Weekday" localSheetId="2">{1,2,3,4,5,6,7}</definedName>
    <definedName name="Weekday" localSheetId="5">{1,2,3,4,5,6,7}</definedName>
    <definedName name="Weekday">{1,2,3,4,5,6,7}</definedName>
    <definedName name="Wind" localSheetId="4">#REF!</definedName>
    <definedName name="Wind" localSheetId="3">#REF!</definedName>
    <definedName name="Wind" localSheetId="2">#REF!</definedName>
    <definedName name="Wind" localSheetId="5">#REF!</definedName>
    <definedName name="Wind">#REF!</definedName>
    <definedName name="WITdata">[14]WIT!$A$1:$S$440</definedName>
    <definedName name="wrn.Cover." localSheetId="4" hidden="1">{#N/A,#N/A,TRUE,"Cover";#N/A,#N/A,TRUE,"Contents"}</definedName>
    <definedName name="wrn.Cover." localSheetId="3" hidden="1">{#N/A,#N/A,TRUE,"Cover";#N/A,#N/A,TRUE,"Contents"}</definedName>
    <definedName name="wrn.Cover." localSheetId="2" hidden="1">{#N/A,#N/A,TRUE,"Cover";#N/A,#N/A,TRUE,"Contents"}</definedName>
    <definedName name="wrn.Cover." localSheetId="5" hidden="1">{#N/A,#N/A,TRUE,"Cover";#N/A,#N/A,TRUE,"Contents"}</definedName>
    <definedName name="wrn.Cover." hidden="1">{#N/A,#N/A,TRUE,"Cover";#N/A,#N/A,TRUE,"Contents"}</definedName>
    <definedName name="wrn.CoverContents." localSheetId="4" hidden="1">{#N/A,#N/A,FALSE,"Cover";#N/A,#N/A,FALSE,"Contents"}</definedName>
    <definedName name="wrn.CoverContents." localSheetId="3" hidden="1">{#N/A,#N/A,FALSE,"Cover";#N/A,#N/A,FALSE,"Contents"}</definedName>
    <definedName name="wrn.CoverContents." localSheetId="2" hidden="1">{#N/A,#N/A,FALSE,"Cover";#N/A,#N/A,FALSE,"Contents"}</definedName>
    <definedName name="wrn.CoverContents." localSheetId="5" hidden="1">{#N/A,#N/A,FALSE,"Cover";#N/A,#N/A,FALSE,"Contents"}</definedName>
    <definedName name="wrn.CoverContents." hidden="1">{#N/A,#N/A,FALSE,"Cover";#N/A,#N/A,FALSE,"Contents"}</definedName>
    <definedName name="wrn.Distributed._.Decon._.Notebook." localSheetId="4"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3"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5"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4" hidden="1">{#N/A,#N/A,TRUE,"EPEsum";#N/A,#N/A,TRUE,"Approve1";#N/A,#N/A,TRUE,"Approve2";#N/A,#N/A,TRUE,"Approve3";#N/A,#N/A,TRUE,"EPE1";#N/A,#N/A,TRUE,"EPE2";#N/A,#N/A,TRUE,"CashCompare";#N/A,#N/A,TRUE,"XIRR";#N/A,#N/A,TRUE,"EPEloan";#N/A,#N/A,TRUE,"GraphEPE";#N/A,#N/A,TRUE,"OrgChart";#N/A,#N/A,TRUE,"SA08B"}</definedName>
    <definedName name="wrn.El._.Paso._.Offshore." localSheetId="3" hidden="1">{#N/A,#N/A,TRUE,"EPEsum";#N/A,#N/A,TRUE,"Approve1";#N/A,#N/A,TRUE,"Approve2";#N/A,#N/A,TRUE,"Approve3";#N/A,#N/A,TRUE,"EPE1";#N/A,#N/A,TRUE,"EPE2";#N/A,#N/A,TRUE,"CashCompare";#N/A,#N/A,TRUE,"XIRR";#N/A,#N/A,TRUE,"EPEloan";#N/A,#N/A,TRUE,"GraphEPE";#N/A,#N/A,TRUE,"OrgChart";#N/A,#N/A,TRUE,"SA08B"}</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5"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4"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3"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5"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4" hidden="1">{#N/A,#N/A,FALSE,"Cover";#N/A,#N/A,FALSE,"ProjectSelector";#N/A,#N/A,FALSE,"ProjectTable";#N/A,#N/A,FALSE,"SanGorgonio";#N/A,#N/A,FALSE,"Tehachapi";#N/A,#N/A,FALSE,"Results";#N/A,#N/A,FALSE,"ReplaceForecast"}</definedName>
    <definedName name="wrn.PrintOther." localSheetId="3" hidden="1">{#N/A,#N/A,FALSE,"Cover";#N/A,#N/A,FALSE,"ProjectSelector";#N/A,#N/A,FALSE,"ProjectTable";#N/A,#N/A,FALSE,"SanGorgonio";#N/A,#N/A,FALSE,"Tehachapi";#N/A,#N/A,FALSE,"Results";#N/A,#N/A,FALSE,"ReplaceForecast"}</definedName>
    <definedName name="wrn.PrintOther." localSheetId="2" hidden="1">{#N/A,#N/A,FALSE,"Cover";#N/A,#N/A,FALSE,"ProjectSelector";#N/A,#N/A,FALSE,"ProjectTable";#N/A,#N/A,FALSE,"SanGorgonio";#N/A,#N/A,FALSE,"Tehachapi";#N/A,#N/A,FALSE,"Results";#N/A,#N/A,FALSE,"ReplaceForecast"}</definedName>
    <definedName name="wrn.PrintOther." localSheetId="5"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4"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3"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5"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4" hidden="1">{#N/A,#N/A,TRUE,"Section1";"SavingsTop",#N/A,TRUE,"SumSavings";#N/A,#N/A,TRUE,"GraphSum";"SavingsAll",#N/A,TRUE,"SumSavings";#N/A,#N/A,TRUE,"Inputs";#N/A,#N/A,TRUE,"Scenarios";#N/A,#N/A,TRUE,"LineLoss";#N/A,#N/A,TRUE,"Summary";#N/A,#N/A,TRUE,"TermSummary";#N/A,#N/A,TRUE,"NetRates";#N/A,#N/A,TRUE,"PPAtypes"}</definedName>
    <definedName name="wrn.Section1." localSheetId="3" hidden="1">{#N/A,#N/A,TRUE,"Section1";"SavingsTop",#N/A,TRUE,"SumSavings";#N/A,#N/A,TRUE,"GraphSum";"SavingsAll",#N/A,TRUE,"SumSavings";#N/A,#N/A,TRUE,"Inputs";#N/A,#N/A,TRUE,"Scenarios";#N/A,#N/A,TRUE,"LineLoss";#N/A,#N/A,TRUE,"Summary";#N/A,#N/A,TRUE,"TermSummary";#N/A,#N/A,TRUE,"NetRates";#N/A,#N/A,TRUE,"PPAtypes"}</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5"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4" hidden="1">{#N/A,#N/A,TRUE,"Section1";#N/A,#N/A,TRUE,"SumF";#N/A,#N/A,TRUE,"FigExchange";#N/A,#N/A,TRUE,"Escalation";#N/A,#N/A,TRUE,"GraphEscalate";#N/A,#N/A,TRUE,"Scenarios"}</definedName>
    <definedName name="wrn.Section1Summaries." localSheetId="3" hidden="1">{#N/A,#N/A,TRUE,"Section1";#N/A,#N/A,TRUE,"SumF";#N/A,#N/A,TRUE,"FigExchange";#N/A,#N/A,TRUE,"Escalation";#N/A,#N/A,TRUE,"GraphEscalate";#N/A,#N/A,TRUE,"Scenarios"}</definedName>
    <definedName name="wrn.Section1Summaries." localSheetId="2" hidden="1">{#N/A,#N/A,TRUE,"Section1";#N/A,#N/A,TRUE,"SumF";#N/A,#N/A,TRUE,"FigExchange";#N/A,#N/A,TRUE,"Escalation";#N/A,#N/A,TRUE,"GraphEscalate";#N/A,#N/A,TRUE,"Scenarios"}</definedName>
    <definedName name="wrn.Section1Summaries." localSheetId="5"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4" hidden="1">{#N/A,#N/A,TRUE,"Section2";#N/A,#N/A,TRUE,"OverPymt";#N/A,#N/A,TRUE,"Energy";#N/A,#N/A,TRUE,"EnergyDiff1";#N/A,#N/A,TRUE,"EnergyDiff2";#N/A,#N/A,TRUE,"CapPerformance";#N/A,#N/A,TRUE,"BonusPerformance";#N/A,#N/A,TRUE,"BonusFormula";#N/A,#N/A,TRUE,"GraphPymt"}</definedName>
    <definedName name="wrn.Section2." localSheetId="3" hidden="1">{#N/A,#N/A,TRUE,"Section2";#N/A,#N/A,TRUE,"OverPymt";#N/A,#N/A,TRUE,"Energy";#N/A,#N/A,TRUE,"EnergyDiff1";#N/A,#N/A,TRUE,"EnergyDiff2";#N/A,#N/A,TRUE,"CapPerformance";#N/A,#N/A,TRUE,"BonusPerformance";#N/A,#N/A,TRUE,"BonusFormula";#N/A,#N/A,TRUE,"GraphPymt"}</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5"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4" hidden="1">{#N/A,#N/A,TRUE,"Section2";#N/A,#N/A,TRUE,"TPCestimate";#N/A,#N/A,TRUE,"SumTPC";#N/A,#N/A,TRUE,"ConstrLoan";#N/A,#N/A,TRUE,"FigBalance";#N/A,#N/A,TRUE,"DEV27air";#N/A,#N/A,TRUE,"Graph27air";#N/A,#N/A,TRUE,"PreOp"}</definedName>
    <definedName name="wrn.Section2TotalProjectCost." localSheetId="3" hidden="1">{#N/A,#N/A,TRUE,"Section2";#N/A,#N/A,TRUE,"TPCestimate";#N/A,#N/A,TRUE,"SumTPC";#N/A,#N/A,TRUE,"ConstrLoan";#N/A,#N/A,TRUE,"FigBalance";#N/A,#N/A,TRUE,"DEV27air";#N/A,#N/A,TRUE,"Graph27air";#N/A,#N/A,TRUE,"PreOp"}</definedName>
    <definedName name="wrn.Section2TotalProjectCost." localSheetId="2" hidden="1">{#N/A,#N/A,TRUE,"Section2";#N/A,#N/A,TRUE,"TPCestimate";#N/A,#N/A,TRUE,"SumTPC";#N/A,#N/A,TRUE,"ConstrLoan";#N/A,#N/A,TRUE,"FigBalance";#N/A,#N/A,TRUE,"DEV27air";#N/A,#N/A,TRUE,"Graph27air";#N/A,#N/A,TRUE,"PreOp"}</definedName>
    <definedName name="wrn.Section2TotalProjectCost." localSheetId="5"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4" hidden="1">{#N/A,#N/A,TRUE,"Section3";#N/A,#N/A,TRUE,"BaseYear";#N/A,#N/A,TRUE,"GenHistory";#N/A,#N/A,TRUE,"GenGraph";#N/A,#N/A,TRUE,"MonthCompare";#N/A,#N/A,TRUE,"HourHistory";#N/A,#N/A,TRUE,"PayHistory";#N/A,#N/A,TRUE,"PayGraphs";#N/A,#N/A,TRUE,"ReplaceForecast";#N/A,#N/A,TRUE,"PPAforecast";#N/A,#N/A,TRUE,"OLSier"}</definedName>
    <definedName name="wrn.Section3." localSheetId="3" hidden="1">{#N/A,#N/A,TRUE,"Section3";#N/A,#N/A,TRUE,"BaseYear";#N/A,#N/A,TRUE,"GenHistory";#N/A,#N/A,TRUE,"GenGraph";#N/A,#N/A,TRUE,"MonthCompare";#N/A,#N/A,TRUE,"HourHistory";#N/A,#N/A,TRUE,"PayHistory";#N/A,#N/A,TRUE,"PayGraphs";#N/A,#N/A,TRUE,"ReplaceForecast";#N/A,#N/A,TRUE,"PPAforecast";#N/A,#N/A,TRUE,"OLSier"}</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5"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4" hidden="1">{#N/A,#N/A,TRUE,"Section3";#N/A,#N/A,TRUE,"Tax";#N/A,#N/A,TRUE,"Dividend";#N/A,#N/A,TRUE,"Depreciation";#N/A,#N/A,TRUE,"Balance";#N/A,#N/A,TRUE,"SaleGain";#N/A,#N/A,TRUE,"RevExp";#N/A,#N/A,TRUE,"PIG";#N/A,#N/A,TRUE,"GraphPlant"}</definedName>
    <definedName name="wrn.Section3PowerPlantCompany." localSheetId="3" hidden="1">{#N/A,#N/A,TRUE,"Section3";#N/A,#N/A,TRUE,"Tax";#N/A,#N/A,TRUE,"Dividend";#N/A,#N/A,TRUE,"Depreciation";#N/A,#N/A,TRUE,"Balance";#N/A,#N/A,TRUE,"SaleGain";#N/A,#N/A,TRUE,"RevExp";#N/A,#N/A,TRUE,"PIG";#N/A,#N/A,TRUE,"GraphPlant"}</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5"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4" hidden="1">{#N/A,#N/A,TRUE,"Section4";#N/A,#N/A,TRUE,"Tariffwksht";#N/A,#N/A,TRUE,"TariffINFO";#N/A,#N/A,TRUE,"Generation";#N/A,#N/A,TRUE,"PPAsum";#N/A,#N/A,TRUE,"PPApayments";#N/A,#N/A,TRUE,"RevExp";#N/A,#N/A,TRUE,"GraphRevenue";#N/A,#N/A,TRUE,"GraphRevExp"}</definedName>
    <definedName name="wrn.Section4." localSheetId="3" hidden="1">{#N/A,#N/A,TRUE,"Section4";#N/A,#N/A,TRUE,"Tariffwksht";#N/A,#N/A,TRUE,"TariffINFO";#N/A,#N/A,TRUE,"Generation";#N/A,#N/A,TRUE,"PPAsum";#N/A,#N/A,TRUE,"PPApayments";#N/A,#N/A,TRUE,"RevExp";#N/A,#N/A,TRUE,"GraphRevenue";#N/A,#N/A,TRUE,"GraphRevExp"}</definedName>
    <definedName name="wrn.Section4." localSheetId="2" hidden="1">{#N/A,#N/A,TRUE,"Section4";#N/A,#N/A,TRUE,"Tariffwksht";#N/A,#N/A,TRUE,"TariffINFO";#N/A,#N/A,TRUE,"Generation";#N/A,#N/A,TRUE,"PPAsum";#N/A,#N/A,TRUE,"PPApayments";#N/A,#N/A,TRUE,"RevExp";#N/A,#N/A,TRUE,"GraphRevenue";#N/A,#N/A,TRUE,"GraphRevExp"}</definedName>
    <definedName name="wrn.Section4." localSheetId="5"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4" hidden="1">{#N/A,#N/A,TRUE,"Section4";#N/A,#N/A,TRUE,"PPAtable";#N/A,#N/A,TRUE,"RFPtable";#N/A,#N/A,TRUE,"RevCap";#N/A,#N/A,TRUE,"RevOther";#N/A,#N/A,TRUE,"RevGas";#N/A,#N/A,TRUE,"GraphRev"}</definedName>
    <definedName name="wrn.Section4Revenue." localSheetId="3" hidden="1">{#N/A,#N/A,TRUE,"Section4";#N/A,#N/A,TRUE,"PPAtable";#N/A,#N/A,TRUE,"RFPtable";#N/A,#N/A,TRUE,"RevCap";#N/A,#N/A,TRUE,"RevOther";#N/A,#N/A,TRUE,"RevGas";#N/A,#N/A,TRUE,"GraphRev"}</definedName>
    <definedName name="wrn.Section4Revenue." localSheetId="2" hidden="1">{#N/A,#N/A,TRUE,"Section4";#N/A,#N/A,TRUE,"PPAtable";#N/A,#N/A,TRUE,"RFPtable";#N/A,#N/A,TRUE,"RevCap";#N/A,#N/A,TRUE,"RevOther";#N/A,#N/A,TRUE,"RevGas";#N/A,#N/A,TRUE,"GraphRev"}</definedName>
    <definedName name="wrn.Section4Revenue." localSheetId="5"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4" hidden="1">{#N/A,#N/A,TRUE,"Section5";#N/A,#N/A,TRUE,"Coal";#N/A,#N/A,TRUE,"Fuel";#N/A,#N/A,TRUE,"OMwksht";#N/A,#N/A,TRUE,"VOM";#N/A,#N/A,TRUE,"FOM";#N/A,#N/A,TRUE,"Debt";#N/A,#N/A,TRUE,"LoanSchedules";#N/A,#N/A,TRUE,"GraphExp";#N/A,#N/A,TRUE,"Conversions"}</definedName>
    <definedName name="wrn.Section5." localSheetId="3" hidden="1">{#N/A,#N/A,TRUE,"Section5";#N/A,#N/A,TRUE,"Coal";#N/A,#N/A,TRUE,"Fuel";#N/A,#N/A,TRUE,"OMwksht";#N/A,#N/A,TRUE,"VOM";#N/A,#N/A,TRUE,"FOM";#N/A,#N/A,TRUE,"Debt";#N/A,#N/A,TRUE,"LoanSchedules";#N/A,#N/A,TRUE,"GraphExp";#N/A,#N/A,TRUE,"Conversions"}</definedName>
    <definedName name="wrn.Section5." localSheetId="2" hidden="1">{#N/A,#N/A,TRUE,"Section5";#N/A,#N/A,TRUE,"Coal";#N/A,#N/A,TRUE,"Fuel";#N/A,#N/A,TRUE,"OMwksht";#N/A,#N/A,TRUE,"VOM";#N/A,#N/A,TRUE,"FOM";#N/A,#N/A,TRUE,"Debt";#N/A,#N/A,TRUE,"LoanSchedules";#N/A,#N/A,TRUE,"GraphExp";#N/A,#N/A,TRUE,"Conversions"}</definedName>
    <definedName name="wrn.Section5." localSheetId="5"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4" hidden="1">{#N/A,#N/A,TRUE,"Section5";#N/A,#N/A,TRUE,"Gas";#N/A,#N/A,TRUE,"Oil";#N/A,#N/A,TRUE,"SumOM";#N/A,#N/A,TRUE,"VOM";#N/A,#N/A,TRUE,"FOM";#N/A,#N/A,TRUE,"StartUps";#N/A,#N/A,TRUE,"Labor";#N/A,#N/A,TRUE,"PlantOrg";#N/A,#N/A,TRUE,"Conversions";#N/A,#N/A,TRUE,"GraphExp"}</definedName>
    <definedName name="wrn.Section5Expenses." localSheetId="3" hidden="1">{#N/A,#N/A,TRUE,"Section5";#N/A,#N/A,TRUE,"Gas";#N/A,#N/A,TRUE,"Oil";#N/A,#N/A,TRUE,"SumOM";#N/A,#N/A,TRUE,"VOM";#N/A,#N/A,TRUE,"FOM";#N/A,#N/A,TRUE,"StartUps";#N/A,#N/A,TRUE,"Labor";#N/A,#N/A,TRUE,"PlantOrg";#N/A,#N/A,TRUE,"Conversions";#N/A,#N/A,TRUE,"GraphExp"}</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5"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4" hidden="1">{#N/A,#N/A,TRUE,"Section6";#N/A,#N/A,TRUE,"OHcycles";#N/A,#N/A,TRUE,"OHtiming";#N/A,#N/A,TRUE,"OHcosts";#N/A,#N/A,TRUE,"GTdegradation";#N/A,#N/A,TRUE,"GTperformance";#N/A,#N/A,TRUE,"GraphEquip"}</definedName>
    <definedName name="wrn.Section6Equipment." localSheetId="3" hidden="1">{#N/A,#N/A,TRUE,"Section6";#N/A,#N/A,TRUE,"OHcycles";#N/A,#N/A,TRUE,"OHtiming";#N/A,#N/A,TRUE,"OHcosts";#N/A,#N/A,TRUE,"GTdegradation";#N/A,#N/A,TRUE,"GTperformance";#N/A,#N/A,TRUE,"GraphEquip"}</definedName>
    <definedName name="wrn.Section6Equipment." localSheetId="2" hidden="1">{#N/A,#N/A,TRUE,"Section6";#N/A,#N/A,TRUE,"OHcycles";#N/A,#N/A,TRUE,"OHtiming";#N/A,#N/A,TRUE,"OHcosts";#N/A,#N/A,TRUE,"GTdegradation";#N/A,#N/A,TRUE,"GTperformance";#N/A,#N/A,TRUE,"GraphEquip"}</definedName>
    <definedName name="wrn.Section6Equipment." localSheetId="5"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4" hidden="1">{#N/A,#N/A,TRUE,"Section7";#N/A,#N/A,TRUE,"DebtService";#N/A,#N/A,TRUE,"LoanSchedules";#N/A,#N/A,TRUE,"GraphDebt"}</definedName>
    <definedName name="wrn.Section7DebtService." localSheetId="3" hidden="1">{#N/A,#N/A,TRUE,"Section7";#N/A,#N/A,TRUE,"DebtService";#N/A,#N/A,TRUE,"LoanSchedules";#N/A,#N/A,TRUE,"GraphDebt"}</definedName>
    <definedName name="wrn.Section7DebtService." localSheetId="2" hidden="1">{#N/A,#N/A,TRUE,"Section7";#N/A,#N/A,TRUE,"DebtService";#N/A,#N/A,TRUE,"LoanSchedules";#N/A,#N/A,TRUE,"GraphDebt"}</definedName>
    <definedName name="wrn.Section7DebtService." localSheetId="5" hidden="1">{#N/A,#N/A,TRUE,"Section7";#N/A,#N/A,TRUE,"DebtService";#N/A,#N/A,TRUE,"LoanSchedules";#N/A,#N/A,TRUE,"GraphDebt"}</definedName>
    <definedName name="wrn.Section7DebtService." hidden="1">{#N/A,#N/A,TRUE,"Section7";#N/A,#N/A,TRUE,"DebtService";#N/A,#N/A,TRUE,"LoanSchedules";#N/A,#N/A,TRUE,"GraphDebt"}</definedName>
    <definedName name="wrn.SponsorSection." localSheetId="4" hidden="1">{#N/A,#N/A,TRUE,"Cover";#N/A,#N/A,TRUE,"Contents";#N/A,#N/A,TRUE,"Organization";#N/A,#N/A,TRUE,"SumSponsor";#N/A,#N/A,TRUE,"Plant1";#N/A,#N/A,TRUE,"Plant2";#N/A,#N/A,TRUE,"Sponsors";#N/A,#N/A,TRUE,"ElPaso1";#N/A,#N/A,TRUE,"GraphSponsor"}</definedName>
    <definedName name="wrn.SponsorSection." localSheetId="3" hidden="1">{#N/A,#N/A,TRUE,"Cover";#N/A,#N/A,TRUE,"Contents";#N/A,#N/A,TRUE,"Organization";#N/A,#N/A,TRUE,"SumSponsor";#N/A,#N/A,TRUE,"Plant1";#N/A,#N/A,TRUE,"Plant2";#N/A,#N/A,TRUE,"Sponsors";#N/A,#N/A,TRUE,"ElPaso1";#N/A,#N/A,TRUE,"GraphSponsor"}</definedName>
    <definedName name="wrn.SponsorSection." localSheetId="2" hidden="1">{#N/A,#N/A,TRUE,"Cover";#N/A,#N/A,TRUE,"Contents";#N/A,#N/A,TRUE,"Organization";#N/A,#N/A,TRUE,"SumSponsor";#N/A,#N/A,TRUE,"Plant1";#N/A,#N/A,TRUE,"Plant2";#N/A,#N/A,TRUE,"Sponsors";#N/A,#N/A,TRUE,"ElPaso1";#N/A,#N/A,TRUE,"GraphSponsor"}</definedName>
    <definedName name="wrn.SponsorSection." localSheetId="5"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4" hidden="1">{"Table A",#N/A,FALSE,"Summary";"Table D",#N/A,FALSE,"Summary";"Table E",#N/A,FALSE,"Summary"}</definedName>
    <definedName name="wrn.Summary." localSheetId="3" hidden="1">{"Table A",#N/A,FALSE,"Summary";"Table D",#N/A,FALSE,"Summary";"Table E",#N/A,FALSE,"Summary"}</definedName>
    <definedName name="wrn.Summary." localSheetId="2" hidden="1">{"Table A",#N/A,FALSE,"Summary";"Table D",#N/A,FALSE,"Summary";"Table E",#N/A,FALSE,"Summary"}</definedName>
    <definedName name="wrn.Summary." localSheetId="5" hidden="1">{"Table A",#N/A,FALSE,"Summary";"Table D",#N/A,FALSE,"Summary";"Table E",#N/A,FALSE,"Summary"}</definedName>
    <definedName name="wrn.Summary." hidden="1">{"Table A",#N/A,FALSE,"Summary";"Table D",#N/A,FALSE,"Summary";"Table E",#N/A,FALSE,"Summary"}</definedName>
    <definedName name="wrn.Total._.Summary." localSheetId="4" hidden="1">{"Total Summary",#N/A,FALSE,"Summary"}</definedName>
    <definedName name="wrn.Total._.Summary." localSheetId="3" hidden="1">{"Total Summary",#N/A,FALSE,"Summary"}</definedName>
    <definedName name="wrn.Total._.Summary." localSheetId="2" hidden="1">{"Total Summary",#N/A,FALSE,"Summary"}</definedName>
    <definedName name="wrn.Total._.Summary." localSheetId="5"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100" l="1"/>
  <c r="E27" i="100"/>
  <c r="E24" i="100"/>
  <c r="E12" i="100"/>
  <c r="D12" i="86"/>
  <c r="E10" i="100"/>
  <c r="E8" i="100"/>
  <c r="E6" i="100"/>
  <c r="D6" i="194"/>
  <c r="D7" i="194"/>
  <c r="C100" i="224"/>
  <c r="F71" i="224"/>
  <c r="E71" i="224"/>
  <c r="F64" i="224"/>
  <c r="E64" i="224"/>
  <c r="H57" i="224"/>
  <c r="G57" i="224"/>
  <c r="G58" i="224"/>
  <c r="G37" i="224"/>
  <c r="D37" i="224"/>
  <c r="G6" i="224"/>
  <c r="H6" i="224"/>
  <c r="D50" i="224"/>
  <c r="D49" i="224"/>
  <c r="D48" i="224"/>
  <c r="G17" i="224"/>
  <c r="H17" i="224"/>
  <c r="D47" i="224"/>
  <c r="D46" i="224"/>
  <c r="D45" i="224"/>
  <c r="F44" i="224"/>
  <c r="D44" i="224"/>
  <c r="G13" i="224"/>
  <c r="H13" i="224"/>
  <c r="H43" i="224"/>
  <c r="D43" i="224"/>
  <c r="G12" i="224"/>
  <c r="H12" i="224"/>
  <c r="D42" i="224"/>
  <c r="D41" i="224"/>
  <c r="D40" i="224"/>
  <c r="D39" i="224"/>
  <c r="D38" i="224"/>
  <c r="F24" i="224"/>
  <c r="E20" i="224"/>
  <c r="G19" i="224"/>
  <c r="H19" i="224"/>
  <c r="H18" i="224"/>
  <c r="G18" i="224"/>
  <c r="G16" i="224"/>
  <c r="H16" i="224"/>
  <c r="G15" i="224"/>
  <c r="H15" i="224"/>
  <c r="H14" i="224"/>
  <c r="G14" i="224"/>
  <c r="G11" i="224"/>
  <c r="H11" i="224"/>
  <c r="H10" i="224"/>
  <c r="F29" i="224"/>
  <c r="G10" i="224"/>
  <c r="H9" i="224"/>
  <c r="G9" i="224"/>
  <c r="G8" i="224"/>
  <c r="H8" i="224"/>
  <c r="A8" i="224"/>
  <c r="A9" i="224"/>
  <c r="A10" i="224"/>
  <c r="G7" i="224"/>
  <c r="H7" i="224"/>
  <c r="A7" i="224"/>
  <c r="F103" i="223"/>
  <c r="F98" i="223"/>
  <c r="E103" i="223"/>
  <c r="J42" i="223"/>
  <c r="E98" i="223"/>
  <c r="J33" i="223"/>
  <c r="E87" i="223"/>
  <c r="J86" i="223"/>
  <c r="K77" i="223"/>
  <c r="J62" i="223"/>
  <c r="H42" i="223"/>
  <c r="H33" i="223"/>
  <c r="J21" i="223"/>
  <c r="J15" i="223"/>
  <c r="A7" i="223"/>
  <c r="A8" i="223"/>
  <c r="A9" i="223"/>
  <c r="A12" i="223"/>
  <c r="J29" i="223"/>
  <c r="G24" i="224"/>
  <c r="A11" i="224"/>
  <c r="A12" i="224"/>
  <c r="A13" i="224"/>
  <c r="A14" i="224"/>
  <c r="A15" i="224"/>
  <c r="A16" i="224"/>
  <c r="A17" i="224"/>
  <c r="A18" i="224"/>
  <c r="A19" i="224"/>
  <c r="H20" i="224"/>
  <c r="F23" i="224"/>
  <c r="F25" i="224"/>
  <c r="F27" i="224"/>
  <c r="F30" i="224"/>
  <c r="J41" i="223"/>
  <c r="J38" i="223"/>
  <c r="J56" i="223"/>
  <c r="J59" i="223"/>
  <c r="J64" i="223"/>
  <c r="E68" i="223"/>
  <c r="J34" i="223"/>
  <c r="J55" i="223"/>
  <c r="A13" i="223"/>
  <c r="A14" i="223"/>
  <c r="A15" i="223"/>
  <c r="A18" i="223"/>
  <c r="H15" i="223"/>
  <c r="L85" i="219"/>
  <c r="L86" i="221"/>
  <c r="C77" i="224"/>
  <c r="A20" i="224"/>
  <c r="E73" i="223"/>
  <c r="J70" i="223"/>
  <c r="J72" i="223"/>
  <c r="A19" i="223"/>
  <c r="A20" i="223"/>
  <c r="A21" i="223"/>
  <c r="E22" i="100"/>
  <c r="E20" i="100"/>
  <c r="E18" i="100"/>
  <c r="E16" i="100"/>
  <c r="L84" i="219"/>
  <c r="L83" i="219"/>
  <c r="L82" i="219"/>
  <c r="L81" i="219"/>
  <c r="L80" i="219"/>
  <c r="L85" i="221"/>
  <c r="L84" i="221"/>
  <c r="L83" i="221"/>
  <c r="L82" i="221"/>
  <c r="L81" i="221"/>
  <c r="G7" i="213"/>
  <c r="E7" i="213"/>
  <c r="C101" i="222"/>
  <c r="F72" i="222"/>
  <c r="E72" i="222"/>
  <c r="H43" i="222"/>
  <c r="D43" i="222"/>
  <c r="G12" i="222"/>
  <c r="H12" i="222"/>
  <c r="F65" i="222"/>
  <c r="E65" i="222"/>
  <c r="G59" i="222"/>
  <c r="G37" i="222"/>
  <c r="D37" i="222"/>
  <c r="G6" i="222"/>
  <c r="H6" i="222"/>
  <c r="H58" i="222"/>
  <c r="G58" i="222"/>
  <c r="D50" i="222"/>
  <c r="D49" i="222"/>
  <c r="D48" i="222"/>
  <c r="G17" i="222"/>
  <c r="H17" i="222"/>
  <c r="D47" i="222"/>
  <c r="D46" i="222"/>
  <c r="D45" i="222"/>
  <c r="F44" i="222"/>
  <c r="D44" i="222"/>
  <c r="G13" i="222"/>
  <c r="H13" i="222"/>
  <c r="D42" i="222"/>
  <c r="D41" i="222"/>
  <c r="D40" i="222"/>
  <c r="G9" i="222"/>
  <c r="H9" i="222"/>
  <c r="D39" i="222"/>
  <c r="D38" i="222"/>
  <c r="F24" i="222"/>
  <c r="E20" i="222"/>
  <c r="G19" i="222"/>
  <c r="H19" i="222"/>
  <c r="G18" i="222"/>
  <c r="H18" i="222"/>
  <c r="H16" i="222"/>
  <c r="G16" i="222"/>
  <c r="G15" i="222"/>
  <c r="H15" i="222"/>
  <c r="G14" i="222"/>
  <c r="H14" i="222"/>
  <c r="G11" i="222"/>
  <c r="H11" i="222"/>
  <c r="G10" i="222"/>
  <c r="H10" i="222"/>
  <c r="H8" i="222"/>
  <c r="G8" i="222"/>
  <c r="A8" i="222"/>
  <c r="A9" i="222"/>
  <c r="A10" i="222"/>
  <c r="G7" i="222"/>
  <c r="H7" i="222"/>
  <c r="A7" i="222"/>
  <c r="F103" i="221"/>
  <c r="F98" i="221"/>
  <c r="J86" i="221"/>
  <c r="E87" i="221"/>
  <c r="L79" i="221"/>
  <c r="J62" i="221"/>
  <c r="H42" i="221"/>
  <c r="H33" i="221"/>
  <c r="A7" i="221"/>
  <c r="A8" i="221"/>
  <c r="A9" i="221"/>
  <c r="A12" i="221"/>
  <c r="J21" i="221"/>
  <c r="E103" i="221"/>
  <c r="J42" i="221"/>
  <c r="A23" i="224"/>
  <c r="G23" i="224"/>
  <c r="H21" i="223"/>
  <c r="A23" i="223"/>
  <c r="H29" i="223"/>
  <c r="F29" i="222"/>
  <c r="J15" i="221"/>
  <c r="J29" i="221"/>
  <c r="H20" i="222"/>
  <c r="F23" i="222"/>
  <c r="F25" i="222"/>
  <c r="F27" i="222"/>
  <c r="F30" i="222"/>
  <c r="G24" i="222"/>
  <c r="A11" i="222"/>
  <c r="A12" i="222"/>
  <c r="A13" i="222"/>
  <c r="A14" i="222"/>
  <c r="A15" i="222"/>
  <c r="A16" i="222"/>
  <c r="A17" i="222"/>
  <c r="A18" i="222"/>
  <c r="A19" i="222"/>
  <c r="A13" i="221"/>
  <c r="A14" i="221"/>
  <c r="A15" i="221"/>
  <c r="A18" i="221"/>
  <c r="H15" i="221"/>
  <c r="E98" i="221"/>
  <c r="J33" i="221"/>
  <c r="A24" i="224"/>
  <c r="A25" i="224"/>
  <c r="A24" i="223"/>
  <c r="A25" i="223"/>
  <c r="A26" i="223"/>
  <c r="A27" i="223"/>
  <c r="A29" i="223"/>
  <c r="J38" i="221"/>
  <c r="J56" i="221"/>
  <c r="J41" i="221"/>
  <c r="J34" i="221"/>
  <c r="J55" i="221"/>
  <c r="J59" i="221"/>
  <c r="J64" i="221"/>
  <c r="E68" i="221"/>
  <c r="C78" i="222"/>
  <c r="A20" i="222"/>
  <c r="A19" i="221"/>
  <c r="A20" i="221"/>
  <c r="A21" i="221"/>
  <c r="H21" i="221"/>
  <c r="A26" i="224"/>
  <c r="A27" i="224"/>
  <c r="G25" i="224"/>
  <c r="H30" i="223"/>
  <c r="H41" i="223"/>
  <c r="A33" i="223"/>
  <c r="A34" i="223"/>
  <c r="H34" i="223"/>
  <c r="E73" i="221"/>
  <c r="G23" i="222"/>
  <c r="A23" i="222"/>
  <c r="A23" i="221"/>
  <c r="H29" i="221"/>
  <c r="A28" i="224"/>
  <c r="G27" i="224"/>
  <c r="A38" i="223"/>
  <c r="H55" i="223"/>
  <c r="J70" i="221"/>
  <c r="J72" i="221"/>
  <c r="E6" i="213"/>
  <c r="G6" i="213"/>
  <c r="A24" i="222"/>
  <c r="A25" i="222"/>
  <c r="G25" i="222"/>
  <c r="A24" i="221"/>
  <c r="A25" i="221"/>
  <c r="A26" i="221"/>
  <c r="A27" i="221"/>
  <c r="A29" i="221"/>
  <c r="H30" i="221"/>
  <c r="A29" i="224"/>
  <c r="G29" i="224"/>
  <c r="H56" i="223"/>
  <c r="A41" i="223"/>
  <c r="A42" i="223"/>
  <c r="A43" i="223"/>
  <c r="A44" i="223"/>
  <c r="A45" i="223"/>
  <c r="A48" i="223"/>
  <c r="A26" i="222"/>
  <c r="A27" i="222"/>
  <c r="H41" i="221"/>
  <c r="A33" i="221"/>
  <c r="A34" i="221"/>
  <c r="H34" i="221"/>
  <c r="A30" i="224"/>
  <c r="A37" i="224"/>
  <c r="G30" i="224"/>
  <c r="A49" i="223"/>
  <c r="A50" i="223"/>
  <c r="A51" i="223"/>
  <c r="A52" i="223"/>
  <c r="A53" i="223"/>
  <c r="A54" i="223"/>
  <c r="A55" i="223"/>
  <c r="A56" i="223"/>
  <c r="A57" i="223"/>
  <c r="A58" i="223"/>
  <c r="A59" i="223"/>
  <c r="A61" i="223"/>
  <c r="A64" i="223"/>
  <c r="A28" i="222"/>
  <c r="G27" i="222"/>
  <c r="A38" i="221"/>
  <c r="H55" i="221"/>
  <c r="A38" i="224"/>
  <c r="A39" i="224"/>
  <c r="A40" i="224"/>
  <c r="A41" i="224"/>
  <c r="A42" i="224"/>
  <c r="A43" i="224"/>
  <c r="G78" i="224"/>
  <c r="A68" i="223"/>
  <c r="G68" i="223"/>
  <c r="H59" i="223"/>
  <c r="A29" i="222"/>
  <c r="G29" i="222"/>
  <c r="H56" i="221"/>
  <c r="A41" i="221"/>
  <c r="A42" i="221"/>
  <c r="A43" i="221"/>
  <c r="A44" i="221"/>
  <c r="A45" i="221"/>
  <c r="A48" i="221"/>
  <c r="C79" i="224"/>
  <c r="A44" i="224"/>
  <c r="G70" i="223"/>
  <c r="A69" i="223"/>
  <c r="A70" i="223"/>
  <c r="A30" i="222"/>
  <c r="A37" i="222"/>
  <c r="G30" i="222"/>
  <c r="A49" i="221"/>
  <c r="A50" i="221"/>
  <c r="A51" i="221"/>
  <c r="A52" i="221"/>
  <c r="A53" i="221"/>
  <c r="A54" i="221"/>
  <c r="A55" i="221"/>
  <c r="A56" i="221"/>
  <c r="A57" i="221"/>
  <c r="A58" i="221"/>
  <c r="A59" i="221"/>
  <c r="A61" i="221"/>
  <c r="A64" i="221"/>
  <c r="C73" i="224"/>
  <c r="A45" i="224"/>
  <c r="A46" i="224"/>
  <c r="A47" i="224"/>
  <c r="A48" i="224"/>
  <c r="A49" i="224"/>
  <c r="A50" i="224"/>
  <c r="A71" i="223"/>
  <c r="A72" i="223"/>
  <c r="A73" i="223"/>
  <c r="G79" i="222"/>
  <c r="A38" i="222"/>
  <c r="A39" i="222"/>
  <c r="A40" i="222"/>
  <c r="A41" i="222"/>
  <c r="A42" i="222"/>
  <c r="A43" i="222"/>
  <c r="A68" i="221"/>
  <c r="G68" i="221"/>
  <c r="H59" i="221"/>
  <c r="G73" i="223"/>
  <c r="G72" i="223"/>
  <c r="C80" i="222"/>
  <c r="A44" i="222"/>
  <c r="A69" i="221"/>
  <c r="A70" i="221"/>
  <c r="C74" i="222"/>
  <c r="A45" i="222"/>
  <c r="A46" i="222"/>
  <c r="A47" i="222"/>
  <c r="A48" i="222"/>
  <c r="A49" i="222"/>
  <c r="A50" i="222"/>
  <c r="A71" i="221"/>
  <c r="A72" i="221"/>
  <c r="G70" i="221"/>
  <c r="A73" i="221"/>
  <c r="G73" i="221"/>
  <c r="G72" i="221"/>
  <c r="E10" i="213"/>
  <c r="C100" i="220"/>
  <c r="F71" i="220"/>
  <c r="E71" i="220"/>
  <c r="H43" i="220"/>
  <c r="D43" i="220"/>
  <c r="G12" i="220"/>
  <c r="H12" i="220"/>
  <c r="F64" i="220"/>
  <c r="E64" i="220"/>
  <c r="H57" i="220"/>
  <c r="G57" i="220"/>
  <c r="G58" i="220"/>
  <c r="G37" i="220"/>
  <c r="D37" i="220"/>
  <c r="G6" i="220"/>
  <c r="H6" i="220"/>
  <c r="H20" i="220"/>
  <c r="F23" i="220"/>
  <c r="F25" i="220"/>
  <c r="D50" i="220"/>
  <c r="D49" i="220"/>
  <c r="G18" i="220"/>
  <c r="H18" i="220"/>
  <c r="D48" i="220"/>
  <c r="D47" i="220"/>
  <c r="D46" i="220"/>
  <c r="G15" i="220"/>
  <c r="H15" i="220"/>
  <c r="D45" i="220"/>
  <c r="F44" i="220"/>
  <c r="D44" i="220"/>
  <c r="D42" i="220"/>
  <c r="D41" i="220"/>
  <c r="D40" i="220"/>
  <c r="D39" i="220"/>
  <c r="G8" i="220"/>
  <c r="H8" i="220"/>
  <c r="D38" i="220"/>
  <c r="G7" i="220"/>
  <c r="H7" i="220"/>
  <c r="F29" i="220"/>
  <c r="F24" i="220"/>
  <c r="E20" i="220"/>
  <c r="G19" i="220"/>
  <c r="H19" i="220"/>
  <c r="G17" i="220"/>
  <c r="H17" i="220"/>
  <c r="H16" i="220"/>
  <c r="G16" i="220"/>
  <c r="G14" i="220"/>
  <c r="H14" i="220"/>
  <c r="G13" i="220"/>
  <c r="H13" i="220"/>
  <c r="G11" i="220"/>
  <c r="H11" i="220"/>
  <c r="H10" i="220"/>
  <c r="G10" i="220"/>
  <c r="G9" i="220"/>
  <c r="H9" i="220"/>
  <c r="A8" i="220"/>
  <c r="A9" i="220"/>
  <c r="A10" i="220"/>
  <c r="A7" i="220"/>
  <c r="F103" i="219"/>
  <c r="F98" i="219"/>
  <c r="E87" i="219"/>
  <c r="J86" i="219"/>
  <c r="L78" i="219"/>
  <c r="J62" i="219"/>
  <c r="H42" i="219"/>
  <c r="H33" i="219"/>
  <c r="J21" i="219"/>
  <c r="A7" i="219"/>
  <c r="A8" i="219"/>
  <c r="A9" i="219"/>
  <c r="A12" i="219"/>
  <c r="J15" i="219"/>
  <c r="J29" i="219"/>
  <c r="J38" i="219"/>
  <c r="J56" i="219"/>
  <c r="E103" i="219"/>
  <c r="J42" i="219"/>
  <c r="F27" i="220"/>
  <c r="F30" i="220"/>
  <c r="A11" i="220"/>
  <c r="A12" i="220"/>
  <c r="A13" i="220"/>
  <c r="A14" i="220"/>
  <c r="A15" i="220"/>
  <c r="A16" i="220"/>
  <c r="A17" i="220"/>
  <c r="A18" i="220"/>
  <c r="A19" i="220"/>
  <c r="G24" i="220"/>
  <c r="A13" i="219"/>
  <c r="A14" i="219"/>
  <c r="A15" i="219"/>
  <c r="A18" i="219"/>
  <c r="H15" i="219"/>
  <c r="E98" i="219"/>
  <c r="J33" i="219"/>
  <c r="J34" i="219"/>
  <c r="J55" i="219"/>
  <c r="J41" i="219"/>
  <c r="J59" i="219"/>
  <c r="J64" i="219"/>
  <c r="E68" i="219"/>
  <c r="C77" i="220"/>
  <c r="A20" i="220"/>
  <c r="E70" i="219"/>
  <c r="E72" i="219"/>
  <c r="A19" i="219"/>
  <c r="A20" i="219"/>
  <c r="A21" i="219"/>
  <c r="H21" i="219"/>
  <c r="E73" i="219"/>
  <c r="G23" i="220"/>
  <c r="A23" i="220"/>
  <c r="A23" i="219"/>
  <c r="H29" i="219"/>
  <c r="J70" i="219"/>
  <c r="J72" i="219"/>
  <c r="E9" i="213"/>
  <c r="A24" i="220"/>
  <c r="A25" i="220"/>
  <c r="A24" i="219"/>
  <c r="A25" i="219"/>
  <c r="A26" i="219"/>
  <c r="A27" i="219"/>
  <c r="A29" i="219"/>
  <c r="A26" i="220"/>
  <c r="A27" i="220"/>
  <c r="G27" i="220"/>
  <c r="G25" i="220"/>
  <c r="H41" i="219"/>
  <c r="A33" i="219"/>
  <c r="A34" i="219"/>
  <c r="H34" i="219"/>
  <c r="H30" i="219"/>
  <c r="A28" i="220"/>
  <c r="A38" i="219"/>
  <c r="H55" i="219"/>
  <c r="A29" i="220"/>
  <c r="G29" i="220"/>
  <c r="H56" i="219"/>
  <c r="A41" i="219"/>
  <c r="A42" i="219"/>
  <c r="A43" i="219"/>
  <c r="A44" i="219"/>
  <c r="A45" i="219"/>
  <c r="A48" i="219"/>
  <c r="A30" i="220"/>
  <c r="A37" i="220"/>
  <c r="G30" i="220"/>
  <c r="A49" i="219"/>
  <c r="A50" i="219"/>
  <c r="A51" i="219"/>
  <c r="A52" i="219"/>
  <c r="A53" i="219"/>
  <c r="A54" i="219"/>
  <c r="A55" i="219"/>
  <c r="A56" i="219"/>
  <c r="A57" i="219"/>
  <c r="A58" i="219"/>
  <c r="A59" i="219"/>
  <c r="G78" i="220"/>
  <c r="A38" i="220"/>
  <c r="A39" i="220"/>
  <c r="A40" i="220"/>
  <c r="A41" i="220"/>
  <c r="A42" i="220"/>
  <c r="A43" i="220"/>
  <c r="H64" i="219"/>
  <c r="A61" i="219"/>
  <c r="A64" i="219"/>
  <c r="H59" i="219"/>
  <c r="C79" i="220"/>
  <c r="A44" i="220"/>
  <c r="A68" i="219"/>
  <c r="G68" i="219"/>
  <c r="A45" i="220"/>
  <c r="A46" i="220"/>
  <c r="A47" i="220"/>
  <c r="A48" i="220"/>
  <c r="A49" i="220"/>
  <c r="A50" i="220"/>
  <c r="C73" i="220"/>
  <c r="A69" i="219"/>
  <c r="A70" i="219"/>
  <c r="A71" i="219"/>
  <c r="A72" i="219"/>
  <c r="A73" i="219"/>
  <c r="G70" i="219"/>
  <c r="G73" i="219"/>
  <c r="G72" i="219"/>
  <c r="D8" i="194"/>
  <c r="F10" i="213"/>
  <c r="G10" i="213"/>
  <c r="F9" i="213"/>
  <c r="G9" i="213"/>
  <c r="F7" i="213"/>
  <c r="F6" i="213"/>
  <c r="G11" i="213"/>
  <c r="G8" i="213"/>
  <c r="G12" i="213"/>
  <c r="H24" i="86"/>
  <c r="I12" i="86"/>
  <c r="J12" i="86"/>
  <c r="K12" i="86"/>
  <c r="I13" i="86"/>
  <c r="J13" i="86"/>
  <c r="K13" i="86"/>
  <c r="I14" i="86"/>
  <c r="J14" i="86"/>
  <c r="K14" i="86"/>
  <c r="I15" i="86"/>
  <c r="J15" i="86"/>
  <c r="K15" i="86"/>
  <c r="I16" i="86"/>
  <c r="J16" i="86"/>
  <c r="K16" i="86"/>
  <c r="I17" i="86"/>
  <c r="J17" i="86"/>
  <c r="K17" i="86"/>
  <c r="I18" i="86"/>
  <c r="J18" i="86"/>
  <c r="K18" i="86"/>
  <c r="I19" i="86"/>
  <c r="J19" i="86"/>
  <c r="K19" i="86"/>
  <c r="I20" i="86"/>
  <c r="J20" i="86"/>
  <c r="K20" i="86"/>
  <c r="I21" i="86"/>
  <c r="J21" i="86"/>
  <c r="K21" i="86"/>
  <c r="I22" i="86"/>
  <c r="J22" i="86"/>
  <c r="K22" i="86"/>
  <c r="I23" i="86"/>
  <c r="J23" i="86"/>
  <c r="K23" i="86"/>
  <c r="H25" i="86"/>
  <c r="I24" i="86"/>
  <c r="J24" i="86"/>
  <c r="K24" i="86"/>
  <c r="I25" i="86"/>
  <c r="H26" i="86"/>
  <c r="D13" i="86"/>
  <c r="E12" i="86"/>
  <c r="J25" i="86"/>
  <c r="K25" i="86"/>
  <c r="I26" i="86"/>
  <c r="H27" i="86"/>
  <c r="H28" i="86"/>
  <c r="H29" i="86"/>
  <c r="H30" i="86"/>
  <c r="H31" i="86"/>
  <c r="H32" i="86"/>
  <c r="H33" i="86"/>
  <c r="H34" i="86"/>
  <c r="H35" i="86"/>
  <c r="H36" i="86"/>
  <c r="F12" i="86"/>
  <c r="G12" i="86"/>
  <c r="E13" i="86"/>
  <c r="D14" i="86"/>
  <c r="J26" i="86"/>
  <c r="K26" i="86"/>
  <c r="I27" i="86"/>
  <c r="F13" i="86"/>
  <c r="G13" i="86"/>
  <c r="E14" i="86"/>
  <c r="D15" i="86"/>
  <c r="J27" i="86"/>
  <c r="K27" i="86"/>
  <c r="I28" i="86"/>
  <c r="F14" i="86"/>
  <c r="G14" i="86"/>
  <c r="E15" i="86"/>
  <c r="D16" i="86"/>
  <c r="D17" i="86"/>
  <c r="J28" i="86"/>
  <c r="K28" i="86"/>
  <c r="I29" i="86"/>
  <c r="F15" i="86"/>
  <c r="G15" i="86"/>
  <c r="E16" i="86"/>
  <c r="D18" i="86"/>
  <c r="D19" i="86"/>
  <c r="D20" i="86"/>
  <c r="D21" i="86"/>
  <c r="D22" i="86"/>
  <c r="D23" i="86"/>
  <c r="D36" i="86"/>
  <c r="J29" i="86"/>
  <c r="K29" i="86"/>
  <c r="I30" i="86"/>
  <c r="F16" i="86"/>
  <c r="G16" i="86"/>
  <c r="E17" i="86"/>
  <c r="J30" i="86"/>
  <c r="K30" i="86"/>
  <c r="I31" i="86"/>
  <c r="F17" i="86"/>
  <c r="G17" i="86"/>
  <c r="E18" i="86"/>
  <c r="J31" i="86"/>
  <c r="K31" i="86"/>
  <c r="I32" i="86"/>
  <c r="F18" i="86"/>
  <c r="G18" i="86"/>
  <c r="E19" i="86"/>
  <c r="J32" i="86"/>
  <c r="K32" i="86"/>
  <c r="I33" i="86"/>
  <c r="F19" i="86"/>
  <c r="G19" i="86"/>
  <c r="E20" i="86"/>
  <c r="J33" i="86"/>
  <c r="K33" i="86"/>
  <c r="I34" i="86"/>
  <c r="F20" i="86"/>
  <c r="G20" i="86"/>
  <c r="E21" i="86"/>
  <c r="J34" i="86"/>
  <c r="K34" i="86"/>
  <c r="I35" i="86"/>
  <c r="F21" i="86"/>
  <c r="G21" i="86"/>
  <c r="E22" i="86"/>
  <c r="J35" i="86"/>
  <c r="K35" i="86"/>
  <c r="K36" i="86"/>
  <c r="F22" i="86"/>
  <c r="G22" i="86"/>
  <c r="E23" i="86"/>
  <c r="F24" i="100"/>
  <c r="F23" i="86"/>
  <c r="G23" i="86"/>
  <c r="E24" i="86"/>
  <c r="F20" i="100"/>
  <c r="F16" i="100"/>
  <c r="F22" i="100"/>
  <c r="F18" i="100"/>
  <c r="F24" i="86"/>
  <c r="G24" i="86"/>
  <c r="E25" i="86"/>
  <c r="F25" i="86"/>
  <c r="G25" i="86"/>
  <c r="E26" i="86"/>
  <c r="F26" i="86"/>
  <c r="G26" i="86"/>
  <c r="E27" i="86"/>
  <c r="F27" i="86"/>
  <c r="G27" i="86"/>
  <c r="E28" i="86"/>
  <c r="F28" i="86"/>
  <c r="G28" i="86"/>
  <c r="E29" i="86"/>
  <c r="F29" i="86"/>
  <c r="G29" i="86"/>
  <c r="E30" i="86"/>
  <c r="F30" i="86"/>
  <c r="G30" i="86"/>
  <c r="E31" i="86"/>
  <c r="F31" i="86"/>
  <c r="G31" i="86"/>
  <c r="E32" i="86"/>
  <c r="F32" i="86"/>
  <c r="G32" i="86"/>
  <c r="E33" i="86"/>
  <c r="F33" i="86"/>
  <c r="G33" i="86"/>
  <c r="E34" i="86"/>
  <c r="F34" i="86"/>
  <c r="G34" i="86"/>
  <c r="E35" i="86"/>
  <c r="F35" i="86"/>
  <c r="G35" i="86"/>
  <c r="G36" i="86"/>
  <c r="K37" i="86"/>
  <c r="F12" i="100"/>
  <c r="F10" i="100"/>
  <c r="F6" i="100"/>
  <c r="F8" i="10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Hansen, Berton J</author>
  </authors>
  <commentList>
    <comment ref="F62" authorId="0" shapeId="0" xr:uid="{0138F40E-78A5-49DD-A9D6-052389FEDA76}">
      <text>
        <r>
          <rPr>
            <sz val="9"/>
            <color indexed="81"/>
            <rFont val="Tahoma"/>
            <family val="2"/>
          </rPr>
          <t>Settlement term 3: New Line 39a reversing Line 39 Incentive Adder.  Will not apply to True Up Years of 2016 and 2017 as the True Up TRR for those years will be calculated pursuant to the Original Formula Rate (workpaper).</t>
        </r>
      </text>
    </comment>
    <comment ref="E84" authorId="0" shapeId="0" xr:uid="{F8952EDD-9738-4284-A4E5-1FB4CFA1A39B}">
      <text>
        <r>
          <rPr>
            <sz val="9"/>
            <color indexed="81"/>
            <rFont val="Tahoma"/>
            <family val="2"/>
          </rPr>
          <t>11.2% for 2018 True Up TRR pursuant to Settlement Term #3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163D43FE-BED5-4B18-A9B7-28C227C742C0}">
      <text>
        <r>
          <rPr>
            <b/>
            <sz val="9"/>
            <color indexed="81"/>
            <rFont val="Tahoma"/>
            <family val="2"/>
          </rPr>
          <t>Changed from $52,489,732 to -$22,559,378 due to signage error in the Order 668 Amount Transferred from O&amp;M Accounts 569.</t>
        </r>
        <r>
          <rPr>
            <sz val="9"/>
            <color indexed="81"/>
            <rFont val="Tahoma"/>
            <family val="2"/>
          </rPr>
          <t xml:space="preserve">
</t>
        </r>
        <r>
          <rPr>
            <b/>
            <sz val="9"/>
            <color indexed="81"/>
            <rFont val="Tahoma"/>
            <family val="2"/>
          </rPr>
          <t>Changed from -$22,559,378 to -$21,943,253 due to linkage error in Account 920.</t>
        </r>
      </text>
    </comment>
    <comment ref="E40" authorId="0" shapeId="0" xr:uid="{7CCF175F-58BE-4556-93E3-8CFB891F212C}">
      <text>
        <r>
          <rPr>
            <b/>
            <sz val="9"/>
            <color indexed="81"/>
            <rFont val="Tahoma"/>
            <family val="2"/>
          </rPr>
          <t xml:space="preserve">Change from $8,764,418 to $8,764,724 due to removal of outside counsel cost related to employment litigation or arbitration matters which should have been excluded.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1E4C8A8C-EE3C-472E-96E2-07A94A6D6BBC}">
      <text>
        <r>
          <rPr>
            <b/>
            <sz val="9"/>
            <color indexed="81"/>
            <rFont val="Tahoma"/>
            <family val="2"/>
          </rPr>
          <t>Changed from $79,510,926 to $1,215,512 due to signage error of the Order 668 Transfer from O&amp;M Account 569.
Changed from $1,215,512 to $2,246,627 due to removal of BRRBA Distribution credit adjustment from A&amp;G to Distribution.</t>
        </r>
      </text>
    </comment>
    <comment ref="E40" authorId="0" shapeId="0" xr:uid="{710AC963-0AB2-4EF0-A5AC-EA8C6DF85609}">
      <text>
        <r>
          <rPr>
            <b/>
            <sz val="9"/>
            <color indexed="81"/>
            <rFont val="Tahoma"/>
            <family val="2"/>
          </rPr>
          <t>Changed from $8,247,856 to $8,248,338 due to removal of outside counsel cost related to employment litigation or arbitration matters which should have been excluded.
Changed from $8,248,338 to $8,976,114 due to removal of BRRBA Distribution credit adjustment from A&amp;G to Distribution.</t>
        </r>
      </text>
    </comment>
    <comment ref="E43" authorId="0" shapeId="0" xr:uid="{1BD8A650-D0E3-48BD-BE17-B090A0A951B9}">
      <text>
        <r>
          <rPr>
            <b/>
            <sz val="9"/>
            <color indexed="81"/>
            <rFont val="Tahoma"/>
            <family val="2"/>
          </rPr>
          <t>Changed from $15,470,760 to $15,732,311 due to removal of BRRBA Distribution credit adjustment from A&amp;G to Distribution.
Changed from $15,732,311 to $16,070,355 due to removal of non-shareholder related credit to A&amp;G removing Pensions &amp; Benefits Billed to Affiliates.</t>
        </r>
      </text>
    </comment>
    <comment ref="E48" authorId="0" shapeId="0" xr:uid="{34EEA0A9-EBB6-46D1-ABFB-99AC50672BBD}">
      <text>
        <r>
          <rPr>
            <b/>
            <sz val="9"/>
            <color indexed="81"/>
            <rFont val="Tahoma"/>
            <family val="2"/>
          </rPr>
          <t>Changed from $5,984,741 to  $5,999,239 due to removal of BRRBA Distribution credit adjustment from A&amp;G to Distribution.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0C02C1C7-E219-41C1-90C7-C035A82C719A}">
      <text>
        <r>
          <rPr>
            <b/>
            <sz val="9"/>
            <color indexed="81"/>
            <rFont val="Tahoma"/>
            <family val="2"/>
          </rPr>
          <t>Changed from $74,324,198 to -$3,971,216 due to signage error of the Order 668 Transfer from O&amp;M Accounts 569. 
Changed from -$3,971,216 to -$2,940,102 due to removal of BRRBA Distribution credit adjustment from A&amp;G to Distribution.</t>
        </r>
      </text>
    </comment>
    <comment ref="E40" authorId="0" shapeId="0" xr:uid="{AC78D909-2A21-4D0A-8C8A-E42FC7B357D2}">
      <text>
        <r>
          <rPr>
            <b/>
            <sz val="9"/>
            <color indexed="81"/>
            <rFont val="Tahoma"/>
            <family val="2"/>
          </rPr>
          <t>Changed from $8,235,606 to $8,236,088 due to removal of outside counsel cost related to employment litigation or arbitration matters which should have been excluded.
Changed from $8,236,088 to $8,963,864 due to removal of BRRBA Distribution credit adjustment from A&amp;G to Distribution.</t>
        </r>
      </text>
    </comment>
    <comment ref="E43" authorId="0" shapeId="0" xr:uid="{3637712F-62D8-44AE-8D0A-6B0CAF4D01C8}">
      <text>
        <r>
          <rPr>
            <b/>
            <sz val="9"/>
            <color indexed="81"/>
            <rFont val="Tahoma"/>
            <family val="2"/>
          </rPr>
          <t>Changed from $14,093,319 to $14,354,870 due to removal of BRRBA Distribution credit adjustment from A&amp;G to Distribution.
Changed from $14,354,870 to $14,692,914 due to removal of non-shareholder related credit to A&amp;G removing Pensions &amp; Benefits Billed to Affiliates.</t>
        </r>
      </text>
    </comment>
    <comment ref="E48" authorId="0" shapeId="0" xr:uid="{27B4FA49-B3EC-4D14-80CC-068FE89EC7C5}">
      <text>
        <r>
          <rPr>
            <b/>
            <sz val="9"/>
            <color indexed="81"/>
            <rFont val="Tahoma"/>
            <family val="2"/>
          </rPr>
          <t>Changed from $5,984,741 to  $5,999,239 due to removal of BRRBA Distribution credit adjustment from A&amp;G to Distribution.</t>
        </r>
      </text>
    </comment>
  </commentList>
</comments>
</file>

<file path=xl/sharedStrings.xml><?xml version="1.0" encoding="utf-8"?>
<sst xmlns="http://schemas.openxmlformats.org/spreadsheetml/2006/main" count="1167" uniqueCount="393">
  <si>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</si>
  <si>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</si>
  <si>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</si>
  <si>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</si>
  <si>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</si>
  <si>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</si>
  <si>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</si>
  <si>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</si>
  <si>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</si>
  <si>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</si>
  <si>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</si>
  <si>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</si>
  <si>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</si>
  <si>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</si>
  <si>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</si>
  <si>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</si>
  <si>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</si>
  <si>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</si>
  <si>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</si>
  <si>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</si>
  <si>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</si>
  <si>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</si>
  <si>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</si>
  <si>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</si>
  <si>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</si>
  <si>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</si>
  <si>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</si>
  <si>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</si>
  <si>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</si>
  <si>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</si>
  <si>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</si>
  <si>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</si>
  <si>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</si>
  <si>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</si>
  <si>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</si>
  <si>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</si>
  <si>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</si>
  <si>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</si>
  <si>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</si>
  <si>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</si>
  <si>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</si>
  <si>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</si>
  <si>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</si>
  <si>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</si>
  <si>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</si>
  <si>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</si>
  <si>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</si>
  <si>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</si>
  <si>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</si>
  <si>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</si>
  <si>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</si>
  <si>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</si>
  <si>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</si>
  <si>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</si>
  <si>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</si>
  <si>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</si>
  <si>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</si>
  <si>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</si>
  <si>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</si>
  <si>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</si>
  <si>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</si>
  <si>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</si>
  <si>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</si>
  <si>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</si>
  <si>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</si>
  <si>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</si>
  <si>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</si>
  <si>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</si>
  <si>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</si>
  <si>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</si>
  <si>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</si>
  <si>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</si>
  <si>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</si>
  <si>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</si>
  <si>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</si>
  <si>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</si>
  <si>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</si>
  <si>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</si>
  <si>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</si>
  <si>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</si>
  <si>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</si>
  <si>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</si>
  <si>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</si>
  <si>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</si>
  <si>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</si>
  <si>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</si>
  <si>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</si>
  <si>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</si>
  <si>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</si>
  <si>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</si>
  <si>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</si>
  <si>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</si>
  <si>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</si>
  <si>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</si>
  <si>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</si>
  <si>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</si>
  <si>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</si>
  <si>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</si>
  <si>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</si>
  <si>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</si>
  <si>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</si>
  <si>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</si>
  <si>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</si>
  <si>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</si>
  <si>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</si>
  <si>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</si>
  <si>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</si>
  <si>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</si>
  <si>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</si>
  <si>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</si>
  <si>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</si>
  <si>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</si>
  <si>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</si>
  <si>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</si>
  <si>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</si>
  <si>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</si>
  <si>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</si>
  <si>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</si>
  <si>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</si>
  <si>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</si>
  <si>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</si>
  <si>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</si>
  <si>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</si>
  <si>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</si>
  <si>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</si>
  <si>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</si>
  <si>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</si>
  <si>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</si>
  <si>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</si>
  <si>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</si>
  <si>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</si>
  <si>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</si>
  <si>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</si>
  <si>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</si>
  <si>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</si>
  <si>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</si>
  <si>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</si>
  <si>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</si>
  <si>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</si>
  <si>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</si>
  <si>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</si>
  <si>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</si>
  <si>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</si>
  <si>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</si>
  <si>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Changes to 2018</t>
  </si>
  <si>
    <t>One Time Adjustment for Revised 2018 True Up TRR</t>
  </si>
  <si>
    <t>2018</t>
  </si>
  <si>
    <t xml:space="preserve">One Time Adjustment for Revised 2018 True Up TRR </t>
  </si>
  <si>
    <t>1/8 (O&amp;M + A&amp;G)</t>
  </si>
  <si>
    <t>TO2020 TUTRR</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</si>
  <si>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</si>
  <si>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</si>
  <si>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</si>
  <si>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</si>
  <si>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</si>
  <si>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</si>
  <si>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Line 38 + Line 39 + Line 39a</t>
  </si>
  <si>
    <t>Second Formula Rate ER18-169 Settlement</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</si>
  <si>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</si>
  <si>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</si>
  <si>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</si>
  <si>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 xml:space="preserve">Total One-Time Adj with Interest: </t>
  </si>
  <si>
    <t>2.</t>
  </si>
  <si>
    <t>E</t>
  </si>
  <si>
    <t>TO2022</t>
  </si>
  <si>
    <t>Changes to 2019</t>
  </si>
  <si>
    <t>Total One-Time Adjustment for 2018 Reflected in the June TO2022 Draft Posting</t>
  </si>
  <si>
    <t>Total One-Time Adjustment for 2019 Reflected in the June TO2022 Draft Posting</t>
  </si>
  <si>
    <t>Total One-Time Adjustment for 2018 through 2019 Reflected in the June TO2022 Draft Posting</t>
  </si>
  <si>
    <t>*  The TO2022 One-Time Adjustment is equal to the TO2020/TO2021 TUTRR Change, plus interest through December 31, 2019.</t>
  </si>
  <si>
    <t>One Time Adjustment for Revised 2019 True Up TRR</t>
  </si>
  <si>
    <t>2019</t>
  </si>
  <si>
    <t>Revised TO2020 True Up TRR in TO2021 Filing</t>
  </si>
  <si>
    <t>(1) 2018 A&amp;G signage correction for the Order 668 Transfer from O&amp;M Account 569</t>
  </si>
  <si>
    <t>Revised TO2020 True Up TRR in TO2022 Draft Posting</t>
  </si>
  <si>
    <t>(1) 2019 A&amp;G signage correction for the Order 668 Transfer from O&amp;M Account 569</t>
  </si>
  <si>
    <t>Weighting Factor</t>
  </si>
  <si>
    <t>Weighted Amount</t>
  </si>
  <si>
    <t xml:space="preserve">One Time Adjustment to Reflect 2019 True Up TRR </t>
  </si>
  <si>
    <t>TO2021 Annual Update - WP Sch 3 One Time Adj Prior Period Page 20, Line 46</t>
  </si>
  <si>
    <t>A&amp;G Order 668 Adj</t>
  </si>
  <si>
    <r>
      <t>TO2021 Annual Filing - WP Schedule 3 - One Time Adj Prior Period, Page</t>
    </r>
    <r>
      <rPr>
        <sz val="11"/>
        <rFont val="Calibri"/>
        <family val="2"/>
        <scheme val="minor"/>
      </rPr>
      <t xml:space="preserve"> 20</t>
    </r>
    <r>
      <rPr>
        <sz val="11"/>
        <color theme="1"/>
        <rFont val="Calibri"/>
        <family val="2"/>
        <scheme val="minor"/>
      </rPr>
      <t>, Line 46.</t>
    </r>
  </si>
  <si>
    <t xml:space="preserve">TO2021 Weighted One Time Adjustment: </t>
  </si>
  <si>
    <t xml:space="preserve">Total One Time Adjustment: </t>
  </si>
  <si>
    <t xml:space="preserve">TO2018 Weighted One Time Adjustment: </t>
  </si>
  <si>
    <t>TO2021 TUTRR</t>
  </si>
  <si>
    <t>TO2021 Annual Update - Attachment 5, Sch4, Line 46</t>
  </si>
  <si>
    <t>Settlement of TO2019A (ER19-1553)</t>
  </si>
  <si>
    <t>169 FERC ¶ 61,177</t>
  </si>
  <si>
    <t>TO2021 Annual Update - Attachment 1, Sch4, Line 46</t>
  </si>
  <si>
    <t>(Line 39) for True Up Years during the term of the settlement of ER19-1553.</t>
  </si>
  <si>
    <t>Revised TO2018 Model True Up TRR</t>
  </si>
  <si>
    <t>TO2021 Annual Update - Attachment 5, Schedule 4, Line 46</t>
  </si>
  <si>
    <t>TO2018 Model True Up TRR</t>
  </si>
  <si>
    <t xml:space="preserve">Revised TO2021 Model True Up TRR </t>
  </si>
  <si>
    <t xml:space="preserve">TO2021 Model True Up TRR </t>
  </si>
  <si>
    <t>TO2021 Annual Update Filing- Attachment 1, Schedule 4, Line 46</t>
  </si>
  <si>
    <t>A&amp;G 923 Exclusion</t>
  </si>
  <si>
    <t>Total Adjustment</t>
  </si>
  <si>
    <t>Calculation of Administrative and General Expense</t>
  </si>
  <si>
    <t>Inputs are shaded yellow</t>
  </si>
  <si>
    <t>Col 1</t>
  </si>
  <si>
    <t>Col 2</t>
  </si>
  <si>
    <t>Col 3</t>
  </si>
  <si>
    <t>Col 4</t>
  </si>
  <si>
    <t>See Note 1</t>
  </si>
  <si>
    <t>FERC Form 1</t>
  </si>
  <si>
    <t>Data</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</si>
  <si>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</si>
  <si>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</si>
  <si>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</si>
  <si>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</si>
  <si>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</si>
  <si>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</si>
  <si>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</si>
  <si>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</si>
  <si>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</si>
  <si>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</si>
  <si>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</si>
  <si>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</si>
  <si>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</si>
  <si>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</si>
  <si>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</si>
  <si>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</si>
  <si>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</si>
  <si>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</si>
  <si>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Franchise Requirements</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</si>
  <si>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</si>
  <si>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</si>
  <si>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</si>
  <si>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</si>
  <si>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</si>
  <si>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</si>
  <si>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</si>
  <si>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</si>
  <si>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</si>
  <si>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</si>
  <si>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</si>
  <si>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</si>
  <si>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</si>
  <si>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</si>
  <si>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</si>
  <si>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</si>
  <si>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</si>
  <si>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</si>
  <si>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27-Allocators, Line 5</t>
  </si>
  <si>
    <t>Transmission W&amp;S AF Portion of A&amp;G:</t>
  </si>
  <si>
    <t>Transmission Plant Allocation Factor:</t>
  </si>
  <si>
    <t>27-Allocators, Line 18</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</si>
  <si>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</si>
  <si>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</si>
  <si>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</si>
  <si>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</si>
  <si>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</si>
  <si>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</si>
  <si>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</si>
  <si>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</si>
  <si>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</si>
  <si>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</si>
  <si>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</si>
  <si>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</si>
  <si>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</si>
  <si>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</si>
  <si>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3</t>
  </si>
  <si>
    <t>See Note 4</t>
  </si>
  <si>
    <t xml:space="preserve">Note 2: Non-Officer Incentive Compensation ("NOIC") Adjustment </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</si>
  <si>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</si>
  <si>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</si>
  <si>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</si>
  <si>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</si>
  <si>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</si>
  <si>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</si>
  <si>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</si>
  <si>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</si>
  <si>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</si>
  <si>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</si>
  <si>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</si>
  <si>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</si>
  <si>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Total:</t>
  </si>
  <si>
    <t>Note 3: PBOPs Exclusion Calculation</t>
  </si>
  <si>
    <t>Note:</t>
  </si>
  <si>
    <t>Current Authorized PBOPs Expense Amount:</t>
  </si>
  <si>
    <t>See instruction #4</t>
  </si>
  <si>
    <t>Prior Year Authorized PBOPs Expense Amount:</t>
  </si>
  <si>
    <t>Authorized PBOPs Expense Amount during Prior Year</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</si>
  <si>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</si>
  <si>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</si>
  <si>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</si>
  <si>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</si>
  <si>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</si>
  <si>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</si>
  <si>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</si>
  <si>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</si>
  <si>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</si>
  <si>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</si>
  <si>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</si>
  <si>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</si>
  <si>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</si>
  <si>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</si>
  <si>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</si>
  <si>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</si>
  <si>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</si>
  <si>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</si>
  <si>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</si>
  <si>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</si>
  <si>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or fines.</t>
  </si>
  <si>
    <t>4) Any amount of costs recovered 100% through California Public Utilities Commission ("CPUC") rates.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</si>
  <si>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</si>
  <si>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</si>
  <si>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</si>
  <si>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</si>
  <si>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 expense</t>
  </si>
  <si>
    <t>during the Prior Year is excluded from account 926 (see note 3). Docket or Decision approving authorized PBOPs amount:</t>
  </si>
  <si>
    <t>ER19-1226</t>
  </si>
  <si>
    <t>5) SCE shall make no adjustments to recorded labor amounts related to non-labor labor and/or Indirect labor in Schedule 20.</t>
  </si>
  <si>
    <t>(2) 2018 A&amp;G 923 adjustment to remove outside counsel cost related to employment litigation or arbitration matters which should have been excluded.</t>
  </si>
  <si>
    <t>A&amp;G Order 668 Transfer</t>
  </si>
  <si>
    <t>A&amp;G 923 Adjustment</t>
  </si>
  <si>
    <t>A&amp;G BRRBA Distribution Credit Adjustment</t>
  </si>
  <si>
    <t>A&amp;G 926 SH Adjustment</t>
  </si>
  <si>
    <t>Workpaper:</t>
  </si>
  <si>
    <t>WP Schedule 20 A&amp;G</t>
  </si>
  <si>
    <t>See Instruction 6</t>
  </si>
  <si>
    <t>ER20-1382</t>
  </si>
  <si>
    <t>6) Any A&amp;G costs associated with wildfires other than the 2017/18 Wildfire/Mudslide Events shall be reflected in A&amp;G accounts on a cash basis during the</t>
  </si>
  <si>
    <t xml:space="preserve">year in which associated cash payments are made.  In the event an initial cost accrual is made in a year to one or more A&amp;G accounts 920-935, </t>
  </si>
  <si>
    <t>SCE shall exclude from A&amp;G cost recovery any amount not paid in cash during that year through an entry to Column 1, Lines 24-37 of the</t>
  </si>
  <si>
    <t>"Itemization of Exclusions" matrix to the account in which the initial expense accrual was made.  As cash payments related to the initial expense accrual are</t>
  </si>
  <si>
    <t xml:space="preserve">made in future years, SCE shall also include those expenses in A&amp;G cost recovery on a cash basis through an entry to the Itemization of Exclusions matrix. </t>
  </si>
  <si>
    <t>A&amp;G Order 668 Transfer Adjustment</t>
  </si>
  <si>
    <t>A&amp;G BRRBA Adjustment</t>
  </si>
  <si>
    <t>(2) 2019 A&amp;G 923 adjustment to remove outside counsel cost related to employment litigation or arbitration matters which should have been excluded.</t>
  </si>
  <si>
    <t>(4) 2019 A&amp;G adjustment to remove a  non-shareholder related credit to A&amp;G removing Pensions &amp; Benefits Billed to Affiliates.</t>
  </si>
  <si>
    <t>(3) 2019 A&amp;G adjustment to remove the BRRBA Distribution credit, which removed Distrubution related expenses from A&amp;G.</t>
  </si>
  <si>
    <t>Weighted Average Percentage</t>
  </si>
  <si>
    <t>Weighted Average</t>
  </si>
  <si>
    <t>3.</t>
  </si>
  <si>
    <t>4.</t>
  </si>
  <si>
    <t>F</t>
  </si>
  <si>
    <t>G</t>
  </si>
  <si>
    <t>A&amp;G 920 Linkage Adj</t>
  </si>
  <si>
    <t>C</t>
  </si>
  <si>
    <t>D = A + B + C</t>
  </si>
  <si>
    <t>In preparing the TO2022 Draft Annual Update, SCE discovered that it had outside counsel expenses related to employment litigation or arbitration matters that were subsequently resolved by the Company which were not excluded.  The amount of expenses were overstated by $306, which should have been excluded in 2018.  As such, SCE is including an additional TO2020 A&amp;G exclusion of $306 to remove these additional expenses.  SCE has incorporated this correction that changes the TO2020 A&amp;G exclusions and the impact of this change is a decrease in the 2018 True Up TRR of $18.</t>
  </si>
  <si>
    <t xml:space="preserve">In preparing the TO2022 Draft Annual Update, SCE discovered that it had outside counsel expenses related to employment litigation or arbitration matters that were subsequently resolved by the Company which were not excluded.  The amount of expenses were overstated by $481, which should have been excluded in 2019.  As such, SCE is including an additional TO2021 A&amp;G exclusion of $481 to remove these additional expenses.  SCE has incorporated this correction that changes the TO2021 A&amp;G exclusions and the impact of this change is a decrease in the 2019 True Up TRR of $32. </t>
  </si>
  <si>
    <t>H</t>
  </si>
  <si>
    <t>I = E + F + G + H</t>
  </si>
  <si>
    <t>J = D + I</t>
  </si>
  <si>
    <t>TO2020/TO2021</t>
  </si>
  <si>
    <t>In preparing the TO2022 Draft Annual Update, SCE discovered that it inadvertently had a linkage error in the calculation of Account 920 A&amp;G exclusions related to ACE/Spot bonuses.  The amount of expenses were overstated by $616,125, which should have been excluded in 2018.  As such, SCE is including an additional TO2020 A&amp;G exclusion of $616,215 to remove these additional expenses.  SCE has incorporated this correction that changes the TO2020 A&amp;G exclusions and the impact of this change is a decrease in the 2018 True Up TRR of $36,232.</t>
  </si>
  <si>
    <t>In preparing the TO2022 Draft Annual Update, SCE discovered that it had inadvertently included a BRRBA Distribution credit adjustment adding distribution costs to A&amp;G.  The amount of expenses were overstated by $2,034,939, which should have been excluded in 2019.  As such, SCE is removing the TO2021 A&amp;G negative exclusion of $2,034,939 to remove these credit adjustments.  SCE has incorporated this correction that changes the TO2021 A&amp;G exclusions and the impact of this change is a decrease in the 2019 True Up TRR of $136,841.</t>
  </si>
  <si>
    <t>In preparing the TO2022 Draft Annual Update, SCE discovered that it had inadvertently excluded a credit related to Pensions &amp; Benefits Billed to Affiliates as a shareholder exclusion.  The amount of expenses were overstated by $338,044, which should have been excluded in 2019.  As such, SCE is removing the TO2021 A&amp;G negative exclusion of $338,044.  SCE has incorporated this correction that changes the TO2021 A&amp;G exclusions and the impact of this change is a decrease in the 2019 True Up TRR of $22,732.</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</si>
  <si>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</si>
  <si>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</si>
  <si>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</si>
  <si>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</si>
  <si>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</si>
  <si>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</si>
  <si>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</si>
  <si>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</si>
  <si>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</si>
  <si>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</si>
  <si>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</si>
  <si>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</si>
  <si>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</si>
  <si>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</si>
  <si>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</si>
  <si>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</si>
  <si>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</si>
  <si>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</si>
  <si>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</si>
  <si>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</si>
  <si>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</si>
  <si>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</si>
  <si>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</si>
  <si>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</si>
  <si>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</si>
  <si>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9-ADIT, Line 15</t>
  </si>
  <si>
    <t>14-IncentivePlant, L 12, C2</t>
  </si>
  <si>
    <t>22-NUCs, Line 7</t>
  </si>
  <si>
    <t>34-UnfundedReserves, Line 7</t>
  </si>
  <si>
    <t>23-RegAssets, Line 15</t>
  </si>
  <si>
    <t>15-IncentiveAdder L 20</t>
  </si>
  <si>
    <t>28-FFU, L 5</t>
  </si>
  <si>
    <t>9-ADIT-1, Line 15</t>
  </si>
  <si>
    <t>14-IncentivePlant, L 13, C2</t>
  </si>
  <si>
    <t>27-Allocators, Line 9</t>
  </si>
  <si>
    <t>27-Allocators, Line 22</t>
  </si>
  <si>
    <t>TO2022 Draft Annual Update Posting - WP Schedule 3-One Time Adj Prior Period Page 6, Line 46</t>
  </si>
  <si>
    <t>TO2022 Draft Annual Update Posting - WP Schedule 3 - One Time Adj-Prior Period, Page 13, Line 46</t>
  </si>
  <si>
    <t>TO2022 Draft Annual Update Posting - WP Schedule 3 - One Time Adj-Prior Period, Page 19, Line 46</t>
  </si>
  <si>
    <t>In preparing the TO2022 Draft Annual Update, SCE has identified an input error relating to an A&amp;G exclusion affecting the True Up TRR of calendar year 2018.  This error relates to an exclusion found in the workpaper titled “WP Schedule 20 A&amp;G”, tab titled “ShareholderAndOther”, Section 3 - Order 668 Amount Transferred from O&amp;M Accounts 569.  The amount to be transferred to A&amp;G from O&amp;M, $37,524,555 in 2018, should have been entered as a positive value in the workpaper.  Instead, due to an input error it was entered as a negative value.  This error caused total A&amp;G to be reduced by the entered amount, rather than increased as intended.  As such, SCE is correcting this A&amp;G expense of $37,524,555 to include this additional expense.  SCE has incorporated this correction that changes the TO2020 A&amp;G expenses and the impact of this change is an increase in the 2018 True Up TRR of $4,413,393.</t>
  </si>
  <si>
    <t>In preparing the TO2022 Draft Annual Update, SCE has identified an input error relating to an A&amp;G exclusion affecting the True Up TRR of calendar year 2019.  This error relates to an exclusion found in the workpaper titled “WP Schedule 20 A&amp;G”, tab titled “ShareholderAndOther”, Section 3 - Order 668 Amount Transferred from O&amp;M Accounts 569.  The amount to be transferred to A&amp;G from O&amp;M, $39,147,707 in 2019, should have been entered as a positive value in the workpaper.  Instead, due to an input error it was entered as a negative value.  This error caused total A&amp;G to be reduced by the entered amount, rather than increased as intended.  As such, SCE is correcting this A&amp;G expense of $39,147,707 to include this additional expense.  SCE has incorporated this correction that changes the TO2021 A&amp;G expenses and the impact of this change is an increase in the 2019 True Up TRR of $5,265,039.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</si>
</sst>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z val="10"/>
      <name val="Arial"/>
      <family val="2"/>
    </font>
    <font>
      <sz val="10"/>
      <name val="Calibri"/>
      <family val="2"/>
      <scheme val="minor"/>
    </font>
    <font>
      <b/>
      <sz val="11"/>
      <name val="Calibri"/>
      <family val="2"/>
      <scheme val="minor"/>
    </font>
    <font>
      <b/>
      <u/>
      <sz val="11"/>
      <name val="Calibri"/>
      <family val="2"/>
      <scheme val="minor"/>
    </font>
    <font>
      <b/>
      <u/>
      <sz val="11"/>
      <color theme="1"/>
      <name val="Calibri"/>
      <family val="2"/>
      <scheme val="minor"/>
    </font>
    <font>
      <strike/>
      <sz val="10"/>
      <color rgb="FFFF0000"/>
      <name val="Arial"/>
      <family val="2"/>
    </font>
    <font>
      <strike/>
      <sz val="10"/>
      <name val="Arial"/>
      <family val="2"/>
    </font>
    <font>
      <b/>
      <sz val="9"/>
      <color indexed="81"/>
      <name val="Tahoma"/>
      <family val="2"/>
    </font>
    <font>
      <sz val="8"/>
      <name val="Arial"/>
      <family val="2"/>
    </font>
    <font>
      <u/>
      <sz val="11"/>
      <color theme="1"/>
      <name val="Calibri"/>
      <family val="2"/>
      <scheme val="minor"/>
    </font>
    <font>
      <sz val="10"/>
      <color rgb="FF000000"/>
      <name val="Arial"/>
      <family val="2"/>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rgb="FFCCFFCC"/>
        <bgColor indexed="64"/>
      </patternFill>
    </fill>
    <fill>
      <patternFill patternType="solid">
        <fgColor rgb="FFCCECFF"/>
        <bgColor indexed="64"/>
      </patternFill>
    </fill>
    <fill>
      <patternFill patternType="solid">
        <fgColor indexed="13"/>
        <bgColor indexed="64"/>
      </patternFill>
    </fill>
  </fills>
  <borders count="31">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right style="medium">
        <color indexed="64"/>
      </right>
      <top/>
      <bottom style="medium">
        <color auto="1"/>
      </bottom>
      <diagonal/>
    </border>
    <border>
      <left style="thin">
        <color indexed="64"/>
      </left>
      <right/>
      <top style="thin">
        <color theme="1"/>
      </top>
      <bottom/>
      <diagonal/>
    </border>
    <border>
      <left/>
      <right/>
      <top style="thin">
        <color theme="1"/>
      </top>
      <bottom style="thin">
        <color theme="1"/>
      </bottom>
      <diagonal/>
    </border>
    <border>
      <left style="medium">
        <color rgb="FFFF0000"/>
      </left>
      <right style="medium">
        <color rgb="FFFF0000"/>
      </right>
      <top style="medium">
        <color rgb="FFFF0000"/>
      </top>
      <bottom style="medium">
        <color rgb="FFFF0000"/>
      </bottom>
      <diagonal/>
    </border>
  </borders>
  <cellStyleXfs count="230">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33" fillId="0" borderId="0" applyFont="0" applyFill="0" applyBorder="0" applyAlignment="0" applyProtection="0"/>
    <xf numFmtId="9" fontId="25"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23" fillId="0" borderId="0"/>
    <xf numFmtId="0" fontId="22" fillId="0" borderId="0"/>
    <xf numFmtId="0" fontId="22" fillId="0" borderId="0"/>
    <xf numFmtId="165" fontId="23" fillId="0" borderId="0" applyFont="0" applyFill="0" applyBorder="0" applyAlignment="0" applyProtection="0"/>
    <xf numFmtId="0" fontId="23" fillId="31" borderId="1" applyNumberFormat="0" applyProtection="0">
      <alignment horizontal="left" vertical="center" indent="1"/>
    </xf>
    <xf numFmtId="0" fontId="23" fillId="31" borderId="1" applyNumberFormat="0" applyProtection="0">
      <alignment horizontal="left" vertical="top" indent="1"/>
    </xf>
    <xf numFmtId="0" fontId="23" fillId="27" borderId="1" applyNumberFormat="0" applyProtection="0">
      <alignment horizontal="left" vertical="center" indent="1"/>
    </xf>
    <xf numFmtId="0" fontId="23" fillId="27" borderId="1" applyNumberFormat="0" applyProtection="0">
      <alignment horizontal="left" vertical="top" indent="1"/>
    </xf>
    <xf numFmtId="0" fontId="23" fillId="3" borderId="1" applyNumberFormat="0" applyProtection="0">
      <alignment horizontal="left" vertical="center" indent="1"/>
    </xf>
    <xf numFmtId="0" fontId="23" fillId="3" borderId="1" applyNumberFormat="0" applyProtection="0">
      <alignment horizontal="left" vertical="top" indent="1"/>
    </xf>
    <xf numFmtId="0" fontId="23" fillId="30" borderId="1" applyNumberFormat="0" applyProtection="0">
      <alignment horizontal="left" vertical="center" indent="1"/>
    </xf>
    <xf numFmtId="0" fontId="23" fillId="30" borderId="1" applyNumberFormat="0" applyProtection="0">
      <alignment horizontal="left" vertical="top" indent="1"/>
    </xf>
    <xf numFmtId="0" fontId="23" fillId="32" borderId="3" applyNumberFormat="0">
      <protection locked="0"/>
    </xf>
    <xf numFmtId="0" fontId="41" fillId="0" borderId="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5" fontId="23" fillId="0" borderId="0" applyFont="0" applyFill="0" applyBorder="0" applyAlignment="0" applyProtection="0"/>
    <xf numFmtId="44"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0" fontId="21" fillId="0" borderId="0"/>
    <xf numFmtId="0" fontId="21"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23" fillId="0" borderId="0"/>
    <xf numFmtId="0" fontId="23" fillId="0" borderId="0"/>
    <xf numFmtId="0" fontId="23" fillId="0" borderId="0"/>
    <xf numFmtId="0" fontId="33" fillId="0" borderId="0"/>
    <xf numFmtId="0" fontId="33" fillId="0" borderId="0"/>
    <xf numFmtId="0" fontId="33" fillId="0" borderId="0"/>
    <xf numFmtId="0" fontId="33" fillId="0" borderId="0"/>
    <xf numFmtId="0" fontId="33" fillId="0" borderId="0"/>
    <xf numFmtId="43" fontId="40" fillId="0" borderId="0" applyFont="0" applyFill="0" applyBorder="0" applyAlignment="0" applyProtection="0"/>
    <xf numFmtId="9" fontId="23" fillId="0" borderId="0" applyFont="0" applyFill="0" applyBorder="0" applyAlignment="0" applyProtection="0"/>
    <xf numFmtId="0" fontId="23" fillId="0" borderId="0"/>
    <xf numFmtId="0" fontId="16" fillId="0" borderId="0"/>
    <xf numFmtId="0" fontId="16" fillId="0" borderId="0"/>
    <xf numFmtId="0" fontId="16" fillId="0" borderId="0"/>
    <xf numFmtId="43" fontId="23" fillId="0" borderId="0" applyFont="0" applyFill="0" applyBorder="0" applyAlignment="0" applyProtection="0"/>
    <xf numFmtId="44" fontId="23" fillId="0" borderId="0" applyFont="0" applyFill="0" applyBorder="0" applyAlignment="0" applyProtection="0"/>
    <xf numFmtId="9" fontId="23"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9" fontId="15"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4" fontId="32" fillId="29" borderId="8" applyNumberFormat="0" applyProtection="0">
      <alignment horizontal="left" vertical="center" inden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2" fillId="0" borderId="0"/>
    <xf numFmtId="0" fontId="12" fillId="0" borderId="0"/>
    <xf numFmtId="0" fontId="42" fillId="0" borderId="0"/>
    <xf numFmtId="43" fontId="23" fillId="0" borderId="0" applyFont="0" applyFill="0" applyBorder="0" applyAlignment="0" applyProtection="0"/>
    <xf numFmtId="43" fontId="45" fillId="0" borderId="0" applyFont="0" applyFill="0" applyBorder="0" applyAlignment="0" applyProtection="0"/>
    <xf numFmtId="0" fontId="11" fillId="0" borderId="0"/>
    <xf numFmtId="43" fontId="11" fillId="0" borderId="0" applyFont="0" applyFill="0" applyBorder="0" applyAlignment="0" applyProtection="0"/>
    <xf numFmtId="0" fontId="11" fillId="0" borderId="0"/>
    <xf numFmtId="0" fontId="11" fillId="0" borderId="0"/>
    <xf numFmtId="44" fontId="52" fillId="0" borderId="0" applyFont="0" applyFill="0" applyBorder="0" applyAlignment="0" applyProtection="0"/>
    <xf numFmtId="0" fontId="10" fillId="0" borderId="0"/>
    <xf numFmtId="9" fontId="10" fillId="0" borderId="0" applyFont="0" applyFill="0" applyBorder="0" applyAlignment="0" applyProtection="0"/>
    <xf numFmtId="43" fontId="10" fillId="0" borderId="0" applyFont="0" applyFill="0" applyBorder="0" applyAlignment="0" applyProtection="0"/>
    <xf numFmtId="44" fontId="23" fillId="0" borderId="0" applyFont="0" applyFill="0" applyBorder="0" applyAlignment="0" applyProtection="0"/>
    <xf numFmtId="0" fontId="9" fillId="0" borderId="0"/>
    <xf numFmtId="0" fontId="9" fillId="0" borderId="0"/>
    <xf numFmtId="0" fontId="8" fillId="0" borderId="0"/>
    <xf numFmtId="43" fontId="8" fillId="0" borderId="0" applyFont="0" applyFill="0" applyBorder="0" applyAlignment="0" applyProtection="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9" fontId="60" fillId="0" borderId="0" applyFont="0" applyFill="0" applyBorder="0" applyAlignment="0" applyProtection="0"/>
  </cellStyleXfs>
  <cellXfs count="250">
    <xf numFmtId="0" fontId="0" fillId="0" borderId="0" xfId="0"/>
    <xf numFmtId="0" fontId="14" fillId="0" borderId="0" xfId="157"/>
    <xf numFmtId="0" fontId="39" fillId="0" borderId="0" xfId="157" applyFont="1" applyAlignment="1">
      <alignment horizontal="center"/>
    </xf>
    <xf numFmtId="0" fontId="39" fillId="0" borderId="0" xfId="157" applyFont="1"/>
    <xf numFmtId="0" fontId="24" fillId="0" borderId="0" xfId="157" applyFont="1" applyAlignment="1">
      <alignment horizontal="center"/>
    </xf>
    <xf numFmtId="0" fontId="14" fillId="0" borderId="0" xfId="157" quotePrefix="1"/>
    <xf numFmtId="164" fontId="14" fillId="0" borderId="0" xfId="157" applyNumberFormat="1"/>
    <xf numFmtId="0" fontId="14" fillId="0" borderId="0" xfId="157" applyAlignment="1">
      <alignment horizontal="right"/>
    </xf>
    <xf numFmtId="164" fontId="14" fillId="0" borderId="0" xfId="157" applyNumberFormat="1" applyFont="1"/>
    <xf numFmtId="166" fontId="14" fillId="0" borderId="0" xfId="211" applyNumberFormat="1" applyFont="1"/>
    <xf numFmtId="0" fontId="53" fillId="35" borderId="0" xfId="209" applyFont="1" applyFill="1" applyBorder="1" applyAlignment="1">
      <alignment horizontal="left" vertical="top"/>
    </xf>
    <xf numFmtId="0" fontId="53" fillId="35" borderId="0" xfId="209" applyFont="1" applyFill="1" applyBorder="1" applyAlignment="1">
      <alignment horizontal="left" vertical="top" wrapText="1"/>
    </xf>
    <xf numFmtId="0" fontId="53" fillId="35" borderId="0" xfId="209" applyFont="1" applyFill="1" applyBorder="1" applyAlignment="1">
      <alignment horizontal="center" vertical="center"/>
    </xf>
    <xf numFmtId="171" fontId="53" fillId="0" borderId="0" xfId="216" applyNumberFormat="1" applyFont="1" applyFill="1" applyBorder="1" applyAlignment="1">
      <alignment horizontal="left" vertical="center"/>
    </xf>
    <xf numFmtId="164" fontId="23" fillId="0" borderId="0" xfId="157" applyNumberFormat="1" applyFont="1" applyFill="1" applyBorder="1" applyAlignment="1">
      <alignment horizontal="center" vertical="center"/>
    </xf>
    <xf numFmtId="0" fontId="14" fillId="0" borderId="0" xfId="157" applyFill="1"/>
    <xf numFmtId="0" fontId="53" fillId="0" borderId="0" xfId="209" applyFont="1" applyFill="1" applyBorder="1" applyAlignment="1">
      <alignment horizontal="left" vertical="top"/>
    </xf>
    <xf numFmtId="0" fontId="53" fillId="0" borderId="0" xfId="209" applyFont="1" applyFill="1" applyBorder="1" applyAlignment="1">
      <alignment horizontal="center" vertical="center"/>
    </xf>
    <xf numFmtId="0" fontId="44" fillId="0" borderId="0" xfId="209" quotePrefix="1" applyFont="1" applyFill="1" applyBorder="1" applyAlignment="1">
      <alignment horizontal="right" vertical="top"/>
    </xf>
    <xf numFmtId="0" fontId="44" fillId="0" borderId="0" xfId="209" applyFont="1" applyFill="1" applyBorder="1" applyAlignment="1">
      <alignment vertical="top" wrapText="1"/>
    </xf>
    <xf numFmtId="0" fontId="54" fillId="0" borderId="0" xfId="209" applyFont="1" applyFill="1" applyBorder="1" applyAlignment="1">
      <alignment horizontal="center" vertical="center" wrapText="1"/>
    </xf>
    <xf numFmtId="164" fontId="24" fillId="0" borderId="0" xfId="157" applyNumberFormat="1" applyFont="1" applyFill="1" applyBorder="1" applyAlignment="1">
      <alignment horizontal="center" vertical="center"/>
    </xf>
    <xf numFmtId="0" fontId="54" fillId="0" borderId="0" xfId="209" quotePrefix="1" applyFont="1" applyFill="1" applyBorder="1" applyAlignment="1">
      <alignment horizontal="center" vertical="center" wrapText="1"/>
    </xf>
    <xf numFmtId="0" fontId="53" fillId="0" borderId="10" xfId="209" applyFont="1" applyFill="1" applyBorder="1" applyAlignment="1">
      <alignment horizontal="left" vertical="top"/>
    </xf>
    <xf numFmtId="0" fontId="54" fillId="0" borderId="10" xfId="209" applyFont="1" applyFill="1" applyBorder="1" applyAlignment="1">
      <alignment horizontal="center" vertical="center"/>
    </xf>
    <xf numFmtId="0" fontId="53" fillId="0" borderId="0" xfId="209" applyFont="1" applyFill="1" applyBorder="1" applyAlignment="1">
      <alignment horizontal="left" vertical="top" wrapText="1"/>
    </xf>
    <xf numFmtId="0" fontId="44" fillId="0" borderId="0" xfId="209" applyFont="1" applyFill="1" applyBorder="1" applyAlignment="1">
      <alignment horizontal="left" vertical="top"/>
    </xf>
    <xf numFmtId="0" fontId="53" fillId="0" borderId="0" xfId="209" applyFont="1" applyFill="1" applyBorder="1" applyAlignment="1">
      <alignment horizontal="center" vertical="center" wrapText="1"/>
    </xf>
    <xf numFmtId="164" fontId="53" fillId="35" borderId="0" xfId="209" applyNumberFormat="1" applyFont="1" applyFill="1" applyBorder="1" applyAlignment="1">
      <alignment horizontal="left" vertical="top"/>
    </xf>
    <xf numFmtId="0" fontId="43" fillId="0" borderId="0" xfId="209" applyFont="1" applyFill="1" applyBorder="1" applyAlignment="1">
      <alignment horizontal="left" vertical="top" wrapText="1"/>
    </xf>
    <xf numFmtId="0" fontId="7" fillId="0" borderId="0" xfId="225" applyFont="1"/>
    <xf numFmtId="0" fontId="7" fillId="0" borderId="0" xfId="225" applyFont="1" applyFill="1"/>
    <xf numFmtId="166" fontId="7" fillId="0" borderId="24" xfId="225" applyNumberFormat="1" applyFont="1" applyFill="1" applyBorder="1"/>
    <xf numFmtId="166" fontId="55" fillId="0" borderId="23" xfId="226" applyNumberFormat="1" applyFont="1" applyFill="1" applyBorder="1"/>
    <xf numFmtId="166" fontId="39" fillId="0" borderId="25" xfId="225" applyNumberFormat="1" applyFont="1" applyFill="1" applyBorder="1"/>
    <xf numFmtId="0" fontId="24" fillId="0" borderId="0" xfId="118" applyFont="1"/>
    <xf numFmtId="0" fontId="23" fillId="0" borderId="0" xfId="118"/>
    <xf numFmtId="0" fontId="24" fillId="0" borderId="0" xfId="118" applyFont="1" applyAlignment="1">
      <alignment horizontal="left"/>
    </xf>
    <xf numFmtId="0" fontId="24" fillId="0" borderId="0" xfId="118" applyFont="1" applyAlignment="1">
      <alignment horizontal="left" indent="1"/>
    </xf>
    <xf numFmtId="0" fontId="24" fillId="0" borderId="0" xfId="118" applyFont="1" applyAlignment="1">
      <alignment horizontal="center"/>
    </xf>
    <xf numFmtId="0" fontId="26" fillId="0" borderId="0" xfId="118" applyFont="1" applyAlignment="1">
      <alignment horizontal="left"/>
    </xf>
    <xf numFmtId="0" fontId="23" fillId="0" borderId="0" xfId="118" applyAlignment="1">
      <alignment horizontal="left" indent="1"/>
    </xf>
    <xf numFmtId="0" fontId="26" fillId="0" borderId="0" xfId="118" applyFont="1"/>
    <xf numFmtId="0" fontId="26" fillId="0" borderId="0" xfId="118" applyFont="1" applyAlignment="1">
      <alignment horizontal="center"/>
    </xf>
    <xf numFmtId="0" fontId="23" fillId="0" borderId="0" xfId="118" applyAlignment="1">
      <alignment horizontal="left"/>
    </xf>
    <xf numFmtId="164" fontId="23" fillId="0" borderId="0" xfId="118" applyNumberFormat="1"/>
    <xf numFmtId="0" fontId="48" fillId="0" borderId="0" xfId="118" applyFont="1"/>
    <xf numFmtId="164" fontId="48" fillId="36" borderId="0" xfId="118" applyNumberFormat="1" applyFont="1" applyFill="1"/>
    <xf numFmtId="164" fontId="23" fillId="36" borderId="0" xfId="118" applyNumberFormat="1" applyFill="1"/>
    <xf numFmtId="0" fontId="48" fillId="0" borderId="0" xfId="118" applyFont="1" applyAlignment="1">
      <alignment horizontal="left"/>
    </xf>
    <xf numFmtId="0" fontId="24" fillId="0" borderId="0" xfId="93" applyFont="1" applyAlignment="1">
      <alignment horizontal="left"/>
    </xf>
    <xf numFmtId="164" fontId="48" fillId="0" borderId="0" xfId="118" applyNumberFormat="1" applyFont="1"/>
    <xf numFmtId="0" fontId="23" fillId="0" borderId="0" xfId="93" applyAlignment="1">
      <alignment horizontal="left" indent="1"/>
    </xf>
    <xf numFmtId="167" fontId="23" fillId="0" borderId="0" xfId="118" applyNumberFormat="1"/>
    <xf numFmtId="0" fontId="23" fillId="0" borderId="0" xfId="101"/>
    <xf numFmtId="0" fontId="23" fillId="0" borderId="0" xfId="118" applyAlignment="1">
      <alignment horizontal="right"/>
    </xf>
    <xf numFmtId="0" fontId="24" fillId="36" borderId="15" xfId="118" applyFont="1" applyFill="1" applyBorder="1" applyAlignment="1">
      <alignment horizontal="center"/>
    </xf>
    <xf numFmtId="168" fontId="23" fillId="0" borderId="0" xfId="118" applyNumberFormat="1"/>
    <xf numFmtId="0" fontId="24" fillId="36" borderId="16" xfId="118" applyFont="1" applyFill="1" applyBorder="1" applyAlignment="1">
      <alignment horizontal="center"/>
    </xf>
    <xf numFmtId="164" fontId="23" fillId="36" borderId="16" xfId="118" applyNumberFormat="1" applyFill="1" applyBorder="1"/>
    <xf numFmtId="169" fontId="48" fillId="36" borderId="16" xfId="118" applyNumberFormat="1" applyFont="1" applyFill="1" applyBorder="1"/>
    <xf numFmtId="164" fontId="40" fillId="36" borderId="17" xfId="118" applyNumberFormat="1" applyFont="1" applyFill="1" applyBorder="1"/>
    <xf numFmtId="170" fontId="0" fillId="0" borderId="0" xfId="91" applyNumberFormat="1" applyFont="1"/>
    <xf numFmtId="0" fontId="23" fillId="0" borderId="0" xfId="93"/>
    <xf numFmtId="0" fontId="24" fillId="0" borderId="0" xfId="118" quotePrefix="1" applyFont="1" applyAlignment="1">
      <alignment horizontal="center"/>
    </xf>
    <xf numFmtId="10" fontId="23" fillId="0" borderId="0" xfId="118" applyNumberFormat="1"/>
    <xf numFmtId="0" fontId="23" fillId="34" borderId="0" xfId="118" applyFill="1"/>
    <xf numFmtId="10" fontId="23" fillId="0" borderId="0" xfId="118" quotePrefix="1" applyNumberFormat="1" applyAlignment="1">
      <alignment horizontal="right"/>
    </xf>
    <xf numFmtId="0" fontId="23" fillId="0" borderId="0" xfId="118" quotePrefix="1" applyAlignment="1">
      <alignment horizontal="center"/>
    </xf>
    <xf numFmtId="167" fontId="48" fillId="0" borderId="0" xfId="118" applyNumberFormat="1" applyFont="1"/>
    <xf numFmtId="0" fontId="23" fillId="0" borderId="0" xfId="118" applyAlignment="1">
      <alignment horizontal="center"/>
    </xf>
    <xf numFmtId="3" fontId="23" fillId="0" borderId="0" xfId="118" applyNumberFormat="1" applyAlignment="1">
      <alignment horizontal="center"/>
    </xf>
    <xf numFmtId="0" fontId="23" fillId="0" borderId="0" xfId="93" applyAlignment="1">
      <alignment horizontal="left"/>
    </xf>
    <xf numFmtId="1" fontId="23" fillId="0" borderId="0" xfId="93" applyNumberFormat="1" applyAlignment="1">
      <alignment horizontal="center"/>
    </xf>
    <xf numFmtId="0" fontId="26" fillId="0" borderId="0" xfId="93" applyFont="1" applyAlignment="1">
      <alignment horizontal="center"/>
    </xf>
    <xf numFmtId="0" fontId="23" fillId="0" borderId="0" xfId="93" applyAlignment="1">
      <alignment horizontal="right"/>
    </xf>
    <xf numFmtId="0" fontId="26" fillId="0" borderId="0" xfId="118" quotePrefix="1" applyFont="1" applyAlignment="1">
      <alignment horizontal="center"/>
    </xf>
    <xf numFmtId="170" fontId="23" fillId="0" borderId="0" xfId="118" applyNumberFormat="1"/>
    <xf numFmtId="1" fontId="23" fillId="0" borderId="0" xfId="93" applyNumberFormat="1" applyAlignment="1">
      <alignment horizontal="right"/>
    </xf>
    <xf numFmtId="170" fontId="23" fillId="0" borderId="0" xfId="118" applyNumberFormat="1" applyAlignment="1">
      <alignment horizontal="left" indent="1"/>
    </xf>
    <xf numFmtId="167" fontId="49" fillId="0" borderId="0" xfId="118" applyNumberFormat="1" applyFont="1"/>
    <xf numFmtId="167" fontId="50" fillId="0" borderId="0" xfId="118" applyNumberFormat="1" applyFont="1"/>
    <xf numFmtId="172" fontId="23" fillId="34" borderId="0" xfId="118" quotePrefix="1" applyNumberFormat="1" applyFill="1" applyAlignment="1">
      <alignment horizontal="center"/>
    </xf>
    <xf numFmtId="0" fontId="23" fillId="0" borderId="26" xfId="118" applyBorder="1" applyAlignment="1">
      <alignment wrapText="1"/>
    </xf>
    <xf numFmtId="0" fontId="23" fillId="0" borderId="0" xfId="118" applyAlignment="1">
      <alignment wrapText="1"/>
    </xf>
    <xf numFmtId="0" fontId="44" fillId="0" borderId="0" xfId="209" applyFont="1" applyFill="1" applyBorder="1" applyAlignment="1">
      <alignment horizontal="left" vertical="top" wrapText="1"/>
    </xf>
    <xf numFmtId="0" fontId="6" fillId="0" borderId="0" xfId="227"/>
    <xf numFmtId="164" fontId="5" fillId="0" borderId="3" xfId="225" applyNumberFormat="1" applyFont="1" applyBorder="1" applyAlignment="1">
      <alignment horizontal="center" wrapText="1"/>
    </xf>
    <xf numFmtId="0" fontId="5" fillId="0" borderId="0" xfId="227" applyFont="1"/>
    <xf numFmtId="173" fontId="55" fillId="0" borderId="3" xfId="229" applyNumberFormat="1" applyFont="1" applyBorder="1" applyAlignment="1">
      <alignment horizontal="center" wrapText="1"/>
    </xf>
    <xf numFmtId="0" fontId="39" fillId="39" borderId="3" xfId="225" applyFont="1" applyFill="1" applyBorder="1" applyAlignment="1">
      <alignment horizontal="center"/>
    </xf>
    <xf numFmtId="0" fontId="39" fillId="39" borderId="3" xfId="225" applyFont="1" applyFill="1" applyBorder="1" applyAlignment="1">
      <alignment horizontal="center" wrapText="1"/>
    </xf>
    <xf numFmtId="164" fontId="39" fillId="39" borderId="3" xfId="225" applyNumberFormat="1" applyFont="1" applyFill="1" applyBorder="1" applyAlignment="1">
      <alignment horizontal="center" wrapText="1"/>
    </xf>
    <xf numFmtId="164" fontId="39" fillId="39" borderId="29" xfId="225" applyNumberFormat="1" applyFont="1" applyFill="1" applyBorder="1" applyAlignment="1">
      <alignment horizontal="center"/>
    </xf>
    <xf numFmtId="0" fontId="39" fillId="37" borderId="3" xfId="225" applyFont="1" applyFill="1" applyBorder="1" applyAlignment="1">
      <alignment horizontal="center"/>
    </xf>
    <xf numFmtId="164" fontId="23" fillId="0" borderId="0" xfId="210" applyNumberFormat="1" applyFont="1"/>
    <xf numFmtId="10" fontId="40" fillId="34" borderId="0" xfId="118" applyNumberFormat="1" applyFont="1" applyFill="1" applyAlignment="1">
      <alignment horizontal="center"/>
    </xf>
    <xf numFmtId="0" fontId="23" fillId="34" borderId="0" xfId="118" applyFill="1" applyAlignment="1">
      <alignment horizontal="center"/>
    </xf>
    <xf numFmtId="0" fontId="40" fillId="34" borderId="0" xfId="118" applyFont="1" applyFill="1"/>
    <xf numFmtId="167" fontId="23" fillId="0" borderId="0" xfId="118" applyNumberFormat="1" applyAlignment="1">
      <alignment horizontal="center"/>
    </xf>
    <xf numFmtId="167" fontId="48" fillId="0" borderId="0" xfId="118" applyNumberFormat="1" applyFont="1" applyAlignment="1">
      <alignment horizontal="center"/>
    </xf>
    <xf numFmtId="164" fontId="0" fillId="0" borderId="0" xfId="210" applyNumberFormat="1" applyFont="1"/>
    <xf numFmtId="0" fontId="4" fillId="0" borderId="0" xfId="157" applyFont="1"/>
    <xf numFmtId="0" fontId="4" fillId="0" borderId="12" xfId="157" applyFont="1" applyBorder="1"/>
    <xf numFmtId="0" fontId="4" fillId="0" borderId="13" xfId="157" applyFont="1" applyBorder="1"/>
    <xf numFmtId="0" fontId="4" fillId="0" borderId="0" xfId="157" applyFont="1" applyBorder="1"/>
    <xf numFmtId="0" fontId="4" fillId="0" borderId="6" xfId="157" applyFont="1" applyBorder="1"/>
    <xf numFmtId="0" fontId="4" fillId="0" borderId="6" xfId="157" applyFont="1" applyFill="1" applyBorder="1"/>
    <xf numFmtId="0" fontId="4" fillId="0" borderId="0" xfId="157" applyFont="1" applyFill="1" applyBorder="1"/>
    <xf numFmtId="164" fontId="39" fillId="0" borderId="0" xfId="157" applyNumberFormat="1" applyFont="1" applyFill="1" applyBorder="1"/>
    <xf numFmtId="0" fontId="39" fillId="0" borderId="0" xfId="157" applyFont="1" applyFill="1" applyBorder="1"/>
    <xf numFmtId="0" fontId="39" fillId="0" borderId="0" xfId="157" applyFont="1" applyFill="1" applyBorder="1" applyAlignment="1">
      <alignment horizontal="right"/>
    </xf>
    <xf numFmtId="164" fontId="39" fillId="0" borderId="6" xfId="157" applyNumberFormat="1" applyFont="1" applyFill="1" applyBorder="1"/>
    <xf numFmtId="164" fontId="39" fillId="0" borderId="7" xfId="157" applyNumberFormat="1" applyFont="1" applyFill="1" applyBorder="1"/>
    <xf numFmtId="0" fontId="4" fillId="0" borderId="10" xfId="157" applyFont="1" applyBorder="1"/>
    <xf numFmtId="0" fontId="39" fillId="0" borderId="10" xfId="157" applyFont="1" applyBorder="1" applyAlignment="1">
      <alignment horizontal="right"/>
    </xf>
    <xf numFmtId="164" fontId="39" fillId="0" borderId="11" xfId="157" applyNumberFormat="1" applyFont="1" applyBorder="1"/>
    <xf numFmtId="0" fontId="62" fillId="0" borderId="13" xfId="157" applyFont="1" applyBorder="1" applyAlignment="1">
      <alignment horizontal="center"/>
    </xf>
    <xf numFmtId="0" fontId="63" fillId="0" borderId="13" xfId="157" quotePrefix="1" applyFont="1" applyBorder="1" applyAlignment="1">
      <alignment horizontal="center"/>
    </xf>
    <xf numFmtId="0" fontId="63" fillId="0" borderId="14" xfId="157" quotePrefix="1" applyFont="1" applyBorder="1" applyAlignment="1">
      <alignment horizontal="center"/>
    </xf>
    <xf numFmtId="0" fontId="62" fillId="0" borderId="0" xfId="157" applyFont="1" applyBorder="1" applyAlignment="1">
      <alignment horizontal="center"/>
    </xf>
    <xf numFmtId="0" fontId="63" fillId="0" borderId="0" xfId="157" quotePrefix="1" applyFont="1" applyBorder="1" applyAlignment="1">
      <alignment horizontal="center"/>
    </xf>
    <xf numFmtId="0" fontId="63" fillId="0" borderId="7" xfId="157" quotePrefix="1" applyFont="1" applyBorder="1" applyAlignment="1">
      <alignment horizontal="center"/>
    </xf>
    <xf numFmtId="0" fontId="62" fillId="0" borderId="7" xfId="157" applyFont="1" applyBorder="1" applyAlignment="1">
      <alignment horizontal="center"/>
    </xf>
    <xf numFmtId="0" fontId="39" fillId="0" borderId="6" xfId="157" applyFont="1" applyBorder="1"/>
    <xf numFmtId="0" fontId="39" fillId="0" borderId="0" xfId="157" applyFont="1" applyBorder="1"/>
    <xf numFmtId="0" fontId="39" fillId="0" borderId="0" xfId="157" applyFont="1" applyBorder="1" applyAlignment="1">
      <alignment horizontal="center" vertical="top" wrapText="1"/>
    </xf>
    <xf numFmtId="0" fontId="39" fillId="0" borderId="0" xfId="157" applyFont="1" applyBorder="1" applyAlignment="1">
      <alignment horizontal="center"/>
    </xf>
    <xf numFmtId="0" fontId="64" fillId="0" borderId="6" xfId="157" applyFont="1" applyBorder="1" applyAlignment="1">
      <alignment horizontal="center" vertical="top"/>
    </xf>
    <xf numFmtId="0" fontId="64" fillId="0" borderId="0" xfId="157" applyFont="1" applyBorder="1" applyAlignment="1">
      <alignment horizontal="center" vertical="top"/>
    </xf>
    <xf numFmtId="0" fontId="63" fillId="0" borderId="0" xfId="157" applyFont="1" applyBorder="1" applyAlignment="1">
      <alignment horizontal="center" vertical="top"/>
    </xf>
    <xf numFmtId="0" fontId="63" fillId="0" borderId="7" xfId="157" applyFont="1" applyBorder="1" applyAlignment="1">
      <alignment horizontal="center" vertical="top"/>
    </xf>
    <xf numFmtId="0" fontId="4" fillId="0" borderId="0" xfId="157" quotePrefix="1" applyFont="1" applyBorder="1" applyAlignment="1">
      <alignment horizontal="center"/>
    </xf>
    <xf numFmtId="10" fontId="55" fillId="0" borderId="0" xfId="159" applyNumberFormat="1" applyFont="1" applyFill="1" applyBorder="1"/>
    <xf numFmtId="164" fontId="4" fillId="34" borderId="0" xfId="157" applyNumberFormat="1" applyFont="1" applyFill="1" applyBorder="1"/>
    <xf numFmtId="164" fontId="4" fillId="0" borderId="0" xfId="157" applyNumberFormat="1" applyFont="1" applyBorder="1" applyAlignment="1">
      <alignment horizontal="right"/>
    </xf>
    <xf numFmtId="164" fontId="4" fillId="0" borderId="0" xfId="157" applyNumberFormat="1" applyFont="1" applyFill="1" applyBorder="1" applyAlignment="1">
      <alignment horizontal="right"/>
    </xf>
    <xf numFmtId="164" fontId="4" fillId="0" borderId="7" xfId="157" applyNumberFormat="1" applyFont="1" applyBorder="1" applyAlignment="1">
      <alignment horizontal="right"/>
    </xf>
    <xf numFmtId="10" fontId="55" fillId="0" borderId="0" xfId="159" applyNumberFormat="1" applyFont="1" applyBorder="1"/>
    <xf numFmtId="164" fontId="4" fillId="34" borderId="6" xfId="157" applyNumberFormat="1" applyFont="1" applyFill="1" applyBorder="1"/>
    <xf numFmtId="0" fontId="39" fillId="0" borderId="9" xfId="157" applyFont="1" applyBorder="1" applyAlignment="1"/>
    <xf numFmtId="0" fontId="39" fillId="0" borderId="10" xfId="157" applyFont="1" applyBorder="1" applyAlignment="1"/>
    <xf numFmtId="0" fontId="44" fillId="0" borderId="0" xfId="209" applyFont="1" applyFill="1" applyBorder="1" applyAlignment="1">
      <alignment horizontal="center" vertical="top" wrapText="1"/>
    </xf>
    <xf numFmtId="0" fontId="24" fillId="0" borderId="0" xfId="93" applyFont="1" applyAlignment="1">
      <alignment horizontal="center"/>
    </xf>
    <xf numFmtId="164" fontId="23" fillId="34" borderId="0" xfId="93" applyNumberFormat="1" applyFill="1"/>
    <xf numFmtId="164" fontId="51" fillId="0" borderId="0" xfId="93" applyNumberFormat="1" applyFont="1"/>
    <xf numFmtId="164" fontId="48" fillId="34" borderId="0" xfId="93" applyNumberFormat="1" applyFont="1" applyFill="1"/>
    <xf numFmtId="0" fontId="7" fillId="0" borderId="0" xfId="225" applyFont="1" applyAlignment="1">
      <alignment vertical="top" wrapText="1"/>
    </xf>
    <xf numFmtId="0" fontId="39" fillId="37" borderId="12" xfId="157" applyFont="1" applyFill="1" applyBorder="1"/>
    <xf numFmtId="0" fontId="4" fillId="37" borderId="13" xfId="157" applyFont="1" applyFill="1" applyBorder="1"/>
    <xf numFmtId="0" fontId="4" fillId="37" borderId="14" xfId="157" applyFont="1" applyFill="1" applyBorder="1"/>
    <xf numFmtId="0" fontId="39" fillId="37" borderId="4" xfId="157" applyFont="1" applyFill="1" applyBorder="1"/>
    <xf numFmtId="0" fontId="4" fillId="37" borderId="5" xfId="157" applyFont="1" applyFill="1" applyBorder="1"/>
    <xf numFmtId="0" fontId="4" fillId="37" borderId="27" xfId="157" applyFont="1" applyFill="1" applyBorder="1"/>
    <xf numFmtId="0" fontId="69" fillId="0" borderId="0" xfId="225" applyFont="1"/>
    <xf numFmtId="164" fontId="48" fillId="0" borderId="0" xfId="210" applyNumberFormat="1" applyFont="1"/>
    <xf numFmtId="0" fontId="23" fillId="40" borderId="0" xfId="118" applyFill="1"/>
    <xf numFmtId="164" fontId="23" fillId="40" borderId="0" xfId="118" applyNumberFormat="1" applyFill="1"/>
    <xf numFmtId="164" fontId="48" fillId="40" borderId="0" xfId="118" applyNumberFormat="1" applyFont="1" applyFill="1"/>
    <xf numFmtId="0" fontId="24" fillId="0" borderId="0" xfId="118" applyFont="1" applyAlignment="1">
      <alignment horizontal="right"/>
    </xf>
    <xf numFmtId="0" fontId="23" fillId="34" borderId="0" xfId="118" applyFill="1" applyAlignment="1">
      <alignment horizontal="left" indent="1"/>
    </xf>
    <xf numFmtId="164" fontId="23" fillId="36" borderId="0" xfId="118" applyNumberFormat="1" applyFill="1" applyAlignment="1">
      <alignment horizontal="right" indent="1"/>
    </xf>
    <xf numFmtId="164" fontId="23" fillId="34" borderId="30" xfId="118" applyNumberFormat="1" applyFill="1" applyBorder="1"/>
    <xf numFmtId="164" fontId="23" fillId="34" borderId="0" xfId="118" applyNumberFormat="1" applyFill="1"/>
    <xf numFmtId="164" fontId="23" fillId="0" borderId="0" xfId="118" applyNumberFormat="1" applyAlignment="1">
      <alignment horizontal="right" indent="1"/>
    </xf>
    <xf numFmtId="0" fontId="58" fillId="0" borderId="0" xfId="118" applyFont="1" applyAlignment="1">
      <alignment horizontal="left" indent="2"/>
    </xf>
    <xf numFmtId="164" fontId="23" fillId="0" borderId="0" xfId="118" applyNumberFormat="1" applyAlignment="1">
      <alignment horizontal="right"/>
    </xf>
    <xf numFmtId="164" fontId="23" fillId="34" borderId="0" xfId="118" applyNumberFormat="1" applyFill="1" applyAlignment="1">
      <alignment horizontal="right"/>
    </xf>
    <xf numFmtId="164" fontId="48" fillId="34" borderId="0" xfId="118" applyNumberFormat="1" applyFont="1" applyFill="1"/>
    <xf numFmtId="0" fontId="66" fillId="0" borderId="0" xfId="118" applyFont="1"/>
    <xf numFmtId="0" fontId="23" fillId="0" borderId="0" xfId="118" applyAlignment="1">
      <alignment horizontal="left" indent="2"/>
    </xf>
    <xf numFmtId="0" fontId="70" fillId="0" borderId="0" xfId="118" applyFont="1"/>
    <xf numFmtId="164" fontId="39" fillId="38" borderId="3" xfId="0" applyNumberFormat="1" applyFont="1" applyFill="1" applyBorder="1" applyAlignment="1">
      <alignment horizontal="center"/>
    </xf>
    <xf numFmtId="164" fontId="55" fillId="38" borderId="0" xfId="0" applyNumberFormat="1" applyFont="1" applyFill="1" applyAlignment="1">
      <alignment horizontal="center"/>
    </xf>
    <xf numFmtId="164" fontId="55" fillId="38" borderId="28" xfId="226" applyNumberFormat="1" applyFont="1" applyFill="1" applyBorder="1" applyAlignment="1">
      <alignment horizontal="center"/>
    </xf>
    <xf numFmtId="164" fontId="65" fillId="0" borderId="0" xfId="118" quotePrefix="1" applyNumberFormat="1" applyFont="1" applyAlignment="1">
      <alignment horizontal="right" wrapText="1"/>
    </xf>
    <xf numFmtId="164" fontId="55" fillId="39" borderId="0" xfId="0" applyNumberFormat="1" applyFont="1" applyFill="1" applyAlignment="1">
      <alignment horizontal="center"/>
    </xf>
    <xf numFmtId="164" fontId="55" fillId="39" borderId="3" xfId="226" applyNumberFormat="1" applyFont="1" applyFill="1" applyBorder="1" applyAlignment="1">
      <alignment horizontal="center"/>
    </xf>
    <xf numFmtId="0" fontId="69" fillId="0" borderId="0" xfId="227" applyFont="1"/>
    <xf numFmtId="164" fontId="23" fillId="0" borderId="0" xfId="118" applyNumberFormat="1" applyFont="1"/>
    <xf numFmtId="173" fontId="23" fillId="37" borderId="0" xfId="229" applyNumberFormat="1" applyFont="1" applyFill="1"/>
    <xf numFmtId="0" fontId="23" fillId="37" borderId="0" xfId="118" applyFill="1"/>
    <xf numFmtId="173" fontId="23" fillId="38" borderId="0" xfId="229" applyNumberFormat="1" applyFont="1" applyFill="1"/>
    <xf numFmtId="0" fontId="23" fillId="38" borderId="0" xfId="118" applyFill="1"/>
    <xf numFmtId="164" fontId="23" fillId="37" borderId="0" xfId="118" applyNumberFormat="1" applyFill="1"/>
    <xf numFmtId="164" fontId="23" fillId="38" borderId="0" xfId="118" applyNumberFormat="1" applyFill="1"/>
    <xf numFmtId="171" fontId="54" fillId="0" borderId="0" xfId="216" applyNumberFormat="1" applyFont="1" applyFill="1" applyBorder="1" applyAlignment="1">
      <alignment horizontal="center" vertical="center" wrapText="1"/>
    </xf>
    <xf numFmtId="171" fontId="54" fillId="0" borderId="0" xfId="216" applyNumberFormat="1" applyFont="1" applyFill="1" applyBorder="1" applyAlignment="1">
      <alignment horizontal="center" vertical="center"/>
    </xf>
    <xf numFmtId="0" fontId="44" fillId="0" borderId="0" xfId="209" applyFont="1" applyFill="1" applyBorder="1" applyAlignment="1">
      <alignment horizontal="left" vertical="top" wrapText="1"/>
    </xf>
    <xf numFmtId="164" fontId="24" fillId="0" borderId="10" xfId="157" applyNumberFormat="1" applyFont="1" applyFill="1" applyBorder="1" applyAlignment="1">
      <alignment horizontal="center" vertical="center"/>
    </xf>
    <xf numFmtId="164" fontId="24" fillId="0" borderId="11" xfId="157" applyNumberFormat="1" applyFont="1" applyFill="1" applyBorder="1" applyAlignment="1">
      <alignment horizontal="center" vertical="center"/>
    </xf>
    <xf numFmtId="0" fontId="62" fillId="0" borderId="0" xfId="209" applyFont="1" applyFill="1" applyBorder="1" applyAlignment="1">
      <alignment vertical="top"/>
    </xf>
    <xf numFmtId="0" fontId="46" fillId="0" borderId="0" xfId="209" applyFont="1" applyFill="1" applyBorder="1" applyAlignment="1">
      <alignment vertical="top"/>
    </xf>
    <xf numFmtId="0" fontId="56" fillId="0" borderId="0" xfId="209" applyFont="1" applyFill="1" applyBorder="1" applyAlignment="1">
      <alignment horizontal="center" vertical="center"/>
    </xf>
    <xf numFmtId="0" fontId="23" fillId="0" borderId="0" xfId="118" applyFill="1"/>
    <xf numFmtId="10" fontId="51" fillId="34" borderId="0" xfId="118" applyNumberFormat="1" applyFont="1" applyFill="1"/>
    <xf numFmtId="15" fontId="23" fillId="34" borderId="0" xfId="118" quotePrefix="1" applyNumberFormat="1" applyFill="1" applyAlignment="1">
      <alignment horizontal="center"/>
    </xf>
    <xf numFmtId="0" fontId="23" fillId="34" borderId="0" xfId="118" quotePrefix="1" applyFill="1" applyAlignment="1">
      <alignment horizontal="center"/>
    </xf>
    <xf numFmtId="0" fontId="58" fillId="34" borderId="0" xfId="118" applyFont="1" applyFill="1"/>
    <xf numFmtId="0" fontId="58" fillId="0" borderId="0" xfId="118" applyFont="1"/>
    <xf numFmtId="0" fontId="43" fillId="0" borderId="9" xfId="209" applyFont="1" applyFill="1" applyBorder="1" applyAlignment="1">
      <alignment horizontal="left" vertical="top" wrapText="1"/>
    </xf>
    <xf numFmtId="0" fontId="43" fillId="0" borderId="10" xfId="209" applyFont="1" applyFill="1" applyBorder="1" applyAlignment="1">
      <alignment horizontal="left" vertical="top" wrapText="1"/>
    </xf>
    <xf numFmtId="0" fontId="43" fillId="0" borderId="0" xfId="209" applyFont="1" applyFill="1" applyBorder="1" applyAlignment="1">
      <alignment horizontal="left" vertical="top" wrapText="1"/>
    </xf>
    <xf numFmtId="0" fontId="44" fillId="0" borderId="0" xfId="209" applyFont="1" applyFill="1" applyBorder="1" applyAlignment="1">
      <alignment horizontal="left" vertical="top" wrapText="1"/>
    </xf>
    <xf numFmtId="0" fontId="43" fillId="0" borderId="0" xfId="209" applyFont="1" applyFill="1" applyBorder="1" applyAlignment="1">
      <alignment horizontal="center" vertical="top" wrapText="1"/>
    </xf>
    <xf numFmtId="0" fontId="44" fillId="0" borderId="0" xfId="209" applyFont="1" applyFill="1" applyBorder="1" applyAlignment="1">
      <alignment horizontal="center" vertical="top" wrapText="1"/>
    </xf>
    <xf numFmtId="0" fontId="39" fillId="37" borderId="9" xfId="157" applyFont="1" applyFill="1" applyBorder="1" applyAlignment="1">
      <alignment horizontal="center"/>
    </xf>
    <xf numFmtId="0" fontId="39" fillId="37" borderId="10" xfId="157" applyFont="1" applyFill="1" applyBorder="1" applyAlignment="1">
      <alignment horizontal="center"/>
    </xf>
    <xf numFmtId="0" fontId="39" fillId="37" borderId="11" xfId="157" applyFont="1" applyFill="1" applyBorder="1" applyAlignment="1">
      <alignment horizontal="center"/>
    </xf>
    <xf numFmtId="0" fontId="7" fillId="0" borderId="0" xfId="225" applyFont="1" applyAlignment="1">
      <alignment horizontal="left" wrapText="1"/>
    </xf>
    <xf numFmtId="0" fontId="4" fillId="0" borderId="3" xfId="225" applyFont="1" applyFill="1" applyBorder="1" applyAlignment="1">
      <alignment wrapText="1"/>
    </xf>
    <xf numFmtId="0" fontId="7" fillId="0" borderId="3" xfId="225" applyFont="1" applyFill="1" applyBorder="1" applyAlignment="1">
      <alignment wrapText="1"/>
    </xf>
    <xf numFmtId="0" fontId="3" fillId="0" borderId="0" xfId="225" applyFont="1" applyAlignment="1">
      <alignment horizontal="left" vertical="top" wrapText="1"/>
    </xf>
    <xf numFmtId="0" fontId="5" fillId="0" borderId="18" xfId="225" applyFont="1" applyFill="1" applyBorder="1" applyAlignment="1">
      <alignment horizontal="left" wrapText="1"/>
    </xf>
    <xf numFmtId="0" fontId="7" fillId="0" borderId="19" xfId="225" applyFont="1" applyFill="1" applyBorder="1" applyAlignment="1">
      <alignment horizontal="left" wrapText="1"/>
    </xf>
    <xf numFmtId="0" fontId="7" fillId="0" borderId="20" xfId="225" applyFont="1" applyFill="1" applyBorder="1" applyAlignment="1">
      <alignment horizontal="left" wrapText="1"/>
    </xf>
    <xf numFmtId="0" fontId="2" fillId="0" borderId="3" xfId="225" applyFont="1" applyFill="1" applyBorder="1" applyAlignment="1">
      <alignment wrapText="1"/>
    </xf>
    <xf numFmtId="0" fontId="3" fillId="0" borderId="0" xfId="225" applyFont="1" applyAlignment="1">
      <alignment horizontal="left" wrapText="1"/>
    </xf>
    <xf numFmtId="0" fontId="47" fillId="37" borderId="3" xfId="225" applyFont="1" applyFill="1" applyBorder="1" applyAlignment="1">
      <alignment horizontal="center" vertical="center" wrapText="1"/>
    </xf>
    <xf numFmtId="0" fontId="39" fillId="37" borderId="3" xfId="225" quotePrefix="1" applyFont="1" applyFill="1" applyBorder="1" applyAlignment="1">
      <alignment horizontal="center"/>
    </xf>
    <xf numFmtId="0" fontId="39" fillId="37" borderId="3" xfId="225" applyFont="1" applyFill="1" applyBorder="1" applyAlignment="1">
      <alignment horizontal="center"/>
    </xf>
    <xf numFmtId="0" fontId="39" fillId="0" borderId="21" xfId="225" applyFont="1" applyFill="1" applyBorder="1" applyAlignment="1">
      <alignment horizontal="right"/>
    </xf>
    <xf numFmtId="0" fontId="39" fillId="0" borderId="22" xfId="225" applyFont="1" applyFill="1" applyBorder="1" applyAlignment="1">
      <alignment horizontal="right"/>
    </xf>
    <xf numFmtId="0" fontId="7" fillId="0" borderId="3" xfId="225" applyFont="1" applyFill="1" applyBorder="1" applyAlignment="1">
      <alignment horizontal="left"/>
    </xf>
    <xf numFmtId="0" fontId="49" fillId="0" borderId="26" xfId="118" applyFont="1" applyBorder="1" applyAlignment="1">
      <alignment horizontal="left" wrapText="1"/>
    </xf>
    <xf numFmtId="0" fontId="49" fillId="0" borderId="0" xfId="118" applyFont="1" applyAlignment="1">
      <alignment horizontal="left" wrapText="1"/>
    </xf>
    <xf numFmtId="0" fontId="39" fillId="38" borderId="3" xfId="225" applyFont="1" applyFill="1" applyBorder="1" applyAlignment="1">
      <alignment horizontal="right"/>
    </xf>
    <xf numFmtId="0" fontId="61" fillId="38" borderId="18" xfId="225" applyFont="1" applyFill="1" applyBorder="1" applyAlignment="1">
      <alignment horizontal="center" wrapText="1"/>
    </xf>
    <xf numFmtId="0" fontId="61" fillId="38" borderId="19" xfId="225" applyFont="1" applyFill="1" applyBorder="1" applyAlignment="1">
      <alignment horizontal="center" wrapText="1"/>
    </xf>
    <xf numFmtId="0" fontId="61" fillId="38" borderId="20" xfId="225" applyFont="1" applyFill="1" applyBorder="1" applyAlignment="1">
      <alignment horizontal="center" wrapText="1"/>
    </xf>
    <xf numFmtId="0" fontId="39" fillId="39" borderId="18" xfId="225" applyFont="1" applyFill="1" applyBorder="1" applyAlignment="1">
      <alignment horizontal="right"/>
    </xf>
    <xf numFmtId="0" fontId="39" fillId="39" borderId="19" xfId="225" applyFont="1" applyFill="1" applyBorder="1" applyAlignment="1">
      <alignment horizontal="right"/>
    </xf>
    <xf numFmtId="0" fontId="39" fillId="39" borderId="20" xfId="225" applyFont="1" applyFill="1" applyBorder="1" applyAlignment="1">
      <alignment horizontal="right"/>
    </xf>
    <xf numFmtId="0" fontId="5" fillId="39" borderId="3" xfId="225" applyFont="1" applyFill="1" applyBorder="1" applyAlignment="1">
      <alignment horizontal="left"/>
    </xf>
    <xf numFmtId="0" fontId="47" fillId="39" borderId="3" xfId="225" applyFont="1" applyFill="1" applyBorder="1" applyAlignment="1">
      <alignment horizontal="center" vertical="center" wrapText="1"/>
    </xf>
    <xf numFmtId="0" fontId="39" fillId="39" borderId="3" xfId="225" quotePrefix="1" applyFont="1" applyFill="1" applyBorder="1" applyAlignment="1">
      <alignment horizontal="center"/>
    </xf>
    <xf numFmtId="0" fontId="4" fillId="0" borderId="18" xfId="225" applyFont="1" applyBorder="1" applyAlignment="1">
      <alignment horizontal="center" wrapText="1"/>
    </xf>
    <xf numFmtId="0" fontId="5" fillId="0" borderId="19" xfId="225" applyFont="1" applyBorder="1" applyAlignment="1">
      <alignment horizontal="center" wrapText="1"/>
    </xf>
    <xf numFmtId="0" fontId="5" fillId="0" borderId="20" xfId="225" applyFont="1" applyBorder="1" applyAlignment="1">
      <alignment horizontal="center" wrapText="1"/>
    </xf>
    <xf numFmtId="0" fontId="55" fillId="0" borderId="18" xfId="225" applyFont="1" applyBorder="1" applyAlignment="1">
      <alignment horizontal="center" wrapText="1"/>
    </xf>
    <xf numFmtId="0" fontId="55" fillId="0" borderId="3" xfId="225" applyFont="1" applyFill="1" applyBorder="1" applyAlignment="1">
      <alignment wrapText="1"/>
    </xf>
    <xf numFmtId="0" fontId="5" fillId="0" borderId="0" xfId="225" applyFont="1" applyAlignment="1">
      <alignment horizontal="left" wrapText="1"/>
    </xf>
    <xf numFmtId="0" fontId="39" fillId="39" borderId="3" xfId="225" applyFont="1" applyFill="1" applyBorder="1" applyAlignment="1">
      <alignment horizontal="center"/>
    </xf>
    <xf numFmtId="0" fontId="61" fillId="39" borderId="18" xfId="225" applyFont="1" applyFill="1" applyBorder="1" applyAlignment="1">
      <alignment horizontal="center" wrapText="1"/>
    </xf>
    <xf numFmtId="0" fontId="61" fillId="39" borderId="19" xfId="225" applyFont="1" applyFill="1" applyBorder="1" applyAlignment="1">
      <alignment horizontal="center" wrapText="1"/>
    </xf>
    <xf numFmtId="0" fontId="61" fillId="39" borderId="20" xfId="225" applyFont="1" applyFill="1" applyBorder="1" applyAlignment="1">
      <alignment horizontal="center" wrapText="1"/>
    </xf>
    <xf numFmtId="0" fontId="55" fillId="0" borderId="3" xfId="0" applyFont="1" applyBorder="1" applyAlignment="1">
      <alignment horizontal="center" wrapText="1"/>
    </xf>
    <xf numFmtId="0" fontId="5" fillId="0" borderId="3" xfId="225" applyFont="1" applyFill="1" applyBorder="1" applyAlignment="1">
      <alignment wrapText="1"/>
    </xf>
    <xf numFmtId="0" fontId="49" fillId="0" borderId="26" xfId="118" applyFont="1" applyBorder="1" applyAlignment="1">
      <alignment horizontal="left" vertical="top" wrapText="1"/>
    </xf>
    <xf numFmtId="0" fontId="49" fillId="0" borderId="0" xfId="118" applyFont="1" applyAlignment="1">
      <alignment horizontal="left" vertical="top" wrapText="1"/>
    </xf>
  </cellXfs>
  <cellStyles count="230">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xfId="229" builtinId="5"/>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CCFFCC"/>
      <color rgb="FF99CCFF"/>
      <color rgb="FFCCECFF"/>
      <color rgb="FFCCFFFF"/>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6"/>
  <sheetViews>
    <sheetView showGridLines="0" tabSelected="1" zoomScaleNormal="100" workbookViewId="0">
      <selection activeCell="B1" sqref="B1"/>
    </sheetView>
  </sheetViews>
  <sheetFormatPr defaultColWidth="9.1796875" defaultRowHeight="13" x14ac:dyDescent="0.25"/>
  <cols>
    <col min="1" max="1" width="5.26953125" style="10" customWidth="1"/>
    <col min="2" max="2" width="111.26953125" style="11" customWidth="1"/>
    <col min="3" max="3" width="5.453125" style="10" customWidth="1"/>
    <col min="4" max="4" width="19.7265625" style="12" customWidth="1"/>
    <col min="5" max="5" width="20.54296875" style="13" customWidth="1"/>
    <col min="6" max="6" width="13.54296875" style="13" customWidth="1"/>
    <col min="7" max="7" width="10.453125" style="10" bestFit="1" customWidth="1"/>
    <col min="8" max="16384" width="9.1796875" style="10"/>
  </cols>
  <sheetData>
    <row r="1" spans="1:7" ht="18" customHeight="1" x14ac:dyDescent="0.25">
      <c r="A1" s="16"/>
      <c r="B1" s="25"/>
      <c r="C1" s="16"/>
      <c r="D1" s="17"/>
    </row>
    <row r="2" spans="1:7" ht="18" customHeight="1" x14ac:dyDescent="0.25">
      <c r="A2" s="204" t="s">
        <v>142</v>
      </c>
      <c r="B2" s="205"/>
      <c r="C2" s="16"/>
      <c r="D2" s="17"/>
    </row>
    <row r="3" spans="1:7" ht="39" customHeight="1" x14ac:dyDescent="0.25">
      <c r="A3" s="205" t="s">
        <v>29</v>
      </c>
      <c r="B3" s="205"/>
      <c r="C3" s="16"/>
      <c r="D3" s="17"/>
      <c r="E3" s="186" t="s">
        <v>348</v>
      </c>
      <c r="F3" s="186" t="s">
        <v>164</v>
      </c>
    </row>
    <row r="4" spans="1:7" ht="15.75" customHeight="1" x14ac:dyDescent="0.25">
      <c r="A4" s="26"/>
      <c r="B4" s="142"/>
      <c r="C4" s="16"/>
      <c r="D4" s="17"/>
      <c r="E4" s="187" t="s">
        <v>138</v>
      </c>
      <c r="F4" s="187" t="s">
        <v>140</v>
      </c>
    </row>
    <row r="5" spans="1:7" ht="20.25" customHeight="1" x14ac:dyDescent="0.25">
      <c r="A5" s="202" t="s">
        <v>144</v>
      </c>
      <c r="B5" s="203"/>
      <c r="C5" s="16"/>
      <c r="D5" s="17"/>
    </row>
    <row r="6" spans="1:7" ht="125.15" customHeight="1" x14ac:dyDescent="0.25">
      <c r="A6" s="18" t="s">
        <v>28</v>
      </c>
      <c r="B6" s="188" t="s">
        <v>391</v>
      </c>
      <c r="C6" s="16"/>
      <c r="D6" s="17" t="s">
        <v>139</v>
      </c>
      <c r="E6" s="14">
        <f>'WP-2018 Sch4-TUTRR'!K74</f>
        <v>4413393.2040841598</v>
      </c>
      <c r="F6" s="14">
        <f>(E6/E12)*F12</f>
        <v>4767467.8194650514</v>
      </c>
      <c r="G6" s="16"/>
    </row>
    <row r="7" spans="1:7" ht="15.5" x14ac:dyDescent="0.25">
      <c r="A7" s="18"/>
      <c r="B7" s="85"/>
      <c r="C7" s="16"/>
      <c r="D7" s="17"/>
      <c r="E7" s="14"/>
      <c r="F7" s="14"/>
    </row>
    <row r="8" spans="1:7" ht="93.65" customHeight="1" x14ac:dyDescent="0.25">
      <c r="A8" s="18" t="s">
        <v>162</v>
      </c>
      <c r="B8" s="85" t="s">
        <v>343</v>
      </c>
      <c r="C8" s="16"/>
      <c r="D8" s="17" t="s">
        <v>143</v>
      </c>
      <c r="E8" s="14">
        <f>'WP-2018 Sch4-TUTRR'!K75</f>
        <v>-18.010151388123631</v>
      </c>
      <c r="F8" s="14">
        <f>(E8/E12)*F12</f>
        <v>-19.455057185277685</v>
      </c>
      <c r="G8" s="16"/>
    </row>
    <row r="9" spans="1:7" ht="15.5" x14ac:dyDescent="0.25">
      <c r="A9" s="18"/>
      <c r="B9" s="188"/>
      <c r="C9" s="16"/>
      <c r="D9" s="17"/>
      <c r="E9" s="14"/>
      <c r="F9" s="14"/>
      <c r="G9" s="16"/>
    </row>
    <row r="10" spans="1:7" ht="93.65" customHeight="1" x14ac:dyDescent="0.25">
      <c r="A10" s="18" t="s">
        <v>336</v>
      </c>
      <c r="B10" s="188" t="s">
        <v>349</v>
      </c>
      <c r="C10" s="16"/>
      <c r="D10" s="17" t="s">
        <v>341</v>
      </c>
      <c r="E10" s="14">
        <f>'WP-2018 Sch4-TUTRR'!K76</f>
        <v>-36232.300381660461</v>
      </c>
      <c r="F10" s="14">
        <f>(E10/E12)*F12</f>
        <v>-39139.119971206543</v>
      </c>
      <c r="G10" s="16"/>
    </row>
    <row r="11" spans="1:7" ht="15.5" x14ac:dyDescent="0.25">
      <c r="A11" s="18"/>
      <c r="B11" s="85"/>
      <c r="C11" s="16"/>
      <c r="D11" s="17"/>
      <c r="E11" s="14"/>
      <c r="F11" s="14"/>
      <c r="G11" s="16"/>
    </row>
    <row r="12" spans="1:7" ht="15.5" x14ac:dyDescent="0.25">
      <c r="A12" s="202" t="s">
        <v>166</v>
      </c>
      <c r="B12" s="203"/>
      <c r="C12" s="19"/>
      <c r="D12" s="20" t="s">
        <v>342</v>
      </c>
      <c r="E12" s="21">
        <f>SUM(E5:E11)</f>
        <v>4377142.8935511112</v>
      </c>
      <c r="F12" s="21">
        <f>'WP-Total Adj with Int'!G36</f>
        <v>4728309.2444366599</v>
      </c>
      <c r="G12" s="16"/>
    </row>
    <row r="13" spans="1:7" ht="15.5" x14ac:dyDescent="0.25">
      <c r="A13" s="29"/>
      <c r="B13" s="85"/>
      <c r="C13" s="19"/>
      <c r="D13" s="20"/>
      <c r="E13" s="21"/>
      <c r="F13" s="21"/>
      <c r="G13" s="16"/>
    </row>
    <row r="14" spans="1:7" ht="15.75" customHeight="1" x14ac:dyDescent="0.25">
      <c r="A14" s="29"/>
      <c r="B14" s="85"/>
      <c r="C14" s="19"/>
      <c r="D14" s="27"/>
      <c r="E14" s="14"/>
      <c r="F14" s="14"/>
    </row>
    <row r="15" spans="1:7" ht="20.25" customHeight="1" x14ac:dyDescent="0.25">
      <c r="A15" s="202" t="s">
        <v>165</v>
      </c>
      <c r="B15" s="203"/>
      <c r="C15" s="16"/>
      <c r="D15" s="17"/>
    </row>
    <row r="16" spans="1:7" ht="127.5" customHeight="1" x14ac:dyDescent="0.25">
      <c r="A16" s="18" t="s">
        <v>28</v>
      </c>
      <c r="B16" s="188" t="s">
        <v>392</v>
      </c>
      <c r="C16" s="16"/>
      <c r="D16" s="17" t="s">
        <v>163</v>
      </c>
      <c r="E16" s="14">
        <f>'WP-2019 TO2018 Sch4-TUTRR'!L82+'WP-2019 TO2021 Sch4-TUTRR'!L81</f>
        <v>5265039.1037632143</v>
      </c>
      <c r="F16" s="14">
        <f>(E16/E$24)*F$24</f>
        <v>5410073.9574905494</v>
      </c>
    </row>
    <row r="17" spans="1:9" ht="12.75" customHeight="1" x14ac:dyDescent="0.25">
      <c r="A17" s="26"/>
      <c r="B17" s="85"/>
      <c r="C17" s="16"/>
      <c r="D17" s="17"/>
      <c r="E17" s="14"/>
      <c r="F17" s="14"/>
    </row>
    <row r="18" spans="1:9" ht="96.65" customHeight="1" x14ac:dyDescent="0.25">
      <c r="A18" s="18" t="s">
        <v>162</v>
      </c>
      <c r="B18" s="85" t="s">
        <v>344</v>
      </c>
      <c r="C18" s="16"/>
      <c r="D18" s="17" t="s">
        <v>338</v>
      </c>
      <c r="E18" s="14">
        <f>'WP-2019 TO2018 Sch4-TUTRR'!L83+'WP-2019 TO2021 Sch4-TUTRR'!L82</f>
        <v>-32.368774074397663</v>
      </c>
      <c r="F18" s="14">
        <f>(E18/E$24)*F$24</f>
        <v>-33.260429448781863</v>
      </c>
    </row>
    <row r="19" spans="1:9" ht="15.5" x14ac:dyDescent="0.25">
      <c r="A19" s="18"/>
      <c r="B19" s="85"/>
      <c r="C19" s="16"/>
      <c r="D19" s="17"/>
      <c r="E19" s="14"/>
      <c r="F19" s="14"/>
    </row>
    <row r="20" spans="1:9" ht="80.150000000000006" customHeight="1" x14ac:dyDescent="0.25">
      <c r="A20" s="18" t="s">
        <v>336</v>
      </c>
      <c r="B20" s="85" t="s">
        <v>350</v>
      </c>
      <c r="C20" s="16"/>
      <c r="D20" s="17" t="s">
        <v>339</v>
      </c>
      <c r="E20" s="14">
        <f>'WP-2019 TO2018 Sch4-TUTRR'!L84+'WP-2019 TO2021 Sch4-TUTRR'!L83</f>
        <v>-136841.1496206375</v>
      </c>
      <c r="F20" s="14">
        <f>(E20/E$24)*F$24</f>
        <v>-140610.68214033407</v>
      </c>
    </row>
    <row r="21" spans="1:9" ht="15.5" x14ac:dyDescent="0.25">
      <c r="A21" s="18"/>
      <c r="B21" s="85"/>
      <c r="C21" s="16"/>
      <c r="D21" s="17"/>
      <c r="E21" s="14"/>
      <c r="F21" s="14"/>
    </row>
    <row r="22" spans="1:9" ht="77.5" x14ac:dyDescent="0.25">
      <c r="A22" s="18" t="s">
        <v>337</v>
      </c>
      <c r="B22" s="85" t="s">
        <v>351</v>
      </c>
      <c r="C22" s="16"/>
      <c r="D22" s="17" t="s">
        <v>345</v>
      </c>
      <c r="E22" s="14">
        <f>'WP-2019 TO2018 Sch4-TUTRR'!L85+'WP-2019 TO2021 Sch4-TUTRR'!L84</f>
        <v>-22732.053126344941</v>
      </c>
      <c r="F22" s="14">
        <f>(E22/E$24)*F$24</f>
        <v>-23358.247905742675</v>
      </c>
    </row>
    <row r="23" spans="1:9" ht="12.75" customHeight="1" x14ac:dyDescent="0.25">
      <c r="A23" s="26"/>
      <c r="B23" s="85"/>
      <c r="C23" s="16"/>
      <c r="D23" s="17"/>
      <c r="E23" s="14"/>
      <c r="F23" s="14"/>
    </row>
    <row r="24" spans="1:9" ht="15.75" customHeight="1" x14ac:dyDescent="0.25">
      <c r="A24" s="202" t="s">
        <v>167</v>
      </c>
      <c r="B24" s="203"/>
      <c r="C24" s="19"/>
      <c r="D24" s="22" t="s">
        <v>346</v>
      </c>
      <c r="E24" s="21">
        <f>SUM(E16:E23)</f>
        <v>5105433.5322421575</v>
      </c>
      <c r="F24" s="21">
        <f>'WP-Total Adj with Int'!K36</f>
        <v>5246071.7670150241</v>
      </c>
      <c r="G24" s="16"/>
      <c r="H24" s="16"/>
      <c r="I24" s="16"/>
    </row>
    <row r="25" spans="1:9" ht="15.75" customHeight="1" x14ac:dyDescent="0.25">
      <c r="A25" s="29"/>
      <c r="B25" s="85"/>
      <c r="C25" s="19"/>
      <c r="D25" s="22"/>
      <c r="E25" s="21"/>
      <c r="F25" s="21"/>
      <c r="G25" s="16"/>
      <c r="H25" s="16"/>
      <c r="I25" s="16"/>
    </row>
    <row r="26" spans="1:9" ht="12.75" customHeight="1" thickBot="1" x14ac:dyDescent="0.3">
      <c r="A26" s="26"/>
      <c r="B26" s="85"/>
      <c r="C26" s="16"/>
      <c r="D26" s="17"/>
      <c r="E26" s="14"/>
      <c r="F26" s="14"/>
    </row>
    <row r="27" spans="1:9" ht="16" thickBot="1" x14ac:dyDescent="0.3">
      <c r="A27" s="200" t="s">
        <v>168</v>
      </c>
      <c r="B27" s="201"/>
      <c r="C27" s="23"/>
      <c r="D27" s="24" t="s">
        <v>347</v>
      </c>
      <c r="E27" s="189">
        <f>E12+E24</f>
        <v>9482576.4257932678</v>
      </c>
      <c r="F27" s="190">
        <f>F12+F24</f>
        <v>9974381.0114516839</v>
      </c>
      <c r="G27" s="16"/>
    </row>
    <row r="28" spans="1:9" ht="15.5" x14ac:dyDescent="0.25">
      <c r="A28" s="29"/>
      <c r="B28" s="85"/>
      <c r="C28" s="16"/>
      <c r="D28" s="17"/>
      <c r="E28" s="14"/>
      <c r="F28" s="14"/>
      <c r="G28" s="16"/>
    </row>
    <row r="29" spans="1:9" ht="15.5" x14ac:dyDescent="0.25">
      <c r="A29" s="26"/>
      <c r="B29" s="85"/>
      <c r="C29" s="16"/>
      <c r="D29" s="17"/>
      <c r="E29" s="14"/>
      <c r="F29" s="14"/>
    </row>
    <row r="30" spans="1:9" ht="21" x14ac:dyDescent="0.25">
      <c r="A30" s="26" t="s">
        <v>169</v>
      </c>
      <c r="B30" s="191"/>
      <c r="C30" s="192"/>
      <c r="D30" s="193"/>
      <c r="E30" s="14"/>
      <c r="F30" s="14"/>
      <c r="G30" s="28"/>
    </row>
    <row r="31" spans="1:9" ht="15.5" x14ac:dyDescent="0.25">
      <c r="A31" s="26"/>
      <c r="B31" s="85"/>
      <c r="C31" s="16"/>
      <c r="D31" s="17"/>
      <c r="E31" s="14"/>
      <c r="F31" s="14"/>
    </row>
    <row r="32" spans="1:9" ht="29.25" customHeight="1" x14ac:dyDescent="0.25">
      <c r="A32" s="16"/>
      <c r="B32" s="25"/>
      <c r="C32" s="16"/>
      <c r="D32" s="17"/>
      <c r="E32" s="14"/>
      <c r="F32" s="14"/>
    </row>
    <row r="33" spans="1:4" x14ac:dyDescent="0.25">
      <c r="A33" s="16"/>
      <c r="B33" s="194"/>
      <c r="C33" s="194"/>
      <c r="D33" s="17"/>
    </row>
    <row r="34" spans="1:4" x14ac:dyDescent="0.25">
      <c r="A34" s="16"/>
      <c r="B34" s="194"/>
      <c r="C34" s="194"/>
      <c r="D34" s="17"/>
    </row>
    <row r="35" spans="1:4" x14ac:dyDescent="0.25">
      <c r="B35" s="36"/>
      <c r="C35" s="36"/>
    </row>
    <row r="36" spans="1:4" x14ac:dyDescent="0.25">
      <c r="B36" s="36"/>
      <c r="C36" s="36"/>
    </row>
  </sheetData>
  <mergeCells count="7">
    <mergeCell ref="A27:B27"/>
    <mergeCell ref="A24:B24"/>
    <mergeCell ref="A15:B15"/>
    <mergeCell ref="A2:B2"/>
    <mergeCell ref="A3:B3"/>
    <mergeCell ref="A5:B5"/>
    <mergeCell ref="A12:B12"/>
  </mergeCells>
  <printOptions horizontalCentered="1"/>
  <pageMargins left="0.7" right="0.7" top="0.75" bottom="0.75" header="0.3" footer="0.3"/>
  <pageSetup scale="71" fitToHeight="0" orientation="landscape" r:id="rId1"/>
  <headerFooter>
    <oddHeader>&amp;R&amp;8TO2022 Draft Annual Update
Attachment 4
WP-Schedule 3-One Time Adj Prior Period
Page &amp;P of &amp;N</oddHeader>
    <oddFooter>&amp;R&amp;A</oddFooter>
  </headerFooter>
  <rowBreaks count="1" manualBreakCount="1">
    <brk id="14" max="5"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50C1B-E96B-4B25-8F0D-F947D42A0B48}">
  <sheetPr>
    <tabColor rgb="FFCCFFCC"/>
  </sheetPr>
  <dimension ref="A1:X110"/>
  <sheetViews>
    <sheetView zoomScaleNormal="100" workbookViewId="0"/>
  </sheetViews>
  <sheetFormatPr defaultColWidth="8.7265625" defaultRowHeight="12.5" x14ac:dyDescent="0.25"/>
  <cols>
    <col min="1" max="1" width="4.54296875" style="36" customWidth="1"/>
    <col min="2" max="2" width="2.54296875" style="36" customWidth="1"/>
    <col min="3" max="3" width="8.54296875" style="36" customWidth="1"/>
    <col min="4" max="4" width="32.54296875" style="36" customWidth="1"/>
    <col min="5" max="5" width="14.54296875" style="36" customWidth="1"/>
    <col min="6" max="6" width="15.54296875" style="36" customWidth="1"/>
    <col min="7" max="8" width="14.54296875" style="36" customWidth="1"/>
    <col min="9" max="9" width="20" style="36" customWidth="1"/>
    <col min="10" max="10" width="15.54296875" style="36" customWidth="1"/>
    <col min="11" max="11" width="11" style="36" bestFit="1" customWidth="1"/>
    <col min="12" max="16384" width="8.7265625" style="36"/>
  </cols>
  <sheetData>
    <row r="1" spans="1:24" ht="13" x14ac:dyDescent="0.3">
      <c r="A1" s="35" t="s">
        <v>199</v>
      </c>
      <c r="F1" s="156" t="s">
        <v>200</v>
      </c>
      <c r="G1" s="66"/>
      <c r="H1" s="70"/>
      <c r="I1" s="70"/>
    </row>
    <row r="2" spans="1:24" ht="13" x14ac:dyDescent="0.3">
      <c r="E2" s="76" t="s">
        <v>201</v>
      </c>
      <c r="F2" s="76" t="s">
        <v>202</v>
      </c>
      <c r="G2" s="76" t="s">
        <v>203</v>
      </c>
      <c r="H2" s="76" t="s">
        <v>204</v>
      </c>
      <c r="I2" s="70"/>
    </row>
    <row r="3" spans="1:24" x14ac:dyDescent="0.25">
      <c r="G3" s="70" t="s">
        <v>205</v>
      </c>
    </row>
    <row r="4" spans="1:24" ht="13" x14ac:dyDescent="0.3">
      <c r="E4" s="39" t="s">
        <v>206</v>
      </c>
      <c r="F4" s="143" t="s">
        <v>207</v>
      </c>
      <c r="G4" s="39" t="s">
        <v>208</v>
      </c>
      <c r="I4" s="39"/>
    </row>
    <row r="5" spans="1:24" ht="13" x14ac:dyDescent="0.3">
      <c r="A5" s="40" t="s">
        <v>39</v>
      </c>
      <c r="B5" s="43"/>
      <c r="C5" s="43" t="s">
        <v>209</v>
      </c>
      <c r="D5" s="43" t="s">
        <v>31</v>
      </c>
      <c r="E5" s="43" t="s">
        <v>32</v>
      </c>
      <c r="F5" s="74" t="s">
        <v>33</v>
      </c>
      <c r="G5" s="43" t="s">
        <v>210</v>
      </c>
      <c r="H5" s="43" t="s">
        <v>82</v>
      </c>
      <c r="I5" s="43" t="s">
        <v>42</v>
      </c>
      <c r="K5" s="43"/>
      <c r="L5" s="43"/>
      <c r="M5" s="43"/>
      <c r="N5" s="43"/>
      <c r="O5" s="43"/>
      <c r="P5" s="43"/>
      <c r="Q5" s="43"/>
      <c r="R5" s="43"/>
      <c r="S5" s="43"/>
      <c r="T5" s="43"/>
      <c r="U5" s="43"/>
      <c r="V5" s="43"/>
      <c r="W5" s="43"/>
      <c r="X5" s="43"/>
    </row>
    <row r="6" spans="1:24" ht="13" x14ac:dyDescent="0.3">
      <c r="A6" s="39">
        <v>1</v>
      </c>
      <c r="C6" s="70">
        <v>920</v>
      </c>
      <c r="D6" s="36" t="s">
        <v>211</v>
      </c>
      <c r="E6" s="157">
        <v>413850310</v>
      </c>
      <c r="F6" s="70" t="s">
        <v>212</v>
      </c>
      <c r="G6" s="48">
        <f>D37</f>
        <v>140442987.27525932</v>
      </c>
      <c r="H6" s="48">
        <f t="shared" ref="H6:H19" si="0">E6-G6</f>
        <v>273407322.72474068</v>
      </c>
    </row>
    <row r="7" spans="1:24" ht="13" x14ac:dyDescent="0.3">
      <c r="A7" s="39">
        <f>A6+1</f>
        <v>2</v>
      </c>
      <c r="C7" s="70">
        <v>921</v>
      </c>
      <c r="D7" s="36" t="s">
        <v>213</v>
      </c>
      <c r="E7" s="157">
        <v>250234425</v>
      </c>
      <c r="F7" s="70" t="s">
        <v>214</v>
      </c>
      <c r="G7" s="45">
        <f t="shared" ref="G7:G19" si="1">D38</f>
        <v>2351967.084740696</v>
      </c>
      <c r="H7" s="45">
        <f t="shared" si="0"/>
        <v>247882457.9152593</v>
      </c>
    </row>
    <row r="8" spans="1:24" ht="13" x14ac:dyDescent="0.3">
      <c r="A8" s="39">
        <f>A7+1</f>
        <v>3</v>
      </c>
      <c r="C8" s="70">
        <v>922</v>
      </c>
      <c r="D8" s="36" t="s">
        <v>215</v>
      </c>
      <c r="E8" s="157">
        <v>-225318190</v>
      </c>
      <c r="F8" s="70" t="s">
        <v>216</v>
      </c>
      <c r="G8" s="45">
        <f t="shared" si="1"/>
        <v>-77722052.712449998</v>
      </c>
      <c r="H8" s="45">
        <f t="shared" si="0"/>
        <v>-147596137.28755</v>
      </c>
      <c r="I8" s="70" t="s">
        <v>217</v>
      </c>
    </row>
    <row r="9" spans="1:24" ht="13" x14ac:dyDescent="0.3">
      <c r="A9" s="39">
        <f t="shared" ref="A9:A20" si="2">A8+1</f>
        <v>4</v>
      </c>
      <c r="B9" s="39"/>
      <c r="C9" s="70">
        <v>923</v>
      </c>
      <c r="D9" s="36" t="s">
        <v>218</v>
      </c>
      <c r="E9" s="157">
        <v>59887693</v>
      </c>
      <c r="F9" s="70" t="s">
        <v>219</v>
      </c>
      <c r="G9" s="48">
        <f t="shared" si="1"/>
        <v>8963863.5378677826</v>
      </c>
      <c r="H9" s="48">
        <f t="shared" si="0"/>
        <v>50923829.462132215</v>
      </c>
    </row>
    <row r="10" spans="1:24" ht="13" x14ac:dyDescent="0.3">
      <c r="A10" s="39">
        <f t="shared" si="2"/>
        <v>5</v>
      </c>
      <c r="B10" s="39"/>
      <c r="C10" s="70">
        <v>924</v>
      </c>
      <c r="D10" s="36" t="s">
        <v>220</v>
      </c>
      <c r="E10" s="157">
        <v>15607270</v>
      </c>
      <c r="F10" s="70" t="s">
        <v>221</v>
      </c>
      <c r="G10" s="45">
        <f t="shared" si="1"/>
        <v>0</v>
      </c>
      <c r="H10" s="45">
        <f t="shared" si="0"/>
        <v>15607270</v>
      </c>
    </row>
    <row r="11" spans="1:24" ht="13" x14ac:dyDescent="0.3">
      <c r="A11" s="39">
        <f t="shared" si="2"/>
        <v>6</v>
      </c>
      <c r="B11" s="39"/>
      <c r="C11" s="70">
        <v>925</v>
      </c>
      <c r="D11" s="36" t="s">
        <v>222</v>
      </c>
      <c r="E11" s="157">
        <v>902073996</v>
      </c>
      <c r="F11" s="70" t="s">
        <v>223</v>
      </c>
      <c r="G11" s="45">
        <f t="shared" si="1"/>
        <v>168752277.52000001</v>
      </c>
      <c r="H11" s="45">
        <f t="shared" si="0"/>
        <v>733321718.48000002</v>
      </c>
    </row>
    <row r="12" spans="1:24" ht="13" x14ac:dyDescent="0.3">
      <c r="A12" s="39">
        <f t="shared" si="2"/>
        <v>7</v>
      </c>
      <c r="B12" s="39"/>
      <c r="C12" s="70">
        <v>926</v>
      </c>
      <c r="D12" s="36" t="s">
        <v>224</v>
      </c>
      <c r="E12" s="157">
        <v>82906034</v>
      </c>
      <c r="F12" s="70" t="s">
        <v>225</v>
      </c>
      <c r="G12" s="48">
        <f t="shared" si="1"/>
        <v>2802913.9770550355</v>
      </c>
      <c r="H12" s="48">
        <f t="shared" si="0"/>
        <v>80103120.022944957</v>
      </c>
    </row>
    <row r="13" spans="1:24" ht="13" x14ac:dyDescent="0.3">
      <c r="A13" s="39">
        <f t="shared" si="2"/>
        <v>8</v>
      </c>
      <c r="B13" s="39"/>
      <c r="C13" s="70">
        <v>927</v>
      </c>
      <c r="D13" s="36" t="s">
        <v>226</v>
      </c>
      <c r="E13" s="157">
        <v>104335318</v>
      </c>
      <c r="F13" s="70" t="s">
        <v>227</v>
      </c>
      <c r="G13" s="45">
        <f t="shared" si="1"/>
        <v>104335318</v>
      </c>
      <c r="H13" s="45">
        <f t="shared" si="0"/>
        <v>0</v>
      </c>
    </row>
    <row r="14" spans="1:24" ht="13" x14ac:dyDescent="0.3">
      <c r="A14" s="39">
        <f t="shared" si="2"/>
        <v>9</v>
      </c>
      <c r="B14" s="39"/>
      <c r="C14" s="70">
        <v>928</v>
      </c>
      <c r="D14" s="36" t="s">
        <v>228</v>
      </c>
      <c r="E14" s="157">
        <v>11713250</v>
      </c>
      <c r="F14" s="70" t="s">
        <v>229</v>
      </c>
      <c r="G14" s="45">
        <f t="shared" si="1"/>
        <v>9979027.6099999994</v>
      </c>
      <c r="H14" s="45">
        <f t="shared" si="0"/>
        <v>1734222.3900000006</v>
      </c>
    </row>
    <row r="15" spans="1:24" ht="13" x14ac:dyDescent="0.3">
      <c r="A15" s="39">
        <f t="shared" si="2"/>
        <v>10</v>
      </c>
      <c r="B15" s="39"/>
      <c r="C15" s="70">
        <v>929</v>
      </c>
      <c r="D15" s="36" t="s">
        <v>230</v>
      </c>
      <c r="E15" s="157">
        <v>0</v>
      </c>
      <c r="F15" s="70" t="s">
        <v>231</v>
      </c>
      <c r="G15" s="45">
        <f t="shared" si="1"/>
        <v>0</v>
      </c>
      <c r="H15" s="45">
        <f t="shared" si="0"/>
        <v>0</v>
      </c>
    </row>
    <row r="16" spans="1:24" ht="13" x14ac:dyDescent="0.3">
      <c r="A16" s="39">
        <f t="shared" si="2"/>
        <v>11</v>
      </c>
      <c r="B16" s="39"/>
      <c r="C16" s="70">
        <v>930.1</v>
      </c>
      <c r="D16" s="36" t="s">
        <v>232</v>
      </c>
      <c r="E16" s="157">
        <v>11245961</v>
      </c>
      <c r="F16" s="70" t="s">
        <v>233</v>
      </c>
      <c r="G16" s="45">
        <f t="shared" si="1"/>
        <v>4498348</v>
      </c>
      <c r="H16" s="45">
        <f t="shared" si="0"/>
        <v>6747613</v>
      </c>
    </row>
    <row r="17" spans="1:8" ht="13" x14ac:dyDescent="0.3">
      <c r="A17" s="39">
        <f t="shared" si="2"/>
        <v>12</v>
      </c>
      <c r="B17" s="39"/>
      <c r="C17" s="70">
        <v>930.2</v>
      </c>
      <c r="D17" s="36" t="s">
        <v>234</v>
      </c>
      <c r="E17" s="157">
        <v>14071912</v>
      </c>
      <c r="F17" s="70" t="s">
        <v>235</v>
      </c>
      <c r="G17" s="48">
        <f t="shared" si="1"/>
        <v>5999239.1899999976</v>
      </c>
      <c r="H17" s="48">
        <f t="shared" si="0"/>
        <v>8072672.8100000024</v>
      </c>
    </row>
    <row r="18" spans="1:8" ht="13" x14ac:dyDescent="0.3">
      <c r="A18" s="39">
        <f t="shared" si="2"/>
        <v>13</v>
      </c>
      <c r="B18" s="39"/>
      <c r="C18" s="70">
        <v>931</v>
      </c>
      <c r="D18" s="36" t="s">
        <v>236</v>
      </c>
      <c r="E18" s="157">
        <v>8581490</v>
      </c>
      <c r="F18" s="70" t="s">
        <v>237</v>
      </c>
      <c r="G18" s="45">
        <f t="shared" si="1"/>
        <v>12016812.699999999</v>
      </c>
      <c r="H18" s="45">
        <f t="shared" si="0"/>
        <v>-3435322.6999999993</v>
      </c>
    </row>
    <row r="19" spans="1:8" ht="13" x14ac:dyDescent="0.3">
      <c r="A19" s="39">
        <f t="shared" si="2"/>
        <v>14</v>
      </c>
      <c r="B19" s="39"/>
      <c r="C19" s="70">
        <v>935</v>
      </c>
      <c r="D19" s="36" t="s">
        <v>238</v>
      </c>
      <c r="E19" s="158">
        <v>26158179</v>
      </c>
      <c r="F19" s="70" t="s">
        <v>239</v>
      </c>
      <c r="G19" s="45">
        <f t="shared" si="1"/>
        <v>811671.73</v>
      </c>
      <c r="H19" s="51">
        <f t="shared" si="0"/>
        <v>25346507.27</v>
      </c>
    </row>
    <row r="20" spans="1:8" ht="13" x14ac:dyDescent="0.3">
      <c r="A20" s="39">
        <f t="shared" si="2"/>
        <v>15</v>
      </c>
      <c r="E20" s="45">
        <f>SUM(E6:E19)</f>
        <v>1675347648</v>
      </c>
      <c r="G20" s="55" t="s">
        <v>240</v>
      </c>
      <c r="H20" s="48">
        <f>SUM(H6:H19)</f>
        <v>1292115274.0875273</v>
      </c>
    </row>
    <row r="22" spans="1:8" ht="13" x14ac:dyDescent="0.3">
      <c r="F22" s="43" t="s">
        <v>32</v>
      </c>
      <c r="G22" s="43" t="s">
        <v>33</v>
      </c>
    </row>
    <row r="23" spans="1:8" ht="13" x14ac:dyDescent="0.3">
      <c r="A23" s="39">
        <f>A20+1</f>
        <v>16</v>
      </c>
      <c r="E23" s="55" t="s">
        <v>241</v>
      </c>
      <c r="F23" s="48">
        <f>H20</f>
        <v>1292115274.0875273</v>
      </c>
      <c r="G23" s="41" t="str">
        <f>"Line "&amp;A20&amp;""</f>
        <v>Line 15</v>
      </c>
    </row>
    <row r="24" spans="1:8" ht="13" x14ac:dyDescent="0.3">
      <c r="A24" s="39">
        <f t="shared" ref="A24:A30" si="3">A23+1</f>
        <v>17</v>
      </c>
      <c r="E24" s="55" t="s">
        <v>242</v>
      </c>
      <c r="F24" s="51">
        <f>E10</f>
        <v>15607270</v>
      </c>
      <c r="G24" s="41" t="str">
        <f>"Line "&amp;A10&amp;""</f>
        <v>Line 5</v>
      </c>
    </row>
    <row r="25" spans="1:8" ht="13" x14ac:dyDescent="0.3">
      <c r="A25" s="39">
        <f t="shared" si="3"/>
        <v>18</v>
      </c>
      <c r="E25" s="55" t="s">
        <v>243</v>
      </c>
      <c r="F25" s="48">
        <f>F23-F24</f>
        <v>1276508004.0875273</v>
      </c>
      <c r="G25" s="41" t="str">
        <f>"Line "&amp;A23&amp;" - Line "&amp;A24&amp;""</f>
        <v>Line 16 - Line 17</v>
      </c>
    </row>
    <row r="26" spans="1:8" ht="13" x14ac:dyDescent="0.3">
      <c r="A26" s="39">
        <f t="shared" si="3"/>
        <v>19</v>
      </c>
      <c r="E26" s="55" t="s">
        <v>244</v>
      </c>
      <c r="F26" s="69">
        <v>6.5680595610890333E-2</v>
      </c>
      <c r="G26" s="41" t="s">
        <v>386</v>
      </c>
    </row>
    <row r="27" spans="1:8" ht="13" x14ac:dyDescent="0.3">
      <c r="A27" s="39">
        <f t="shared" si="3"/>
        <v>20</v>
      </c>
      <c r="E27" s="55" t="s">
        <v>246</v>
      </c>
      <c r="F27" s="48">
        <f>F25*F26</f>
        <v>83841806.010537624</v>
      </c>
      <c r="G27" s="41" t="str">
        <f>"Line "&amp;A25&amp;" * Line "&amp;A26&amp;""</f>
        <v>Line 18 * Line 19</v>
      </c>
    </row>
    <row r="28" spans="1:8" ht="13" x14ac:dyDescent="0.3">
      <c r="A28" s="39">
        <f t="shared" si="3"/>
        <v>21</v>
      </c>
      <c r="E28" s="55" t="s">
        <v>247</v>
      </c>
      <c r="F28" s="53">
        <v>0.18668038449535004</v>
      </c>
      <c r="G28" s="41" t="s">
        <v>387</v>
      </c>
    </row>
    <row r="29" spans="1:8" ht="13" x14ac:dyDescent="0.3">
      <c r="A29" s="39">
        <f t="shared" si="3"/>
        <v>22</v>
      </c>
      <c r="E29" s="55" t="s">
        <v>249</v>
      </c>
      <c r="F29" s="51">
        <f>H10*F28</f>
        <v>2913571.1645227419</v>
      </c>
      <c r="G29" s="41" t="str">
        <f>"Line "&amp;A10&amp;" Col 4 * Line "&amp;A28&amp;""</f>
        <v>Line 5 Col 4 * Line 21</v>
      </c>
    </row>
    <row r="30" spans="1:8" ht="13" x14ac:dyDescent="0.3">
      <c r="A30" s="39">
        <f t="shared" si="3"/>
        <v>23</v>
      </c>
      <c r="E30" s="55" t="s">
        <v>250</v>
      </c>
      <c r="F30" s="48">
        <f>F27+F29</f>
        <v>86755377.175060362</v>
      </c>
      <c r="G30" s="41" t="str">
        <f>"Line "&amp;A27&amp;" + Line "&amp;A29&amp;""</f>
        <v>Line 20 + Line 22</v>
      </c>
    </row>
    <row r="32" spans="1:8" ht="13" x14ac:dyDescent="0.3">
      <c r="B32" s="35" t="s">
        <v>251</v>
      </c>
      <c r="E32" s="76" t="s">
        <v>201</v>
      </c>
      <c r="F32" s="76" t="s">
        <v>202</v>
      </c>
      <c r="G32" s="76" t="s">
        <v>203</v>
      </c>
      <c r="H32" s="76" t="s">
        <v>204</v>
      </c>
    </row>
    <row r="33" spans="1:11" ht="13" x14ac:dyDescent="0.3">
      <c r="B33" s="35"/>
      <c r="C33" s="159" t="s">
        <v>320</v>
      </c>
      <c r="D33" s="160" t="s">
        <v>321</v>
      </c>
      <c r="E33" s="39" t="s">
        <v>252</v>
      </c>
      <c r="F33" s="76"/>
      <c r="G33" s="76"/>
      <c r="H33" s="76"/>
    </row>
    <row r="34" spans="1:11" ht="13" x14ac:dyDescent="0.3">
      <c r="E34" s="39" t="s">
        <v>253</v>
      </c>
    </row>
    <row r="35" spans="1:11" ht="13" x14ac:dyDescent="0.3">
      <c r="D35" s="39" t="s">
        <v>254</v>
      </c>
      <c r="E35" s="39" t="s">
        <v>255</v>
      </c>
      <c r="F35" s="39" t="s">
        <v>256</v>
      </c>
      <c r="G35" s="39"/>
      <c r="H35" s="39"/>
    </row>
    <row r="36" spans="1:11" ht="13.5" thickBot="1" x14ac:dyDescent="0.35">
      <c r="C36" s="43" t="s">
        <v>209</v>
      </c>
      <c r="D36" s="76" t="s">
        <v>257</v>
      </c>
      <c r="E36" s="43" t="s">
        <v>258</v>
      </c>
      <c r="F36" s="43" t="s">
        <v>259</v>
      </c>
      <c r="G36" s="43" t="s">
        <v>260</v>
      </c>
      <c r="H36" s="43" t="s">
        <v>261</v>
      </c>
      <c r="I36" s="43" t="s">
        <v>42</v>
      </c>
    </row>
    <row r="37" spans="1:11" ht="13.5" thickBot="1" x14ac:dyDescent="0.35">
      <c r="A37" s="39">
        <f>A30+1</f>
        <v>24</v>
      </c>
      <c r="C37" s="70">
        <v>920</v>
      </c>
      <c r="D37" s="161">
        <f>SUM(E37:H37)</f>
        <v>140442987.27525932</v>
      </c>
      <c r="E37" s="162">
        <v>-2940101.7247406989</v>
      </c>
      <c r="F37" s="163"/>
      <c r="G37" s="45">
        <f>G58</f>
        <v>143383089</v>
      </c>
      <c r="H37" s="163"/>
      <c r="I37" s="41" t="s">
        <v>262</v>
      </c>
    </row>
    <row r="38" spans="1:11" ht="13" x14ac:dyDescent="0.3">
      <c r="A38" s="39">
        <f>A37+1</f>
        <v>25</v>
      </c>
      <c r="C38" s="70">
        <v>921</v>
      </c>
      <c r="D38" s="164">
        <f t="shared" ref="D38:D50" si="4">SUM(E38:H38)</f>
        <v>2351967.084740696</v>
      </c>
      <c r="E38" s="163">
        <v>2351967.084740696</v>
      </c>
      <c r="F38" s="163"/>
      <c r="G38" s="163">
        <v>0</v>
      </c>
      <c r="H38" s="163"/>
      <c r="I38" s="41"/>
    </row>
    <row r="39" spans="1:11" ht="13.5" thickBot="1" x14ac:dyDescent="0.35">
      <c r="A39" s="39">
        <f t="shared" ref="A39:A50" si="5">A38+1</f>
        <v>26</v>
      </c>
      <c r="C39" s="70">
        <v>922</v>
      </c>
      <c r="D39" s="164">
        <f t="shared" si="4"/>
        <v>-77722052.712449998</v>
      </c>
      <c r="E39" s="163">
        <v>-10359095.712450001</v>
      </c>
      <c r="F39" s="163"/>
      <c r="G39" s="163">
        <v>-67362957</v>
      </c>
      <c r="H39" s="163"/>
      <c r="I39" s="41"/>
    </row>
    <row r="40" spans="1:11" ht="13.5" thickBot="1" x14ac:dyDescent="0.35">
      <c r="A40" s="39">
        <f t="shared" si="5"/>
        <v>27</v>
      </c>
      <c r="C40" s="70">
        <v>923</v>
      </c>
      <c r="D40" s="161">
        <f t="shared" si="4"/>
        <v>8963863.5378677826</v>
      </c>
      <c r="E40" s="162">
        <v>8963863.5378677826</v>
      </c>
      <c r="F40" s="163"/>
      <c r="G40" s="163">
        <v>0</v>
      </c>
      <c r="H40" s="163"/>
      <c r="I40" s="41"/>
      <c r="J40" s="43"/>
      <c r="K40" s="43"/>
    </row>
    <row r="41" spans="1:11" ht="13" x14ac:dyDescent="0.3">
      <c r="A41" s="39">
        <f t="shared" si="5"/>
        <v>28</v>
      </c>
      <c r="C41" s="70">
        <v>924</v>
      </c>
      <c r="D41" s="164">
        <f t="shared" si="4"/>
        <v>0</v>
      </c>
      <c r="E41" s="163">
        <v>0</v>
      </c>
      <c r="F41" s="163"/>
      <c r="G41" s="163">
        <v>0</v>
      </c>
      <c r="H41" s="163"/>
      <c r="I41" s="41"/>
      <c r="K41" s="45"/>
    </row>
    <row r="42" spans="1:11" ht="13.5" thickBot="1" x14ac:dyDescent="0.35">
      <c r="A42" s="39">
        <f t="shared" si="5"/>
        <v>29</v>
      </c>
      <c r="C42" s="70">
        <v>925</v>
      </c>
      <c r="D42" s="164">
        <f t="shared" si="4"/>
        <v>168752277.52000001</v>
      </c>
      <c r="E42" s="163">
        <v>168752277.52000001</v>
      </c>
      <c r="F42" s="163"/>
      <c r="G42" s="163">
        <v>0</v>
      </c>
      <c r="H42" s="163"/>
      <c r="I42" s="41" t="s">
        <v>322</v>
      </c>
      <c r="K42" s="45"/>
    </row>
    <row r="43" spans="1:11" ht="13.5" thickBot="1" x14ac:dyDescent="0.35">
      <c r="A43" s="39">
        <f t="shared" si="5"/>
        <v>30</v>
      </c>
      <c r="C43" s="70">
        <v>926</v>
      </c>
      <c r="D43" s="161">
        <f t="shared" si="4"/>
        <v>2802913.9770550355</v>
      </c>
      <c r="E43" s="162">
        <v>14692913.977055036</v>
      </c>
      <c r="F43" s="163"/>
      <c r="G43" s="163">
        <v>0</v>
      </c>
      <c r="H43" s="45">
        <f>E71</f>
        <v>-11890000</v>
      </c>
      <c r="I43" s="41" t="s">
        <v>263</v>
      </c>
      <c r="K43" s="45"/>
    </row>
    <row r="44" spans="1:11" ht="13" x14ac:dyDescent="0.3">
      <c r="A44" s="39">
        <f t="shared" si="5"/>
        <v>31</v>
      </c>
      <c r="C44" s="70">
        <v>927</v>
      </c>
      <c r="D44" s="164">
        <f t="shared" si="4"/>
        <v>104335318</v>
      </c>
      <c r="E44" s="45">
        <v>0</v>
      </c>
      <c r="F44" s="45">
        <f>E13</f>
        <v>104335318</v>
      </c>
      <c r="G44" s="45">
        <v>0</v>
      </c>
      <c r="H44" s="45">
        <v>0</v>
      </c>
      <c r="I44" s="41" t="s">
        <v>264</v>
      </c>
      <c r="K44" s="45"/>
    </row>
    <row r="45" spans="1:11" ht="13" x14ac:dyDescent="0.3">
      <c r="A45" s="39">
        <f t="shared" si="5"/>
        <v>32</v>
      </c>
      <c r="C45" s="70">
        <v>928</v>
      </c>
      <c r="D45" s="164">
        <f t="shared" si="4"/>
        <v>9979027.6099999994</v>
      </c>
      <c r="E45" s="163">
        <v>9979027.6099999994</v>
      </c>
      <c r="F45" s="163"/>
      <c r="G45" s="163">
        <v>0</v>
      </c>
      <c r="H45" s="163"/>
      <c r="I45" s="41"/>
      <c r="K45" s="45"/>
    </row>
    <row r="46" spans="1:11" ht="13" x14ac:dyDescent="0.3">
      <c r="A46" s="39">
        <f t="shared" si="5"/>
        <v>33</v>
      </c>
      <c r="C46" s="70">
        <v>929</v>
      </c>
      <c r="D46" s="164">
        <f t="shared" si="4"/>
        <v>0</v>
      </c>
      <c r="E46" s="163">
        <v>0</v>
      </c>
      <c r="F46" s="163"/>
      <c r="G46" s="163">
        <v>0</v>
      </c>
      <c r="H46" s="163"/>
      <c r="I46" s="41"/>
      <c r="K46" s="45"/>
    </row>
    <row r="47" spans="1:11" ht="13.5" thickBot="1" x14ac:dyDescent="0.35">
      <c r="A47" s="39">
        <f t="shared" si="5"/>
        <v>34</v>
      </c>
      <c r="C47" s="70">
        <v>930.1</v>
      </c>
      <c r="D47" s="164">
        <f t="shared" si="4"/>
        <v>4498348</v>
      </c>
      <c r="E47" s="163">
        <v>4498348</v>
      </c>
      <c r="F47" s="163"/>
      <c r="G47" s="163">
        <v>0</v>
      </c>
      <c r="H47" s="163"/>
      <c r="I47" s="41"/>
      <c r="K47" s="45"/>
    </row>
    <row r="48" spans="1:11" ht="13.5" thickBot="1" x14ac:dyDescent="0.35">
      <c r="A48" s="39">
        <f t="shared" si="5"/>
        <v>35</v>
      </c>
      <c r="C48" s="70">
        <v>930.2</v>
      </c>
      <c r="D48" s="161">
        <f t="shared" si="4"/>
        <v>5999239.1899999976</v>
      </c>
      <c r="E48" s="162">
        <v>5999239.1899999976</v>
      </c>
      <c r="F48" s="163"/>
      <c r="G48" s="163">
        <v>0</v>
      </c>
      <c r="H48" s="163"/>
      <c r="I48" s="41"/>
      <c r="J48" s="45"/>
    </row>
    <row r="49" spans="1:10" ht="13" x14ac:dyDescent="0.3">
      <c r="A49" s="39">
        <f t="shared" si="5"/>
        <v>36</v>
      </c>
      <c r="C49" s="70">
        <v>931</v>
      </c>
      <c r="D49" s="164">
        <f t="shared" si="4"/>
        <v>12016812.699999999</v>
      </c>
      <c r="E49" s="163">
        <v>12016812.699999999</v>
      </c>
      <c r="F49" s="163"/>
      <c r="G49" s="163">
        <v>0</v>
      </c>
      <c r="H49" s="163"/>
      <c r="I49" s="41"/>
      <c r="J49" s="45"/>
    </row>
    <row r="50" spans="1:10" ht="13" x14ac:dyDescent="0.3">
      <c r="A50" s="39">
        <f t="shared" si="5"/>
        <v>37</v>
      </c>
      <c r="C50" s="70">
        <v>935</v>
      </c>
      <c r="D50" s="164">
        <f t="shared" si="4"/>
        <v>811671.73</v>
      </c>
      <c r="E50" s="163">
        <v>811671.73</v>
      </c>
      <c r="F50" s="163"/>
      <c r="G50" s="163">
        <v>0</v>
      </c>
      <c r="H50" s="163"/>
      <c r="I50" s="41"/>
    </row>
    <row r="51" spans="1:10" ht="13" x14ac:dyDescent="0.3">
      <c r="A51" s="39"/>
      <c r="C51" s="70"/>
      <c r="D51" s="164"/>
      <c r="E51" s="45"/>
      <c r="F51" s="45"/>
      <c r="G51" s="45"/>
      <c r="H51" s="45"/>
      <c r="I51" s="41"/>
    </row>
    <row r="52" spans="1:10" ht="13" x14ac:dyDescent="0.3">
      <c r="B52" s="35" t="s">
        <v>265</v>
      </c>
    </row>
    <row r="53" spans="1:10" ht="13" x14ac:dyDescent="0.3">
      <c r="B53" s="35"/>
      <c r="C53" s="36" t="s">
        <v>266</v>
      </c>
      <c r="G53" s="39"/>
      <c r="H53" s="39"/>
    </row>
    <row r="54" spans="1:10" ht="13" x14ac:dyDescent="0.3">
      <c r="B54" s="35"/>
      <c r="C54" s="63" t="s">
        <v>267</v>
      </c>
      <c r="D54" s="63"/>
      <c r="E54" s="63"/>
      <c r="G54" s="39"/>
      <c r="H54" s="39"/>
    </row>
    <row r="55" spans="1:10" ht="13" x14ac:dyDescent="0.3">
      <c r="B55" s="35"/>
      <c r="C55" s="159" t="s">
        <v>320</v>
      </c>
      <c r="D55" s="160" t="s">
        <v>321</v>
      </c>
      <c r="G55" s="43" t="s">
        <v>32</v>
      </c>
      <c r="H55" s="43" t="s">
        <v>33</v>
      </c>
    </row>
    <row r="56" spans="1:10" ht="13" x14ac:dyDescent="0.3">
      <c r="A56" s="39"/>
      <c r="B56" s="39" t="s">
        <v>114</v>
      </c>
      <c r="C56" s="165"/>
      <c r="F56" s="55" t="s">
        <v>268</v>
      </c>
      <c r="G56" s="163">
        <v>148050456</v>
      </c>
      <c r="H56" s="41" t="s">
        <v>269</v>
      </c>
    </row>
    <row r="57" spans="1:10" ht="13" x14ac:dyDescent="0.3">
      <c r="A57" s="39"/>
      <c r="B57" s="39" t="s">
        <v>116</v>
      </c>
      <c r="F57" s="55" t="s">
        <v>270</v>
      </c>
      <c r="G57" s="51">
        <f>E61</f>
        <v>4667367</v>
      </c>
      <c r="H57" s="41" t="str">
        <f>"Note 2, "&amp;B61&amp;""</f>
        <v>Note 2, d</v>
      </c>
    </row>
    <row r="58" spans="1:10" ht="13" x14ac:dyDescent="0.3">
      <c r="A58" s="39"/>
      <c r="B58" s="39" t="s">
        <v>119</v>
      </c>
      <c r="F58" s="55" t="s">
        <v>271</v>
      </c>
      <c r="G58" s="45">
        <f>G56-G57</f>
        <v>143383089</v>
      </c>
    </row>
    <row r="59" spans="1:10" ht="13" x14ac:dyDescent="0.3">
      <c r="A59" s="39"/>
      <c r="C59" s="63" t="s">
        <v>272</v>
      </c>
      <c r="D59" s="63"/>
      <c r="E59" s="63"/>
      <c r="G59" s="45"/>
    </row>
    <row r="60" spans="1:10" ht="13" x14ac:dyDescent="0.3">
      <c r="A60" s="39"/>
      <c r="D60" s="42" t="s">
        <v>273</v>
      </c>
      <c r="E60" s="43" t="s">
        <v>32</v>
      </c>
      <c r="F60" s="43" t="s">
        <v>33</v>
      </c>
      <c r="G60" s="45"/>
    </row>
    <row r="61" spans="1:10" ht="13" x14ac:dyDescent="0.3">
      <c r="A61" s="39"/>
      <c r="B61" s="39" t="s">
        <v>121</v>
      </c>
      <c r="D61" s="36" t="s">
        <v>274</v>
      </c>
      <c r="E61" s="144">
        <v>4667367</v>
      </c>
      <c r="F61" s="41" t="s">
        <v>275</v>
      </c>
      <c r="G61" s="45"/>
    </row>
    <row r="62" spans="1:10" ht="13" x14ac:dyDescent="0.3">
      <c r="A62" s="39"/>
      <c r="B62" s="39" t="s">
        <v>125</v>
      </c>
      <c r="D62" s="36" t="s">
        <v>276</v>
      </c>
      <c r="E62" s="144">
        <v>2525320</v>
      </c>
      <c r="F62" s="41" t="s">
        <v>275</v>
      </c>
      <c r="G62" s="45"/>
      <c r="I62" s="145"/>
    </row>
    <row r="63" spans="1:10" ht="13" x14ac:dyDescent="0.3">
      <c r="A63" s="39"/>
      <c r="B63" s="39" t="s">
        <v>127</v>
      </c>
      <c r="D63" s="36" t="s">
        <v>277</v>
      </c>
      <c r="E63" s="146">
        <v>4239356</v>
      </c>
      <c r="F63" s="41" t="s">
        <v>275</v>
      </c>
      <c r="G63" s="45"/>
      <c r="I63" s="45"/>
    </row>
    <row r="64" spans="1:10" ht="13" x14ac:dyDescent="0.3">
      <c r="A64" s="39"/>
      <c r="B64" s="39" t="s">
        <v>129</v>
      </c>
      <c r="D64" s="55" t="s">
        <v>278</v>
      </c>
      <c r="E64" s="45">
        <f>SUM(E61:E63)</f>
        <v>11432043</v>
      </c>
      <c r="F64" s="41" t="str">
        <f>"Sum of "&amp;B61&amp;" to "&amp;B63&amp;""</f>
        <v>Sum of d to f</v>
      </c>
      <c r="G64" s="45"/>
    </row>
    <row r="66" spans="1:7" ht="13" x14ac:dyDescent="0.3">
      <c r="B66" s="35" t="s">
        <v>279</v>
      </c>
    </row>
    <row r="67" spans="1:7" ht="13" x14ac:dyDescent="0.3">
      <c r="E67" s="43" t="s">
        <v>32</v>
      </c>
      <c r="F67" s="42" t="s">
        <v>280</v>
      </c>
    </row>
    <row r="68" spans="1:7" ht="13" x14ac:dyDescent="0.3">
      <c r="A68" s="39"/>
      <c r="B68" s="39" t="s">
        <v>114</v>
      </c>
      <c r="D68" s="55" t="s">
        <v>281</v>
      </c>
      <c r="E68" s="166">
        <v>6329000</v>
      </c>
      <c r="F68" s="41" t="s">
        <v>282</v>
      </c>
    </row>
    <row r="69" spans="1:7" ht="13" x14ac:dyDescent="0.3">
      <c r="A69" s="39"/>
      <c r="B69" s="39" t="s">
        <v>116</v>
      </c>
      <c r="D69" s="55" t="s">
        <v>283</v>
      </c>
      <c r="E69" s="167">
        <v>18219000</v>
      </c>
      <c r="F69" s="41" t="s">
        <v>284</v>
      </c>
    </row>
    <row r="70" spans="1:7" ht="13" x14ac:dyDescent="0.3">
      <c r="A70" s="39"/>
      <c r="B70" s="39" t="s">
        <v>119</v>
      </c>
      <c r="D70" s="55" t="s">
        <v>285</v>
      </c>
      <c r="E70" s="168">
        <v>6329000</v>
      </c>
      <c r="F70" s="41" t="s">
        <v>269</v>
      </c>
    </row>
    <row r="71" spans="1:7" ht="13" x14ac:dyDescent="0.3">
      <c r="A71" s="39"/>
      <c r="B71" s="39" t="s">
        <v>121</v>
      </c>
      <c r="D71" s="55" t="s">
        <v>286</v>
      </c>
      <c r="E71" s="45">
        <f>E70-E69</f>
        <v>-11890000</v>
      </c>
      <c r="F71" s="41" t="str">
        <f>""&amp;B70&amp;" - "&amp;B69&amp;""</f>
        <v>c - b</v>
      </c>
    </row>
    <row r="72" spans="1:7" ht="13" x14ac:dyDescent="0.3">
      <c r="A72" s="39"/>
      <c r="B72" s="35" t="s">
        <v>287</v>
      </c>
      <c r="D72" s="55"/>
      <c r="E72" s="45"/>
      <c r="F72" s="41"/>
    </row>
    <row r="73" spans="1:7" ht="13" x14ac:dyDescent="0.3">
      <c r="A73" s="39"/>
      <c r="B73" s="35"/>
      <c r="C73" s="36" t="str">
        <f>"Amount in Line "&amp;A44&amp;", column 2 equals amount in Line "&amp;A13&amp;", column 1 because all Franchise Requirements Expenses are excluded"</f>
        <v>Amount in Line 31, column 2 equals amount in Line 8, column 1 because all Franchise Requirements Expenses are excluded</v>
      </c>
      <c r="D73" s="55"/>
      <c r="E73" s="45"/>
      <c r="F73" s="41"/>
    </row>
    <row r="74" spans="1:7" ht="13" x14ac:dyDescent="0.3">
      <c r="A74" s="39"/>
      <c r="B74" s="35"/>
      <c r="C74" s="36" t="s">
        <v>288</v>
      </c>
      <c r="D74" s="55"/>
      <c r="E74" s="45"/>
      <c r="F74" s="41"/>
    </row>
    <row r="76" spans="1:7" ht="13" x14ac:dyDescent="0.3">
      <c r="B76" s="35" t="s">
        <v>104</v>
      </c>
    </row>
    <row r="77" spans="1:7" x14ac:dyDescent="0.25">
      <c r="C77" s="36" t="str">
        <f>"1) Enter amounts of A&amp;G expenses from FERC Form 1 in Lines "&amp;A6&amp;" to "&amp;A19&amp;"."</f>
        <v>1) Enter amounts of A&amp;G expenses from FERC Form 1 in Lines 1 to 14.</v>
      </c>
    </row>
    <row r="78" spans="1:7" x14ac:dyDescent="0.25">
      <c r="C78" s="36" t="s">
        <v>289</v>
      </c>
      <c r="G78" s="36" t="str">
        <f>"Column 3, Line "&amp;A37&amp;""</f>
        <v>Column 3, Line 24</v>
      </c>
    </row>
    <row r="79" spans="1:7" x14ac:dyDescent="0.25">
      <c r="C79" s="41" t="str">
        <f>"is calculated in Note 2.  The PBOPs exclusion in Column 4, Line "&amp;A43&amp;" is calculated in Note 3."</f>
        <v>is calculated in Note 2.  The PBOPs exclusion in Column 4, Line 30 is calculated in Note 3.</v>
      </c>
    </row>
    <row r="80" spans="1:7" x14ac:dyDescent="0.25">
      <c r="C80" s="41" t="s">
        <v>290</v>
      </c>
    </row>
    <row r="81" spans="3:7" x14ac:dyDescent="0.25">
      <c r="C81" s="41" t="s">
        <v>291</v>
      </c>
      <c r="D81" s="55"/>
      <c r="E81" s="45"/>
      <c r="F81" s="41"/>
    </row>
    <row r="82" spans="3:7" x14ac:dyDescent="0.25">
      <c r="C82" s="41" t="s">
        <v>292</v>
      </c>
      <c r="D82" s="55"/>
      <c r="E82" s="45"/>
      <c r="F82" s="41"/>
    </row>
    <row r="83" spans="3:7" x14ac:dyDescent="0.25">
      <c r="C83" s="41" t="s">
        <v>293</v>
      </c>
    </row>
    <row r="84" spans="3:7" x14ac:dyDescent="0.25">
      <c r="C84" s="41" t="s">
        <v>294</v>
      </c>
    </row>
    <row r="85" spans="3:7" x14ac:dyDescent="0.25">
      <c r="C85" s="41" t="s">
        <v>295</v>
      </c>
    </row>
    <row r="86" spans="3:7" x14ac:dyDescent="0.25">
      <c r="C86" s="41" t="s">
        <v>296</v>
      </c>
    </row>
    <row r="87" spans="3:7" x14ac:dyDescent="0.25">
      <c r="C87" s="41" t="s">
        <v>297</v>
      </c>
    </row>
    <row r="88" spans="3:7" x14ac:dyDescent="0.25">
      <c r="C88" s="41" t="s">
        <v>298</v>
      </c>
      <c r="E88" s="169"/>
      <c r="F88" s="169"/>
      <c r="G88" s="169"/>
    </row>
    <row r="89" spans="3:7" x14ac:dyDescent="0.25">
      <c r="C89" s="170" t="s">
        <v>299</v>
      </c>
      <c r="E89" s="169"/>
      <c r="F89" s="169"/>
      <c r="G89" s="169"/>
    </row>
    <row r="90" spans="3:7" x14ac:dyDescent="0.25">
      <c r="C90" s="170" t="s">
        <v>300</v>
      </c>
      <c r="E90" s="169"/>
      <c r="F90" s="169"/>
      <c r="G90" s="169"/>
    </row>
    <row r="91" spans="3:7" x14ac:dyDescent="0.25">
      <c r="C91" s="170" t="s">
        <v>301</v>
      </c>
      <c r="E91" s="169"/>
      <c r="F91" s="169"/>
      <c r="G91" s="169"/>
    </row>
    <row r="92" spans="3:7" hidden="1" x14ac:dyDescent="0.25">
      <c r="C92" s="41" t="s">
        <v>302</v>
      </c>
      <c r="E92" s="169"/>
      <c r="F92" s="169"/>
      <c r="G92" s="169"/>
    </row>
    <row r="93" spans="3:7" hidden="1" x14ac:dyDescent="0.25">
      <c r="C93" s="170" t="s">
        <v>303</v>
      </c>
      <c r="E93" s="169"/>
      <c r="F93" s="169"/>
      <c r="G93" s="169"/>
    </row>
    <row r="94" spans="3:7" hidden="1" x14ac:dyDescent="0.25">
      <c r="C94" s="170" t="s">
        <v>304</v>
      </c>
      <c r="E94" s="169"/>
      <c r="F94" s="169"/>
      <c r="G94" s="169"/>
    </row>
    <row r="95" spans="3:7" hidden="1" x14ac:dyDescent="0.25">
      <c r="C95" s="170" t="s">
        <v>305</v>
      </c>
      <c r="E95" s="169"/>
      <c r="F95" s="169"/>
      <c r="G95" s="169"/>
    </row>
    <row r="96" spans="3:7" hidden="1" x14ac:dyDescent="0.25">
      <c r="C96" s="170" t="s">
        <v>306</v>
      </c>
      <c r="E96" s="169"/>
      <c r="F96" s="169"/>
      <c r="G96" s="169"/>
    </row>
    <row r="97" spans="3:10" ht="13" hidden="1" x14ac:dyDescent="0.3">
      <c r="C97" s="72" t="s">
        <v>307</v>
      </c>
      <c r="D97" s="63"/>
      <c r="E97" s="63"/>
      <c r="F97" s="63"/>
      <c r="G97" s="63"/>
      <c r="H97" s="63"/>
      <c r="I97" s="63"/>
      <c r="J97" s="63"/>
    </row>
    <row r="98" spans="3:10" hidden="1" x14ac:dyDescent="0.25">
      <c r="C98" s="36" t="s">
        <v>308</v>
      </c>
    </row>
    <row r="99" spans="3:10" hidden="1" x14ac:dyDescent="0.25">
      <c r="C99" s="72" t="s">
        <v>309</v>
      </c>
      <c r="D99" s="63"/>
      <c r="E99" s="63"/>
      <c r="F99" s="63"/>
      <c r="G99" s="63"/>
      <c r="H99" s="63"/>
      <c r="I99" s="63"/>
    </row>
    <row r="100" spans="3:10" hidden="1" x14ac:dyDescent="0.25">
      <c r="C100" s="36" t="str">
        <f>"4) Determine the PBOPs exclusion.  The authorized amount of PBOPs expense (line "&amp;B68&amp;") may only be revised"</f>
        <v>4) Determine the PBOPs exclusion.  The authorized amount of PBOPs expense (line a) may only be revised</v>
      </c>
    </row>
    <row r="101" spans="3:10" hidden="1" x14ac:dyDescent="0.25">
      <c r="C101" s="36" t="s">
        <v>310</v>
      </c>
    </row>
    <row r="102" spans="3:10" hidden="1" x14ac:dyDescent="0.25">
      <c r="C102" s="36" t="s">
        <v>311</v>
      </c>
    </row>
    <row r="103" spans="3:10" hidden="1" x14ac:dyDescent="0.25">
      <c r="C103" s="36" t="s">
        <v>312</v>
      </c>
      <c r="I103" s="66" t="s">
        <v>323</v>
      </c>
      <c r="J103" s="66"/>
    </row>
    <row r="104" spans="3:10" hidden="1" x14ac:dyDescent="0.25">
      <c r="C104" s="36" t="s">
        <v>314</v>
      </c>
    </row>
    <row r="105" spans="3:10" x14ac:dyDescent="0.25">
      <c r="C105" s="36" t="s">
        <v>324</v>
      </c>
    </row>
    <row r="106" spans="3:10" x14ac:dyDescent="0.25">
      <c r="C106" s="36" t="s">
        <v>325</v>
      </c>
    </row>
    <row r="107" spans="3:10" x14ac:dyDescent="0.25">
      <c r="C107" s="36" t="s">
        <v>326</v>
      </c>
    </row>
    <row r="108" spans="3:10" x14ac:dyDescent="0.25">
      <c r="C108" s="36" t="s">
        <v>327</v>
      </c>
    </row>
    <row r="109" spans="3:10" x14ac:dyDescent="0.25">
      <c r="C109" s="36" t="s">
        <v>328</v>
      </c>
    </row>
    <row r="110" spans="3:10" hidden="1" x14ac:dyDescent="0.25">
      <c r="C110" s="171"/>
    </row>
  </sheetData>
  <pageMargins left="0.75" right="0.75" top="1" bottom="1" header="0.5" footer="0.5"/>
  <pageSetup scale="68" orientation="landscape" cellComments="asDisplayed" r:id="rId1"/>
  <headerFooter alignWithMargins="0">
    <oddHeader>&amp;CSchedule 20
Administrative and General Expenses
(Revised 2019 
TO2021 True Up TRR)&amp;RTO2022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55"/>
  <sheetViews>
    <sheetView zoomScaleNormal="100" workbookViewId="0"/>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4.1796875" style="1" customWidth="1"/>
    <col min="12" max="16384" width="9.1796875" style="1"/>
  </cols>
  <sheetData>
    <row r="1" spans="1:11" x14ac:dyDescent="0.35">
      <c r="A1" s="102"/>
      <c r="B1" s="102"/>
      <c r="C1" s="102"/>
      <c r="D1" s="102"/>
      <c r="E1" s="102"/>
      <c r="F1" s="102"/>
      <c r="G1" s="102"/>
      <c r="H1" s="102"/>
      <c r="I1" s="102"/>
      <c r="J1" s="102"/>
      <c r="K1" s="102"/>
    </row>
    <row r="2" spans="1:11" ht="15" thickBot="1" x14ac:dyDescent="0.4">
      <c r="A2" s="102"/>
      <c r="B2" s="102"/>
      <c r="C2" s="102"/>
      <c r="D2" s="102"/>
      <c r="E2" s="102"/>
      <c r="F2" s="102"/>
      <c r="G2" s="102"/>
      <c r="H2" s="102"/>
      <c r="I2" s="102"/>
      <c r="J2" s="102"/>
      <c r="K2" s="102"/>
    </row>
    <row r="3" spans="1:11" x14ac:dyDescent="0.35">
      <c r="A3" s="148" t="s">
        <v>27</v>
      </c>
      <c r="B3" s="149"/>
      <c r="C3" s="149"/>
      <c r="D3" s="149"/>
      <c r="E3" s="149"/>
      <c r="F3" s="149"/>
      <c r="G3" s="149"/>
      <c r="H3" s="149"/>
      <c r="I3" s="149"/>
      <c r="J3" s="149"/>
      <c r="K3" s="150"/>
    </row>
    <row r="4" spans="1:11" ht="15" thickBot="1" x14ac:dyDescent="0.4">
      <c r="A4" s="151"/>
      <c r="B4" s="152"/>
      <c r="C4" s="152"/>
      <c r="D4" s="152"/>
      <c r="E4" s="152"/>
      <c r="F4" s="152"/>
      <c r="G4" s="152"/>
      <c r="H4" s="152"/>
      <c r="I4" s="152"/>
      <c r="J4" s="152"/>
      <c r="K4" s="153"/>
    </row>
    <row r="5" spans="1:11" ht="32.25" customHeight="1" thickBot="1" x14ac:dyDescent="0.4">
      <c r="A5" s="206" t="s">
        <v>145</v>
      </c>
      <c r="B5" s="207"/>
      <c r="C5" s="207"/>
      <c r="D5" s="207"/>
      <c r="E5" s="207"/>
      <c r="F5" s="207"/>
      <c r="G5" s="208"/>
      <c r="H5" s="206" t="s">
        <v>170</v>
      </c>
      <c r="I5" s="207"/>
      <c r="J5" s="207"/>
      <c r="K5" s="208"/>
    </row>
    <row r="6" spans="1:11" ht="15" customHeight="1" x14ac:dyDescent="0.35">
      <c r="A6" s="103"/>
      <c r="B6" s="104"/>
      <c r="C6" s="104"/>
      <c r="D6" s="104"/>
      <c r="E6" s="117" t="s">
        <v>19</v>
      </c>
      <c r="F6" s="118"/>
      <c r="G6" s="119"/>
      <c r="H6" s="105"/>
      <c r="I6" s="120" t="s">
        <v>19</v>
      </c>
      <c r="J6" s="121"/>
      <c r="K6" s="122"/>
    </row>
    <row r="7" spans="1:11" ht="15" customHeight="1" x14ac:dyDescent="0.35">
      <c r="A7" s="106"/>
      <c r="B7" s="105"/>
      <c r="C7" s="105"/>
      <c r="D7" s="105"/>
      <c r="E7" s="120" t="s">
        <v>4</v>
      </c>
      <c r="F7" s="105"/>
      <c r="G7" s="123" t="s">
        <v>19</v>
      </c>
      <c r="H7" s="105"/>
      <c r="I7" s="120" t="s">
        <v>4</v>
      </c>
      <c r="J7" s="105"/>
      <c r="K7" s="123" t="s">
        <v>19</v>
      </c>
    </row>
    <row r="8" spans="1:11" ht="15" customHeight="1" x14ac:dyDescent="0.35">
      <c r="A8" s="106"/>
      <c r="B8" s="105"/>
      <c r="C8" s="105"/>
      <c r="D8" s="105"/>
      <c r="E8" s="120" t="s">
        <v>5</v>
      </c>
      <c r="F8" s="105"/>
      <c r="G8" s="123" t="s">
        <v>4</v>
      </c>
      <c r="H8" s="105"/>
      <c r="I8" s="120" t="s">
        <v>5</v>
      </c>
      <c r="J8" s="105"/>
      <c r="K8" s="123" t="s">
        <v>4</v>
      </c>
    </row>
    <row r="9" spans="1:11" ht="15" customHeight="1" x14ac:dyDescent="0.35">
      <c r="A9" s="124"/>
      <c r="B9" s="125"/>
      <c r="C9" s="126" t="s">
        <v>1</v>
      </c>
      <c r="D9" s="120" t="s">
        <v>1</v>
      </c>
      <c r="E9" s="120" t="s">
        <v>2</v>
      </c>
      <c r="F9" s="127" t="s">
        <v>3</v>
      </c>
      <c r="G9" s="123" t="s">
        <v>5</v>
      </c>
      <c r="H9" s="120" t="s">
        <v>1</v>
      </c>
      <c r="I9" s="120" t="s">
        <v>2</v>
      </c>
      <c r="J9" s="127" t="s">
        <v>3</v>
      </c>
      <c r="K9" s="123" t="s">
        <v>5</v>
      </c>
    </row>
    <row r="10" spans="1:11" ht="15" customHeight="1" x14ac:dyDescent="0.35">
      <c r="A10" s="124"/>
      <c r="B10" s="125"/>
      <c r="C10" s="127" t="s">
        <v>3</v>
      </c>
      <c r="D10" s="120" t="s">
        <v>20</v>
      </c>
      <c r="E10" s="120" t="s">
        <v>22</v>
      </c>
      <c r="F10" s="120" t="s">
        <v>23</v>
      </c>
      <c r="G10" s="123" t="s">
        <v>2</v>
      </c>
      <c r="H10" s="120" t="s">
        <v>20</v>
      </c>
      <c r="I10" s="120" t="s">
        <v>22</v>
      </c>
      <c r="J10" s="120" t="s">
        <v>23</v>
      </c>
      <c r="K10" s="123" t="s">
        <v>2</v>
      </c>
    </row>
    <row r="11" spans="1:11" ht="15.75" customHeight="1" x14ac:dyDescent="0.35">
      <c r="A11" s="128" t="s">
        <v>16</v>
      </c>
      <c r="B11" s="129" t="s">
        <v>17</v>
      </c>
      <c r="C11" s="129" t="s">
        <v>0</v>
      </c>
      <c r="D11" s="130" t="s">
        <v>26</v>
      </c>
      <c r="E11" s="130" t="s">
        <v>24</v>
      </c>
      <c r="F11" s="130" t="s">
        <v>16</v>
      </c>
      <c r="G11" s="131" t="s">
        <v>21</v>
      </c>
      <c r="H11" s="130" t="s">
        <v>26</v>
      </c>
      <c r="I11" s="130" t="s">
        <v>24</v>
      </c>
      <c r="J11" s="130" t="s">
        <v>16</v>
      </c>
      <c r="K11" s="131" t="s">
        <v>21</v>
      </c>
    </row>
    <row r="12" spans="1:11" x14ac:dyDescent="0.35">
      <c r="A12" s="106" t="s">
        <v>7</v>
      </c>
      <c r="B12" s="132" t="s">
        <v>146</v>
      </c>
      <c r="C12" s="133">
        <v>3.5000000000000001E-3</v>
      </c>
      <c r="D12" s="134">
        <f>'WP-2018 True Up TRR Adj'!D8/12</f>
        <v>364761.90779592592</v>
      </c>
      <c r="E12" s="135">
        <f>D12</f>
        <v>364761.90779592592</v>
      </c>
      <c r="F12" s="136">
        <f>((E12)/2)*$C12</f>
        <v>638.33333864287033</v>
      </c>
      <c r="G12" s="137">
        <f>E12+F12</f>
        <v>365400.24113456876</v>
      </c>
      <c r="H12" s="134">
        <v>0</v>
      </c>
      <c r="I12" s="135">
        <f>H12</f>
        <v>0</v>
      </c>
      <c r="J12" s="136">
        <f>((I12)/2)*C12</f>
        <v>0</v>
      </c>
      <c r="K12" s="137">
        <f>I12+J12</f>
        <v>0</v>
      </c>
    </row>
    <row r="13" spans="1:11" x14ac:dyDescent="0.35">
      <c r="A13" s="106" t="s">
        <v>8</v>
      </c>
      <c r="B13" s="132" t="s">
        <v>146</v>
      </c>
      <c r="C13" s="133">
        <v>3.5000000000000001E-3</v>
      </c>
      <c r="D13" s="134">
        <f>D12</f>
        <v>364761.90779592592</v>
      </c>
      <c r="E13" s="135">
        <f>D13+G12</f>
        <v>730162.14893049467</v>
      </c>
      <c r="F13" s="136">
        <f t="shared" ref="F13:F35" si="0">(((E13+G12))/2)*$C13</f>
        <v>1917.2341826138611</v>
      </c>
      <c r="G13" s="137">
        <f t="shared" ref="G13:G23" si="1">E13+F13</f>
        <v>732079.38311310858</v>
      </c>
      <c r="H13" s="134">
        <v>0</v>
      </c>
      <c r="I13" s="135">
        <f>H13+K12</f>
        <v>0</v>
      </c>
      <c r="J13" s="136">
        <f t="shared" ref="J13:J35" si="2">(((I13+K12))/2)*$C13</f>
        <v>0</v>
      </c>
      <c r="K13" s="137">
        <f t="shared" ref="K13:K23" si="3">I13+J13</f>
        <v>0</v>
      </c>
    </row>
    <row r="14" spans="1:11" x14ac:dyDescent="0.35">
      <c r="A14" s="106" t="s">
        <v>18</v>
      </c>
      <c r="B14" s="132" t="s">
        <v>146</v>
      </c>
      <c r="C14" s="133">
        <v>3.5000000000000001E-3</v>
      </c>
      <c r="D14" s="134">
        <f t="shared" ref="D14:D23" si="4">D13</f>
        <v>364761.90779592592</v>
      </c>
      <c r="E14" s="135">
        <f t="shared" ref="E14:E35" si="5">D14+G13</f>
        <v>1096841.2909090344</v>
      </c>
      <c r="F14" s="136">
        <f t="shared" si="0"/>
        <v>3200.6111795387505</v>
      </c>
      <c r="G14" s="137">
        <f t="shared" si="1"/>
        <v>1100041.9020885732</v>
      </c>
      <c r="H14" s="134">
        <v>0</v>
      </c>
      <c r="I14" s="135">
        <f t="shared" ref="I14:I35" si="6">H14+K13</f>
        <v>0</v>
      </c>
      <c r="J14" s="136">
        <f t="shared" si="2"/>
        <v>0</v>
      </c>
      <c r="K14" s="137">
        <f t="shared" si="3"/>
        <v>0</v>
      </c>
    </row>
    <row r="15" spans="1:11" x14ac:dyDescent="0.35">
      <c r="A15" s="106" t="s">
        <v>9</v>
      </c>
      <c r="B15" s="132" t="s">
        <v>146</v>
      </c>
      <c r="C15" s="133">
        <v>3.7000000000000002E-3</v>
      </c>
      <c r="D15" s="134">
        <f t="shared" si="4"/>
        <v>364761.90779592592</v>
      </c>
      <c r="E15" s="135">
        <f t="shared" si="5"/>
        <v>1464803.8098844991</v>
      </c>
      <c r="F15" s="136">
        <f t="shared" si="0"/>
        <v>4744.964567150183</v>
      </c>
      <c r="G15" s="137">
        <f t="shared" si="1"/>
        <v>1469548.7744516493</v>
      </c>
      <c r="H15" s="134">
        <v>0</v>
      </c>
      <c r="I15" s="135">
        <f t="shared" si="6"/>
        <v>0</v>
      </c>
      <c r="J15" s="136">
        <f t="shared" si="2"/>
        <v>0</v>
      </c>
      <c r="K15" s="137">
        <f t="shared" si="3"/>
        <v>0</v>
      </c>
    </row>
    <row r="16" spans="1:11" x14ac:dyDescent="0.35">
      <c r="A16" s="106" t="s">
        <v>10</v>
      </c>
      <c r="B16" s="132" t="s">
        <v>146</v>
      </c>
      <c r="C16" s="133">
        <v>3.7000000000000002E-3</v>
      </c>
      <c r="D16" s="134">
        <f t="shared" si="4"/>
        <v>364761.90779592592</v>
      </c>
      <c r="E16" s="135">
        <f t="shared" si="5"/>
        <v>1834310.6822475751</v>
      </c>
      <c r="F16" s="136">
        <f t="shared" si="0"/>
        <v>6112.139994893565</v>
      </c>
      <c r="G16" s="137">
        <f t="shared" si="1"/>
        <v>1840422.8222424686</v>
      </c>
      <c r="H16" s="134">
        <v>0</v>
      </c>
      <c r="I16" s="135">
        <f t="shared" si="6"/>
        <v>0</v>
      </c>
      <c r="J16" s="136">
        <f t="shared" si="2"/>
        <v>0</v>
      </c>
      <c r="K16" s="137">
        <f t="shared" si="3"/>
        <v>0</v>
      </c>
    </row>
    <row r="17" spans="1:11" x14ac:dyDescent="0.35">
      <c r="A17" s="106" t="s">
        <v>25</v>
      </c>
      <c r="B17" s="132" t="s">
        <v>146</v>
      </c>
      <c r="C17" s="133">
        <v>3.7000000000000002E-3</v>
      </c>
      <c r="D17" s="134">
        <f t="shared" si="4"/>
        <v>364761.90779592592</v>
      </c>
      <c r="E17" s="135">
        <f t="shared" si="5"/>
        <v>2205184.7300383947</v>
      </c>
      <c r="F17" s="136">
        <f t="shared" si="0"/>
        <v>7484.3739717195976</v>
      </c>
      <c r="G17" s="137">
        <f t="shared" si="1"/>
        <v>2212669.1040101144</v>
      </c>
      <c r="H17" s="134">
        <v>0</v>
      </c>
      <c r="I17" s="135">
        <f t="shared" si="6"/>
        <v>0</v>
      </c>
      <c r="J17" s="136">
        <f t="shared" si="2"/>
        <v>0</v>
      </c>
      <c r="K17" s="137">
        <f t="shared" si="3"/>
        <v>0</v>
      </c>
    </row>
    <row r="18" spans="1:11" x14ac:dyDescent="0.35">
      <c r="A18" s="106" t="s">
        <v>11</v>
      </c>
      <c r="B18" s="132" t="s">
        <v>146</v>
      </c>
      <c r="C18" s="138">
        <v>3.8999999999999998E-3</v>
      </c>
      <c r="D18" s="134">
        <f t="shared" si="4"/>
        <v>364761.90779592592</v>
      </c>
      <c r="E18" s="135">
        <f t="shared" si="5"/>
        <v>2577431.0118060405</v>
      </c>
      <c r="F18" s="136">
        <f t="shared" si="0"/>
        <v>9340.6952258415022</v>
      </c>
      <c r="G18" s="137">
        <f t="shared" si="1"/>
        <v>2586771.7070318819</v>
      </c>
      <c r="H18" s="134">
        <v>0</v>
      </c>
      <c r="I18" s="135">
        <f t="shared" si="6"/>
        <v>0</v>
      </c>
      <c r="J18" s="136">
        <f t="shared" si="2"/>
        <v>0</v>
      </c>
      <c r="K18" s="137">
        <f t="shared" si="3"/>
        <v>0</v>
      </c>
    </row>
    <row r="19" spans="1:11" x14ac:dyDescent="0.35">
      <c r="A19" s="106" t="s">
        <v>12</v>
      </c>
      <c r="B19" s="132" t="s">
        <v>146</v>
      </c>
      <c r="C19" s="138">
        <v>3.8999999999999998E-3</v>
      </c>
      <c r="D19" s="134">
        <f t="shared" si="4"/>
        <v>364761.90779592592</v>
      </c>
      <c r="E19" s="135">
        <f t="shared" si="5"/>
        <v>2951533.614827808</v>
      </c>
      <c r="F19" s="136">
        <f t="shared" si="0"/>
        <v>10799.695377626394</v>
      </c>
      <c r="G19" s="137">
        <f t="shared" si="1"/>
        <v>2962333.3102054344</v>
      </c>
      <c r="H19" s="134">
        <v>0</v>
      </c>
      <c r="I19" s="135">
        <f t="shared" si="6"/>
        <v>0</v>
      </c>
      <c r="J19" s="136">
        <f t="shared" si="2"/>
        <v>0</v>
      </c>
      <c r="K19" s="137">
        <f t="shared" si="3"/>
        <v>0</v>
      </c>
    </row>
    <row r="20" spans="1:11" x14ac:dyDescent="0.35">
      <c r="A20" s="106" t="s">
        <v>13</v>
      </c>
      <c r="B20" s="132" t="s">
        <v>146</v>
      </c>
      <c r="C20" s="138">
        <v>3.8999999999999998E-3</v>
      </c>
      <c r="D20" s="134">
        <f t="shared" si="4"/>
        <v>364761.90779592592</v>
      </c>
      <c r="E20" s="135">
        <f t="shared" si="5"/>
        <v>3327095.2180013605</v>
      </c>
      <c r="F20" s="136">
        <f t="shared" si="0"/>
        <v>12264.385630003251</v>
      </c>
      <c r="G20" s="137">
        <f t="shared" si="1"/>
        <v>3339359.6036313637</v>
      </c>
      <c r="H20" s="134">
        <v>0</v>
      </c>
      <c r="I20" s="135">
        <f t="shared" si="6"/>
        <v>0</v>
      </c>
      <c r="J20" s="136">
        <f t="shared" si="2"/>
        <v>0</v>
      </c>
      <c r="K20" s="137">
        <f t="shared" si="3"/>
        <v>0</v>
      </c>
    </row>
    <row r="21" spans="1:11" x14ac:dyDescent="0.35">
      <c r="A21" s="106" t="s">
        <v>15</v>
      </c>
      <c r="B21" s="132" t="s">
        <v>146</v>
      </c>
      <c r="C21" s="138">
        <v>4.1000000000000003E-3</v>
      </c>
      <c r="D21" s="134">
        <f t="shared" si="4"/>
        <v>364761.90779592592</v>
      </c>
      <c r="E21" s="135">
        <f t="shared" si="5"/>
        <v>3704121.5114272898</v>
      </c>
      <c r="F21" s="136">
        <f t="shared" si="0"/>
        <v>14439.13628587024</v>
      </c>
      <c r="G21" s="137">
        <f t="shared" si="1"/>
        <v>3718560.6477131601</v>
      </c>
      <c r="H21" s="134">
        <v>0</v>
      </c>
      <c r="I21" s="135">
        <f t="shared" si="6"/>
        <v>0</v>
      </c>
      <c r="J21" s="136">
        <f t="shared" si="2"/>
        <v>0</v>
      </c>
      <c r="K21" s="137">
        <f t="shared" si="3"/>
        <v>0</v>
      </c>
    </row>
    <row r="22" spans="1:11" x14ac:dyDescent="0.35">
      <c r="A22" s="106" t="s">
        <v>14</v>
      </c>
      <c r="B22" s="132" t="s">
        <v>146</v>
      </c>
      <c r="C22" s="138">
        <v>4.1000000000000003E-3</v>
      </c>
      <c r="D22" s="134">
        <f t="shared" si="4"/>
        <v>364761.90779592592</v>
      </c>
      <c r="E22" s="135">
        <f t="shared" si="5"/>
        <v>4083322.5555090862</v>
      </c>
      <c r="F22" s="136">
        <f t="shared" si="0"/>
        <v>15993.860566605608</v>
      </c>
      <c r="G22" s="137">
        <f t="shared" si="1"/>
        <v>4099316.416075692</v>
      </c>
      <c r="H22" s="134">
        <v>0</v>
      </c>
      <c r="I22" s="135">
        <f t="shared" si="6"/>
        <v>0</v>
      </c>
      <c r="J22" s="136">
        <f t="shared" si="2"/>
        <v>0</v>
      </c>
      <c r="K22" s="137">
        <f t="shared" si="3"/>
        <v>0</v>
      </c>
    </row>
    <row r="23" spans="1:11" x14ac:dyDescent="0.35">
      <c r="A23" s="106" t="s">
        <v>6</v>
      </c>
      <c r="B23" s="132" t="s">
        <v>146</v>
      </c>
      <c r="C23" s="138">
        <v>4.1000000000000003E-3</v>
      </c>
      <c r="D23" s="134">
        <f t="shared" si="4"/>
        <v>364761.90779592592</v>
      </c>
      <c r="E23" s="135">
        <f t="shared" si="5"/>
        <v>4464078.3238716181</v>
      </c>
      <c r="F23" s="136">
        <f t="shared" si="0"/>
        <v>17554.959216891988</v>
      </c>
      <c r="G23" s="135">
        <f t="shared" si="1"/>
        <v>4481633.2830885099</v>
      </c>
      <c r="H23" s="139">
        <v>0</v>
      </c>
      <c r="I23" s="135">
        <f t="shared" si="6"/>
        <v>0</v>
      </c>
      <c r="J23" s="136">
        <f t="shared" si="2"/>
        <v>0</v>
      </c>
      <c r="K23" s="137">
        <f t="shared" si="3"/>
        <v>0</v>
      </c>
    </row>
    <row r="24" spans="1:11" x14ac:dyDescent="0.35">
      <c r="A24" s="106" t="s">
        <v>7</v>
      </c>
      <c r="B24" s="132" t="s">
        <v>171</v>
      </c>
      <c r="C24" s="133">
        <v>4.3E-3</v>
      </c>
      <c r="D24" s="134">
        <v>0</v>
      </c>
      <c r="E24" s="135">
        <f t="shared" si="5"/>
        <v>4481633.2830885099</v>
      </c>
      <c r="F24" s="136">
        <f t="shared" si="0"/>
        <v>19271.023117280594</v>
      </c>
      <c r="G24" s="137">
        <f>E24+F24</f>
        <v>4500904.3062057905</v>
      </c>
      <c r="H24" s="134">
        <f>'WP-2019 True Up TRR Adj'!G12/12</f>
        <v>425452.79435351491</v>
      </c>
      <c r="I24" s="135">
        <f t="shared" si="6"/>
        <v>425452.79435351491</v>
      </c>
      <c r="J24" s="136">
        <f t="shared" si="2"/>
        <v>914.72350786005711</v>
      </c>
      <c r="K24" s="137">
        <f>I24+J24</f>
        <v>426367.51786137494</v>
      </c>
    </row>
    <row r="25" spans="1:11" x14ac:dyDescent="0.35">
      <c r="A25" s="106" t="s">
        <v>8</v>
      </c>
      <c r="B25" s="132">
        <v>2019</v>
      </c>
      <c r="C25" s="133">
        <v>4.3E-3</v>
      </c>
      <c r="D25" s="134">
        <v>0</v>
      </c>
      <c r="E25" s="135">
        <f t="shared" si="5"/>
        <v>4500904.3062057905</v>
      </c>
      <c r="F25" s="136">
        <f t="shared" si="0"/>
        <v>19353.8885166849</v>
      </c>
      <c r="G25" s="137">
        <f t="shared" ref="G25:G35" si="7">E25+F25</f>
        <v>4520258.1947224755</v>
      </c>
      <c r="H25" s="134">
        <f t="shared" ref="H25:H35" si="8">H24</f>
        <v>425452.79435351491</v>
      </c>
      <c r="I25" s="135">
        <f t="shared" si="6"/>
        <v>851820.3122148898</v>
      </c>
      <c r="J25" s="136">
        <f t="shared" si="2"/>
        <v>2748.1038346639689</v>
      </c>
      <c r="K25" s="137">
        <f t="shared" ref="K25:K35" si="9">I25+J25</f>
        <v>854568.41604955378</v>
      </c>
    </row>
    <row r="26" spans="1:11" x14ac:dyDescent="0.35">
      <c r="A26" s="106" t="s">
        <v>18</v>
      </c>
      <c r="B26" s="132" t="s">
        <v>171</v>
      </c>
      <c r="C26" s="133">
        <v>4.3E-3</v>
      </c>
      <c r="D26" s="134">
        <v>0</v>
      </c>
      <c r="E26" s="135">
        <f t="shared" si="5"/>
        <v>4520258.1947224755</v>
      </c>
      <c r="F26" s="136">
        <f t="shared" si="0"/>
        <v>19437.110237306646</v>
      </c>
      <c r="G26" s="137">
        <f t="shared" si="7"/>
        <v>4539695.3049597824</v>
      </c>
      <c r="H26" s="134">
        <f t="shared" si="8"/>
        <v>425452.79435351491</v>
      </c>
      <c r="I26" s="135">
        <f t="shared" si="6"/>
        <v>1280021.2104030687</v>
      </c>
      <c r="J26" s="136">
        <f t="shared" si="2"/>
        <v>4589.3676968731379</v>
      </c>
      <c r="K26" s="137">
        <f t="shared" si="9"/>
        <v>1284610.5780999418</v>
      </c>
    </row>
    <row r="27" spans="1:11" x14ac:dyDescent="0.35">
      <c r="A27" s="106" t="s">
        <v>9</v>
      </c>
      <c r="B27" s="132">
        <v>2019</v>
      </c>
      <c r="C27" s="133">
        <v>4.4999999999999997E-3</v>
      </c>
      <c r="D27" s="134">
        <v>0</v>
      </c>
      <c r="E27" s="135">
        <f t="shared" si="5"/>
        <v>4539695.3049597824</v>
      </c>
      <c r="F27" s="136">
        <f t="shared" si="0"/>
        <v>20428.628872319019</v>
      </c>
      <c r="G27" s="137">
        <f t="shared" si="7"/>
        <v>4560123.9338321015</v>
      </c>
      <c r="H27" s="134">
        <f t="shared" si="8"/>
        <v>425452.79435351491</v>
      </c>
      <c r="I27" s="135">
        <f t="shared" si="6"/>
        <v>1710063.3724534567</v>
      </c>
      <c r="J27" s="136">
        <f t="shared" si="2"/>
        <v>6738.0163887451463</v>
      </c>
      <c r="K27" s="137">
        <f t="shared" si="9"/>
        <v>1716801.3888422018</v>
      </c>
    </row>
    <row r="28" spans="1:11" x14ac:dyDescent="0.35">
      <c r="A28" s="106" t="s">
        <v>10</v>
      </c>
      <c r="B28" s="132" t="s">
        <v>171</v>
      </c>
      <c r="C28" s="133">
        <v>4.4999999999999997E-3</v>
      </c>
      <c r="D28" s="134">
        <v>0</v>
      </c>
      <c r="E28" s="135">
        <f t="shared" si="5"/>
        <v>4560123.9338321015</v>
      </c>
      <c r="F28" s="136">
        <f t="shared" si="0"/>
        <v>20520.557702244456</v>
      </c>
      <c r="G28" s="137">
        <f t="shared" si="7"/>
        <v>4580644.4915343458</v>
      </c>
      <c r="H28" s="134">
        <f t="shared" si="8"/>
        <v>425452.79435351491</v>
      </c>
      <c r="I28" s="135">
        <f t="shared" si="6"/>
        <v>2142254.1831957167</v>
      </c>
      <c r="J28" s="136">
        <f t="shared" si="2"/>
        <v>8682.8750370853159</v>
      </c>
      <c r="K28" s="137">
        <f t="shared" si="9"/>
        <v>2150937.058232802</v>
      </c>
    </row>
    <row r="29" spans="1:11" x14ac:dyDescent="0.35">
      <c r="A29" s="106" t="s">
        <v>25</v>
      </c>
      <c r="B29" s="132">
        <v>2019</v>
      </c>
      <c r="C29" s="133">
        <v>4.4999999999999997E-3</v>
      </c>
      <c r="D29" s="134">
        <v>0</v>
      </c>
      <c r="E29" s="135">
        <f t="shared" si="5"/>
        <v>4580644.4915343458</v>
      </c>
      <c r="F29" s="136">
        <f t="shared" si="0"/>
        <v>20612.900211904554</v>
      </c>
      <c r="G29" s="137">
        <f t="shared" si="7"/>
        <v>4601257.39174625</v>
      </c>
      <c r="H29" s="134">
        <f t="shared" si="8"/>
        <v>425452.79435351491</v>
      </c>
      <c r="I29" s="135">
        <f t="shared" si="6"/>
        <v>2576389.8525863169</v>
      </c>
      <c r="J29" s="136">
        <f t="shared" si="2"/>
        <v>10636.485549343017</v>
      </c>
      <c r="K29" s="137">
        <f t="shared" si="9"/>
        <v>2587026.3381356597</v>
      </c>
    </row>
    <row r="30" spans="1:11" x14ac:dyDescent="0.35">
      <c r="A30" s="106" t="s">
        <v>11</v>
      </c>
      <c r="B30" s="132" t="s">
        <v>171</v>
      </c>
      <c r="C30" s="138">
        <v>4.5999999999999999E-3</v>
      </c>
      <c r="D30" s="134">
        <v>0</v>
      </c>
      <c r="E30" s="135">
        <f t="shared" si="5"/>
        <v>4601257.39174625</v>
      </c>
      <c r="F30" s="136">
        <f t="shared" si="0"/>
        <v>21165.784002032749</v>
      </c>
      <c r="G30" s="137">
        <f t="shared" si="7"/>
        <v>4622423.175748283</v>
      </c>
      <c r="H30" s="134">
        <f t="shared" si="8"/>
        <v>425452.79435351491</v>
      </c>
      <c r="I30" s="135">
        <f t="shared" si="6"/>
        <v>3012479.1324891746</v>
      </c>
      <c r="J30" s="136">
        <f t="shared" si="2"/>
        <v>12878.862582437119</v>
      </c>
      <c r="K30" s="137">
        <f t="shared" si="9"/>
        <v>3025357.9950716118</v>
      </c>
    </row>
    <row r="31" spans="1:11" x14ac:dyDescent="0.35">
      <c r="A31" s="106" t="s">
        <v>12</v>
      </c>
      <c r="B31" s="132">
        <v>2019</v>
      </c>
      <c r="C31" s="138">
        <v>4.5999999999999999E-3</v>
      </c>
      <c r="D31" s="134">
        <v>0</v>
      </c>
      <c r="E31" s="135">
        <f t="shared" si="5"/>
        <v>4622423.175748283</v>
      </c>
      <c r="F31" s="136">
        <f t="shared" si="0"/>
        <v>21263.146608442101</v>
      </c>
      <c r="G31" s="137">
        <f t="shared" si="7"/>
        <v>4643686.3223567251</v>
      </c>
      <c r="H31" s="134">
        <f t="shared" si="8"/>
        <v>425452.79435351491</v>
      </c>
      <c r="I31" s="135">
        <f t="shared" si="6"/>
        <v>3450810.7894251267</v>
      </c>
      <c r="J31" s="136">
        <f t="shared" si="2"/>
        <v>14895.188204342499</v>
      </c>
      <c r="K31" s="137">
        <f t="shared" si="9"/>
        <v>3465705.9776294692</v>
      </c>
    </row>
    <row r="32" spans="1:11" x14ac:dyDescent="0.35">
      <c r="A32" s="106" t="s">
        <v>13</v>
      </c>
      <c r="B32" s="132" t="s">
        <v>171</v>
      </c>
      <c r="C32" s="138">
        <v>4.5999999999999999E-3</v>
      </c>
      <c r="D32" s="134">
        <v>0</v>
      </c>
      <c r="E32" s="135">
        <f t="shared" si="5"/>
        <v>4643686.3223567251</v>
      </c>
      <c r="F32" s="136">
        <f t="shared" si="0"/>
        <v>21360.957082840934</v>
      </c>
      <c r="G32" s="137">
        <f t="shared" si="7"/>
        <v>4665047.2794395657</v>
      </c>
      <c r="H32" s="134">
        <f t="shared" si="8"/>
        <v>425452.79435351491</v>
      </c>
      <c r="I32" s="135">
        <f t="shared" si="6"/>
        <v>3891158.7719829842</v>
      </c>
      <c r="J32" s="136">
        <f t="shared" si="2"/>
        <v>16920.788924108641</v>
      </c>
      <c r="K32" s="137">
        <f t="shared" si="9"/>
        <v>3908079.5609070929</v>
      </c>
    </row>
    <row r="33" spans="1:11" x14ac:dyDescent="0.35">
      <c r="A33" s="106" t="s">
        <v>15</v>
      </c>
      <c r="B33" s="132">
        <v>2019</v>
      </c>
      <c r="C33" s="138">
        <v>4.4999999999999997E-3</v>
      </c>
      <c r="D33" s="134">
        <v>0</v>
      </c>
      <c r="E33" s="135">
        <f t="shared" si="5"/>
        <v>4665047.2794395657</v>
      </c>
      <c r="F33" s="136">
        <f t="shared" si="0"/>
        <v>20992.712757478042</v>
      </c>
      <c r="G33" s="137">
        <f t="shared" si="7"/>
        <v>4686039.9921970442</v>
      </c>
      <c r="H33" s="134">
        <f t="shared" si="8"/>
        <v>425452.79435351491</v>
      </c>
      <c r="I33" s="135">
        <f t="shared" si="6"/>
        <v>4333532.3552606078</v>
      </c>
      <c r="J33" s="136">
        <f t="shared" si="2"/>
        <v>18543.626811377326</v>
      </c>
      <c r="K33" s="137">
        <f t="shared" si="9"/>
        <v>4352075.9820719855</v>
      </c>
    </row>
    <row r="34" spans="1:11" x14ac:dyDescent="0.35">
      <c r="A34" s="106" t="s">
        <v>14</v>
      </c>
      <c r="B34" s="132" t="s">
        <v>171</v>
      </c>
      <c r="C34" s="138">
        <v>4.4999999999999997E-3</v>
      </c>
      <c r="D34" s="134">
        <v>0</v>
      </c>
      <c r="E34" s="135">
        <f t="shared" si="5"/>
        <v>4686039.9921970442</v>
      </c>
      <c r="F34" s="136">
        <f t="shared" si="0"/>
        <v>21087.179964886698</v>
      </c>
      <c r="G34" s="137">
        <f t="shared" si="7"/>
        <v>4707127.1721619312</v>
      </c>
      <c r="H34" s="134">
        <f t="shared" si="8"/>
        <v>425452.79435351491</v>
      </c>
      <c r="I34" s="135">
        <f t="shared" si="6"/>
        <v>4777528.7764255004</v>
      </c>
      <c r="J34" s="136">
        <f t="shared" si="2"/>
        <v>20541.61070661934</v>
      </c>
      <c r="K34" s="137">
        <f t="shared" si="9"/>
        <v>4798070.3871321194</v>
      </c>
    </row>
    <row r="35" spans="1:11" x14ac:dyDescent="0.35">
      <c r="A35" s="106" t="s">
        <v>6</v>
      </c>
      <c r="B35" s="132">
        <v>2019</v>
      </c>
      <c r="C35" s="138">
        <v>4.4999999999999997E-3</v>
      </c>
      <c r="D35" s="134">
        <v>0</v>
      </c>
      <c r="E35" s="135">
        <f t="shared" si="5"/>
        <v>4707127.1721619312</v>
      </c>
      <c r="F35" s="136">
        <f t="shared" si="0"/>
        <v>21182.072274728689</v>
      </c>
      <c r="G35" s="135">
        <f t="shared" si="7"/>
        <v>4728309.2444366599</v>
      </c>
      <c r="H35" s="139">
        <f t="shared" si="8"/>
        <v>425452.79435351491</v>
      </c>
      <c r="I35" s="135">
        <f t="shared" si="6"/>
        <v>5223523.1814856343</v>
      </c>
      <c r="J35" s="136">
        <f t="shared" si="2"/>
        <v>22548.585529389944</v>
      </c>
      <c r="K35" s="137">
        <f t="shared" si="9"/>
        <v>5246071.7670150241</v>
      </c>
    </row>
    <row r="36" spans="1:11" s="15" customFormat="1" ht="15" thickBot="1" x14ac:dyDescent="0.4">
      <c r="A36" s="107"/>
      <c r="B36" s="108"/>
      <c r="C36" s="108"/>
      <c r="D36" s="109">
        <f>SUM(D12:D35)</f>
        <v>4377142.8935511122</v>
      </c>
      <c r="E36" s="110"/>
      <c r="F36" s="111" t="s">
        <v>30</v>
      </c>
      <c r="G36" s="109">
        <f>G35</f>
        <v>4728309.2444366599</v>
      </c>
      <c r="H36" s="112">
        <f>SUM(H12:H35)</f>
        <v>5105433.5322421789</v>
      </c>
      <c r="I36" s="110"/>
      <c r="J36" s="111" t="s">
        <v>30</v>
      </c>
      <c r="K36" s="113">
        <f>K35</f>
        <v>5246071.7670150241</v>
      </c>
    </row>
    <row r="37" spans="1:11" ht="26.25" customHeight="1" thickBot="1" x14ac:dyDescent="0.4">
      <c r="A37" s="140"/>
      <c r="B37" s="141"/>
      <c r="C37" s="141"/>
      <c r="D37" s="141"/>
      <c r="E37" s="141"/>
      <c r="F37" s="141"/>
      <c r="G37" s="141"/>
      <c r="H37" s="114"/>
      <c r="I37" s="114"/>
      <c r="J37" s="115" t="s">
        <v>161</v>
      </c>
      <c r="K37" s="116">
        <f>G36+K36</f>
        <v>9974381.0114516839</v>
      </c>
    </row>
    <row r="38" spans="1:11" x14ac:dyDescent="0.35">
      <c r="I38" s="15"/>
      <c r="J38" s="15"/>
      <c r="K38" s="15"/>
    </row>
    <row r="39" spans="1:11" x14ac:dyDescent="0.35">
      <c r="E39" s="2"/>
    </row>
    <row r="41" spans="1:11" x14ac:dyDescent="0.35">
      <c r="A41" s="3"/>
      <c r="F41" s="9"/>
    </row>
    <row r="42" spans="1:11" x14ac:dyDescent="0.35">
      <c r="E42" s="4"/>
    </row>
    <row r="47" spans="1:11" x14ac:dyDescent="0.35">
      <c r="A47" s="3"/>
    </row>
    <row r="51" spans="4:6" x14ac:dyDescent="0.35">
      <c r="D51" s="5"/>
      <c r="F51" s="6"/>
    </row>
    <row r="52" spans="4:6" x14ac:dyDescent="0.35">
      <c r="E52" s="7"/>
    </row>
    <row r="53" spans="4:6" x14ac:dyDescent="0.35">
      <c r="F53" s="8"/>
    </row>
    <row r="55" spans="4:6" x14ac:dyDescent="0.35">
      <c r="E55" s="7"/>
      <c r="F55" s="6"/>
    </row>
  </sheetData>
  <mergeCells count="2">
    <mergeCell ref="H5:K5"/>
    <mergeCell ref="A5:G5"/>
  </mergeCells>
  <phoneticPr fontId="57" type="noConversion"/>
  <printOptions horizontalCentered="1"/>
  <pageMargins left="0.7" right="0.7" top="0.75" bottom="0.75" header="0.3" footer="0.3"/>
  <pageSetup scale="84" fitToHeight="0" orientation="landscape" cellComments="asDisplayed" r:id="rId1"/>
  <headerFooter>
    <oddHeader>&amp;RTO2022 Draft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5"/>
  <sheetViews>
    <sheetView zoomScaleNormal="100" workbookViewId="0"/>
  </sheetViews>
  <sheetFormatPr defaultColWidth="9.1796875" defaultRowHeight="14.5" x14ac:dyDescent="0.35"/>
  <cols>
    <col min="1" max="2" width="9.1796875" style="30"/>
    <col min="3" max="3" width="18.54296875" style="30" customWidth="1"/>
    <col min="4" max="4" width="14.26953125" style="30" bestFit="1" customWidth="1"/>
    <col min="5" max="5" width="12.54296875" style="30" customWidth="1"/>
    <col min="6" max="6" width="12" style="30" customWidth="1"/>
    <col min="7" max="7" width="13.81640625" style="30" customWidth="1"/>
    <col min="8" max="16384" width="9.1796875" style="30"/>
  </cols>
  <sheetData>
    <row r="2" spans="1:8" ht="21" customHeight="1" x14ac:dyDescent="0.35"/>
    <row r="3" spans="1:8" ht="15" customHeight="1" x14ac:dyDescent="0.35">
      <c r="A3" s="218" t="s">
        <v>147</v>
      </c>
      <c r="B3" s="218"/>
      <c r="C3" s="218"/>
      <c r="D3" s="218"/>
      <c r="E3" s="218"/>
      <c r="F3" s="218"/>
      <c r="G3" s="218"/>
    </row>
    <row r="4" spans="1:8" ht="15" customHeight="1" x14ac:dyDescent="0.35">
      <c r="A4" s="218"/>
      <c r="B4" s="218"/>
      <c r="C4" s="218"/>
      <c r="D4" s="218"/>
      <c r="E4" s="218"/>
      <c r="F4" s="218"/>
      <c r="G4" s="218"/>
    </row>
    <row r="5" spans="1:8" x14ac:dyDescent="0.35">
      <c r="A5" s="219" t="s">
        <v>31</v>
      </c>
      <c r="B5" s="219"/>
      <c r="C5" s="219"/>
      <c r="D5" s="94" t="s">
        <v>32</v>
      </c>
      <c r="E5" s="220" t="s">
        <v>33</v>
      </c>
      <c r="F5" s="220"/>
      <c r="G5" s="220"/>
      <c r="H5" s="31"/>
    </row>
    <row r="6" spans="1:8" ht="49.5" customHeight="1" x14ac:dyDescent="0.35">
      <c r="A6" s="213" t="s">
        <v>172</v>
      </c>
      <c r="B6" s="214"/>
      <c r="C6" s="215"/>
      <c r="D6" s="32">
        <f>'WP-2018 Sch4-TUTRR'!J71</f>
        <v>1078591816.3380795</v>
      </c>
      <c r="E6" s="210" t="s">
        <v>181</v>
      </c>
      <c r="F6" s="211"/>
      <c r="G6" s="211"/>
    </row>
    <row r="7" spans="1:8" ht="50.25" customHeight="1" x14ac:dyDescent="0.35">
      <c r="A7" s="213" t="s">
        <v>174</v>
      </c>
      <c r="B7" s="214"/>
      <c r="C7" s="215"/>
      <c r="D7" s="33">
        <f>'WP-2018 Sch4-TUTRR'!E73</f>
        <v>1082968959.2316306</v>
      </c>
      <c r="E7" s="216" t="s">
        <v>388</v>
      </c>
      <c r="F7" s="211"/>
      <c r="G7" s="211"/>
    </row>
    <row r="8" spans="1:8" x14ac:dyDescent="0.35">
      <c r="A8" s="221" t="s">
        <v>34</v>
      </c>
      <c r="B8" s="221"/>
      <c r="C8" s="222"/>
      <c r="D8" s="34">
        <f>D7-D6</f>
        <v>4377142.8935511112</v>
      </c>
      <c r="E8" s="223"/>
      <c r="F8" s="223"/>
      <c r="G8" s="223"/>
    </row>
    <row r="11" spans="1:8" x14ac:dyDescent="0.35">
      <c r="A11" s="154" t="s">
        <v>141</v>
      </c>
    </row>
    <row r="12" spans="1:8" x14ac:dyDescent="0.35">
      <c r="A12" s="217" t="s">
        <v>173</v>
      </c>
      <c r="B12" s="209"/>
      <c r="C12" s="209"/>
      <c r="D12" s="209"/>
      <c r="E12" s="209"/>
      <c r="F12" s="209"/>
      <c r="G12" s="209"/>
      <c r="H12" s="209"/>
    </row>
    <row r="13" spans="1:8" ht="28" customHeight="1" x14ac:dyDescent="0.35">
      <c r="A13" s="212" t="s">
        <v>315</v>
      </c>
      <c r="B13" s="212"/>
      <c r="C13" s="212"/>
      <c r="D13" s="212"/>
      <c r="E13" s="212"/>
      <c r="F13" s="212"/>
      <c r="G13" s="212"/>
      <c r="H13" s="147"/>
    </row>
    <row r="15" spans="1:8" x14ac:dyDescent="0.35">
      <c r="A15" s="209"/>
      <c r="B15" s="209"/>
      <c r="C15" s="209"/>
      <c r="D15" s="209"/>
      <c r="E15" s="209"/>
      <c r="F15" s="209"/>
      <c r="G15" s="209"/>
      <c r="H15" s="209"/>
    </row>
  </sheetData>
  <mergeCells count="12">
    <mergeCell ref="A3:G4"/>
    <mergeCell ref="A5:C5"/>
    <mergeCell ref="E5:G5"/>
    <mergeCell ref="A6:C6"/>
    <mergeCell ref="A8:C8"/>
    <mergeCell ref="E8:G8"/>
    <mergeCell ref="A15:H15"/>
    <mergeCell ref="E6:G6"/>
    <mergeCell ref="A13:G13"/>
    <mergeCell ref="A7:C7"/>
    <mergeCell ref="E7:G7"/>
    <mergeCell ref="A12:H12"/>
  </mergeCells>
  <phoneticPr fontId="68" type="noConversion"/>
  <pageMargins left="0.7" right="0.7" top="0.75" bottom="0.75" header="0.3" footer="0.3"/>
  <pageSetup orientation="portrait" r:id="rId1"/>
  <headerFooter>
    <oddHeader>&amp;RTO2022 Draft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5C52-99D7-4A0F-A9EE-6FF5D1BA0730}">
  <dimension ref="A1:N172"/>
  <sheetViews>
    <sheetView zoomScaleNormal="100" workbookViewId="0"/>
  </sheetViews>
  <sheetFormatPr defaultColWidth="8.7265625" defaultRowHeight="12.5" x14ac:dyDescent="0.25"/>
  <cols>
    <col min="1" max="2" width="4.7265625" style="36" customWidth="1"/>
    <col min="3" max="3" width="18.7265625" style="36" customWidth="1"/>
    <col min="4" max="4" width="10.26953125" style="36" bestFit="1" customWidth="1"/>
    <col min="5" max="7" width="15.7265625" style="36" customWidth="1"/>
    <col min="8" max="8" width="24.7265625" style="36" customWidth="1"/>
    <col min="9" max="9" width="4.54296875" style="36" customWidth="1"/>
    <col min="10" max="10" width="15.7265625" style="36" customWidth="1"/>
    <col min="11" max="11" width="16.54296875" style="36" customWidth="1"/>
    <col min="12" max="12" width="14.26953125" style="36" customWidth="1"/>
    <col min="13" max="13" width="4.453125" style="36" customWidth="1"/>
    <col min="14" max="14" width="15.26953125" style="36" customWidth="1"/>
    <col min="15" max="16384" width="8.7265625" style="36"/>
  </cols>
  <sheetData>
    <row r="1" spans="1:14" ht="13" x14ac:dyDescent="0.3">
      <c r="A1" s="35" t="s">
        <v>35</v>
      </c>
    </row>
    <row r="3" spans="1:14" ht="13" x14ac:dyDescent="0.3">
      <c r="B3" s="37" t="s">
        <v>36</v>
      </c>
      <c r="L3" s="39"/>
    </row>
    <row r="4" spans="1:14" ht="13" x14ac:dyDescent="0.3">
      <c r="B4" s="38"/>
      <c r="F4" s="39" t="s">
        <v>37</v>
      </c>
      <c r="G4" s="39"/>
      <c r="H4" s="39" t="s">
        <v>38</v>
      </c>
      <c r="L4" s="39"/>
      <c r="N4" s="39"/>
    </row>
    <row r="5" spans="1:14" ht="13" x14ac:dyDescent="0.3">
      <c r="A5" s="40" t="s">
        <v>39</v>
      </c>
      <c r="B5" s="41"/>
      <c r="C5" s="42" t="s">
        <v>40</v>
      </c>
      <c r="F5" s="43" t="s">
        <v>41</v>
      </c>
      <c r="G5" s="43" t="s">
        <v>42</v>
      </c>
      <c r="H5" s="43" t="s">
        <v>43</v>
      </c>
      <c r="J5" s="43" t="s">
        <v>32</v>
      </c>
      <c r="L5" s="43"/>
      <c r="N5" s="43"/>
    </row>
    <row r="6" spans="1:14" ht="13" x14ac:dyDescent="0.3">
      <c r="A6" s="39">
        <v>1</v>
      </c>
      <c r="C6" s="44" t="s">
        <v>44</v>
      </c>
      <c r="F6" s="36" t="s">
        <v>45</v>
      </c>
      <c r="H6" s="44" t="s">
        <v>352</v>
      </c>
      <c r="J6" s="45">
        <v>8666375346.7182045</v>
      </c>
      <c r="L6" s="43"/>
      <c r="N6" s="45"/>
    </row>
    <row r="7" spans="1:14" ht="13" x14ac:dyDescent="0.3">
      <c r="A7" s="39">
        <f>A6+1</f>
        <v>2</v>
      </c>
      <c r="C7" s="44" t="s">
        <v>46</v>
      </c>
      <c r="F7" s="36" t="s">
        <v>47</v>
      </c>
      <c r="H7" s="44" t="s">
        <v>353</v>
      </c>
      <c r="J7" s="45">
        <v>250784298.74780104</v>
      </c>
      <c r="L7" s="43"/>
      <c r="N7" s="45"/>
    </row>
    <row r="8" spans="1:14" ht="13" x14ac:dyDescent="0.3">
      <c r="A8" s="39">
        <f>A7+1</f>
        <v>3</v>
      </c>
      <c r="C8" s="44" t="s">
        <v>48</v>
      </c>
      <c r="F8" s="36" t="s">
        <v>47</v>
      </c>
      <c r="H8" s="36" t="s">
        <v>354</v>
      </c>
      <c r="J8" s="45">
        <v>9942155</v>
      </c>
      <c r="L8" s="43"/>
      <c r="N8" s="45"/>
    </row>
    <row r="9" spans="1:14" ht="13" x14ac:dyDescent="0.3">
      <c r="A9" s="39">
        <f>A8+1</f>
        <v>4</v>
      </c>
      <c r="C9" s="44" t="s">
        <v>49</v>
      </c>
      <c r="F9" s="36" t="s">
        <v>47</v>
      </c>
      <c r="H9" s="36" t="s">
        <v>355</v>
      </c>
      <c r="J9" s="45">
        <v>0</v>
      </c>
      <c r="L9" s="43"/>
      <c r="N9" s="45"/>
    </row>
    <row r="10" spans="1:14" ht="13" x14ac:dyDescent="0.3">
      <c r="A10" s="39"/>
      <c r="C10" s="44"/>
      <c r="J10" s="45"/>
      <c r="L10" s="43"/>
      <c r="N10" s="45"/>
    </row>
    <row r="11" spans="1:14" ht="13" x14ac:dyDescent="0.3">
      <c r="A11" s="39"/>
      <c r="C11" s="46" t="s">
        <v>50</v>
      </c>
      <c r="J11" s="45"/>
      <c r="L11" s="43"/>
      <c r="N11" s="45"/>
    </row>
    <row r="12" spans="1:14" ht="13" x14ac:dyDescent="0.3">
      <c r="A12" s="39">
        <f>A9+1</f>
        <v>5</v>
      </c>
      <c r="C12" s="41" t="s">
        <v>51</v>
      </c>
      <c r="F12" s="36" t="s">
        <v>45</v>
      </c>
      <c r="H12" s="44" t="s">
        <v>356</v>
      </c>
      <c r="J12" s="45">
        <v>14561673.642511051</v>
      </c>
      <c r="L12" s="43"/>
      <c r="N12" s="45"/>
    </row>
    <row r="13" spans="1:14" ht="13" x14ac:dyDescent="0.3">
      <c r="A13" s="39">
        <f>A12+1</f>
        <v>6</v>
      </c>
      <c r="C13" s="41" t="s">
        <v>52</v>
      </c>
      <c r="F13" s="36" t="s">
        <v>45</v>
      </c>
      <c r="H13" s="44" t="s">
        <v>357</v>
      </c>
      <c r="J13" s="45">
        <v>11258426.521027757</v>
      </c>
      <c r="L13" s="43"/>
      <c r="N13" s="45"/>
    </row>
    <row r="14" spans="1:14" ht="13" x14ac:dyDescent="0.3">
      <c r="A14" s="39">
        <f>A13+1</f>
        <v>7</v>
      </c>
      <c r="C14" s="41" t="s">
        <v>53</v>
      </c>
      <c r="F14" s="36" t="s">
        <v>148</v>
      </c>
      <c r="H14" s="36" t="s">
        <v>358</v>
      </c>
      <c r="J14" s="47">
        <v>34904752.513425216</v>
      </c>
      <c r="L14" s="43"/>
      <c r="N14" s="45"/>
    </row>
    <row r="15" spans="1:14" ht="13" x14ac:dyDescent="0.3">
      <c r="A15" s="39">
        <f>A14+1</f>
        <v>8</v>
      </c>
      <c r="C15" s="41" t="s">
        <v>54</v>
      </c>
      <c r="H15" s="36" t="str">
        <f>"Line "&amp;A12&amp;" + Line "&amp;A13&amp;" + Line "&amp;A14&amp;""</f>
        <v>Line 5 + Line 6 + Line 7</v>
      </c>
      <c r="J15" s="48">
        <f>SUM(J12:J14)</f>
        <v>60724852.676964022</v>
      </c>
      <c r="L15" s="43"/>
      <c r="N15" s="45"/>
    </row>
    <row r="16" spans="1:14" ht="13" x14ac:dyDescent="0.3">
      <c r="A16" s="39"/>
      <c r="C16" s="41"/>
      <c r="J16" s="45"/>
      <c r="L16" s="43"/>
      <c r="N16" s="45"/>
    </row>
    <row r="17" spans="1:14" ht="13" x14ac:dyDescent="0.3">
      <c r="A17" s="39"/>
      <c r="C17" s="49" t="s">
        <v>55</v>
      </c>
      <c r="J17" s="45"/>
      <c r="L17" s="43"/>
      <c r="N17" s="45"/>
    </row>
    <row r="18" spans="1:14" ht="13" x14ac:dyDescent="0.3">
      <c r="A18" s="39">
        <f>A15+1</f>
        <v>9</v>
      </c>
      <c r="C18" s="41" t="s">
        <v>56</v>
      </c>
      <c r="F18" s="36" t="s">
        <v>45</v>
      </c>
      <c r="G18" s="36" t="s">
        <v>57</v>
      </c>
      <c r="H18" s="44" t="s">
        <v>374</v>
      </c>
      <c r="J18" s="45">
        <v>-1696750194.7350788</v>
      </c>
      <c r="L18" s="43"/>
      <c r="N18" s="45"/>
    </row>
    <row r="19" spans="1:14" ht="13" x14ac:dyDescent="0.3">
      <c r="A19" s="39">
        <f>A18+1</f>
        <v>10</v>
      </c>
      <c r="C19" s="41" t="s">
        <v>58</v>
      </c>
      <c r="F19" s="36" t="s">
        <v>47</v>
      </c>
      <c r="G19" s="36" t="s">
        <v>57</v>
      </c>
      <c r="H19" s="44" t="s">
        <v>375</v>
      </c>
      <c r="J19" s="45">
        <v>0</v>
      </c>
      <c r="L19" s="43"/>
      <c r="N19" s="45"/>
    </row>
    <row r="20" spans="1:14" ht="13" x14ac:dyDescent="0.3">
      <c r="A20" s="39">
        <f>A19+1</f>
        <v>11</v>
      </c>
      <c r="C20" s="41" t="s">
        <v>59</v>
      </c>
      <c r="D20" s="50"/>
      <c r="F20" s="36" t="s">
        <v>47</v>
      </c>
      <c r="G20" s="36" t="s">
        <v>57</v>
      </c>
      <c r="H20" s="44" t="s">
        <v>376</v>
      </c>
      <c r="J20" s="51">
        <v>-96157604.895406127</v>
      </c>
      <c r="L20" s="43"/>
      <c r="N20" s="45"/>
    </row>
    <row r="21" spans="1:14" ht="13" x14ac:dyDescent="0.3">
      <c r="A21" s="39">
        <f>A20+1</f>
        <v>12</v>
      </c>
      <c r="C21" s="52" t="s">
        <v>60</v>
      </c>
      <c r="D21" s="50"/>
      <c r="H21" s="36" t="str">
        <f>"Line "&amp;A18&amp;" + Line "&amp;A19&amp;" + Line "&amp;A20&amp;""</f>
        <v>Line 9 + Line 10 + Line 11</v>
      </c>
      <c r="J21" s="45">
        <f>SUM(J18:J20)</f>
        <v>-1792907799.6304851</v>
      </c>
      <c r="L21" s="43"/>
      <c r="N21" s="45"/>
    </row>
    <row r="22" spans="1:14" ht="13" x14ac:dyDescent="0.3">
      <c r="A22" s="39"/>
      <c r="J22" s="45"/>
      <c r="L22" s="43"/>
      <c r="N22" s="45"/>
    </row>
    <row r="23" spans="1:14" ht="13" x14ac:dyDescent="0.3">
      <c r="A23" s="39">
        <f>A21+1</f>
        <v>13</v>
      </c>
      <c r="C23" s="44" t="s">
        <v>61</v>
      </c>
      <c r="F23" s="36" t="s">
        <v>47</v>
      </c>
      <c r="H23" s="44" t="s">
        <v>377</v>
      </c>
      <c r="J23" s="45">
        <v>-1646877466.9842367</v>
      </c>
      <c r="L23" s="43"/>
      <c r="N23" s="45"/>
    </row>
    <row r="24" spans="1:14" ht="13" x14ac:dyDescent="0.3">
      <c r="A24" s="39">
        <f>A23+1</f>
        <v>14</v>
      </c>
      <c r="C24" s="44" t="s">
        <v>62</v>
      </c>
      <c r="F24" s="36" t="s">
        <v>45</v>
      </c>
      <c r="H24" s="44" t="s">
        <v>378</v>
      </c>
      <c r="J24" s="45">
        <v>297744428.87125176</v>
      </c>
      <c r="L24" s="43"/>
      <c r="N24" s="45"/>
    </row>
    <row r="25" spans="1:14" ht="13" x14ac:dyDescent="0.3">
      <c r="A25" s="39">
        <f>A24+1</f>
        <v>15</v>
      </c>
      <c r="C25" s="44" t="s">
        <v>63</v>
      </c>
      <c r="F25" s="36" t="s">
        <v>47</v>
      </c>
      <c r="G25" s="36" t="s">
        <v>57</v>
      </c>
      <c r="H25" s="44" t="s">
        <v>379</v>
      </c>
      <c r="J25" s="45">
        <v>-78952573</v>
      </c>
      <c r="L25" s="43"/>
      <c r="N25" s="45"/>
    </row>
    <row r="26" spans="1:14" ht="13" x14ac:dyDescent="0.3">
      <c r="A26" s="39">
        <f t="shared" ref="A26:A27" si="0">A25+1</f>
        <v>16</v>
      </c>
      <c r="C26" s="44" t="s">
        <v>64</v>
      </c>
      <c r="H26" s="36" t="s">
        <v>380</v>
      </c>
      <c r="J26" s="45">
        <v>-86758063.662293404</v>
      </c>
      <c r="L26" s="43"/>
      <c r="N26" s="45"/>
    </row>
    <row r="27" spans="1:14" ht="13" x14ac:dyDescent="0.3">
      <c r="A27" s="39">
        <f t="shared" si="0"/>
        <v>17</v>
      </c>
      <c r="C27" s="44" t="s">
        <v>65</v>
      </c>
      <c r="F27" s="36" t="s">
        <v>47</v>
      </c>
      <c r="H27" s="44" t="s">
        <v>381</v>
      </c>
      <c r="J27" s="45">
        <v>0</v>
      </c>
      <c r="L27" s="43"/>
      <c r="N27" s="45"/>
    </row>
    <row r="28" spans="1:14" ht="13" x14ac:dyDescent="0.3">
      <c r="A28" s="39"/>
      <c r="C28" s="44"/>
      <c r="L28" s="43"/>
      <c r="N28" s="45"/>
    </row>
    <row r="29" spans="1:14" ht="13" x14ac:dyDescent="0.3">
      <c r="A29" s="39">
        <f>A27+1</f>
        <v>18</v>
      </c>
      <c r="C29" s="36" t="s">
        <v>66</v>
      </c>
      <c r="H29" s="36" t="str">
        <f>"L"&amp;A6&amp;"+L"&amp;A7&amp;"+L"&amp;A8&amp;"+L"&amp;A9&amp;"+L"&amp;A15&amp;"+L"&amp;A21&amp;"+"</f>
        <v>L1+L2+L3+L4+L8+L12+</v>
      </c>
      <c r="J29" s="48">
        <f>J6+ J7+J8+J9+J15+J21+J23+J24+J25+J26+J27</f>
        <v>5680075178.7372055</v>
      </c>
      <c r="L29" s="43"/>
      <c r="N29" s="45"/>
    </row>
    <row r="30" spans="1:14" ht="13" x14ac:dyDescent="0.3">
      <c r="A30" s="39"/>
      <c r="H30" s="36" t="str">
        <f>"L"&amp;A23&amp;"+L"&amp;A24&amp;"+L"&amp;A25&amp;"+L"&amp;A26&amp;"+L"&amp;A27&amp;""</f>
        <v>L13+L14+L15+L16+L17</v>
      </c>
      <c r="J30" s="45"/>
      <c r="L30" s="43"/>
      <c r="N30" s="45"/>
    </row>
    <row r="31" spans="1:14" ht="13" x14ac:dyDescent="0.3">
      <c r="A31" s="39"/>
      <c r="B31" s="35" t="s">
        <v>67</v>
      </c>
      <c r="J31" s="45"/>
      <c r="L31" s="43"/>
      <c r="N31" s="45"/>
    </row>
    <row r="32" spans="1:14" ht="13" x14ac:dyDescent="0.3">
      <c r="A32" s="40" t="s">
        <v>39</v>
      </c>
      <c r="C32" s="35"/>
      <c r="J32" s="45"/>
      <c r="L32" s="43"/>
      <c r="N32" s="45"/>
    </row>
    <row r="33" spans="1:14" ht="13" x14ac:dyDescent="0.3">
      <c r="A33" s="39">
        <f>A29+1</f>
        <v>19</v>
      </c>
      <c r="C33" s="36" t="s">
        <v>68</v>
      </c>
      <c r="G33" s="36" t="s">
        <v>69</v>
      </c>
      <c r="H33" s="36" t="str">
        <f>"Instruction 1, Line "&amp;B98&amp;""</f>
        <v>Instruction 1, Line j</v>
      </c>
      <c r="J33" s="53">
        <f>E98</f>
        <v>7.8018766760959951E-2</v>
      </c>
      <c r="L33" s="43"/>
      <c r="M33" s="53"/>
      <c r="N33" s="45"/>
    </row>
    <row r="34" spans="1:14" ht="13" x14ac:dyDescent="0.3">
      <c r="A34" s="39">
        <f>A33+1</f>
        <v>20</v>
      </c>
      <c r="C34" s="36" t="s">
        <v>70</v>
      </c>
      <c r="H34" s="36" t="str">
        <f>"Line "&amp;A29&amp;" * Line "&amp;A33&amp;""</f>
        <v>Line 18 * Line 19</v>
      </c>
      <c r="J34" s="48">
        <f>J29*J33</f>
        <v>443152460.55461591</v>
      </c>
      <c r="L34" s="43"/>
      <c r="N34" s="45"/>
    </row>
    <row r="35" spans="1:14" ht="13" x14ac:dyDescent="0.3">
      <c r="A35" s="39"/>
      <c r="B35" s="41"/>
      <c r="L35" s="43"/>
      <c r="N35" s="45"/>
    </row>
    <row r="36" spans="1:14" ht="13" x14ac:dyDescent="0.3">
      <c r="A36" s="39"/>
      <c r="B36" s="35" t="s">
        <v>71</v>
      </c>
      <c r="L36" s="43"/>
      <c r="N36" s="45"/>
    </row>
    <row r="37" spans="1:14" ht="13" x14ac:dyDescent="0.3">
      <c r="A37" s="39"/>
      <c r="B37" s="41"/>
      <c r="L37" s="43"/>
      <c r="N37" s="45"/>
    </row>
    <row r="38" spans="1:14" ht="13" x14ac:dyDescent="0.3">
      <c r="A38" s="39">
        <f>A34+1</f>
        <v>21</v>
      </c>
      <c r="C38" s="36" t="s">
        <v>72</v>
      </c>
      <c r="J38" s="48">
        <f>(((J29*J42) + J45) *(J43/(1-J43)))+(J44/(1-J43))</f>
        <v>91581516.211711854</v>
      </c>
      <c r="L38" s="43"/>
      <c r="N38" s="45"/>
    </row>
    <row r="39" spans="1:14" ht="13" x14ac:dyDescent="0.3">
      <c r="A39" s="39"/>
      <c r="L39" s="43"/>
      <c r="N39" s="45"/>
    </row>
    <row r="40" spans="1:14" ht="13" x14ac:dyDescent="0.3">
      <c r="A40" s="39"/>
      <c r="D40" s="36" t="s">
        <v>73</v>
      </c>
      <c r="L40" s="43"/>
      <c r="N40" s="45"/>
    </row>
    <row r="41" spans="1:14" ht="13" x14ac:dyDescent="0.3">
      <c r="A41" s="39">
        <f>A38+1</f>
        <v>22</v>
      </c>
      <c r="D41" s="41" t="s">
        <v>74</v>
      </c>
      <c r="H41" s="36" t="str">
        <f>"Line "&amp;A29&amp;""</f>
        <v>Line 18</v>
      </c>
      <c r="J41" s="48">
        <f>J29</f>
        <v>5680075178.7372055</v>
      </c>
      <c r="L41" s="43"/>
      <c r="N41" s="45"/>
    </row>
    <row r="42" spans="1:14" ht="13" x14ac:dyDescent="0.3">
      <c r="A42" s="39">
        <f>A41+1</f>
        <v>23</v>
      </c>
      <c r="D42" s="41" t="s">
        <v>75</v>
      </c>
      <c r="G42" s="36" t="s">
        <v>76</v>
      </c>
      <c r="H42" s="36" t="str">
        <f>"Instruction 1, Line "&amp;B103&amp;""</f>
        <v>Instruction 1, Line k</v>
      </c>
      <c r="J42" s="53">
        <f>E103</f>
        <v>5.6848332774048153E-2</v>
      </c>
      <c r="L42" s="43"/>
      <c r="M42" s="53"/>
      <c r="N42" s="45"/>
    </row>
    <row r="43" spans="1:14" ht="13" x14ac:dyDescent="0.3">
      <c r="A43" s="39">
        <f>A42+1</f>
        <v>24</v>
      </c>
      <c r="D43" s="41" t="s">
        <v>77</v>
      </c>
      <c r="H43" s="36" t="s">
        <v>359</v>
      </c>
      <c r="J43" s="53">
        <v>0.27983599999999997</v>
      </c>
      <c r="L43" s="43"/>
      <c r="M43" s="53"/>
      <c r="N43" s="45"/>
    </row>
    <row r="44" spans="1:14" ht="13" x14ac:dyDescent="0.3">
      <c r="A44" s="39">
        <f>A43+1</f>
        <v>25</v>
      </c>
      <c r="D44" s="41" t="s">
        <v>78</v>
      </c>
      <c r="H44" s="36" t="s">
        <v>360</v>
      </c>
      <c r="J44" s="45">
        <v>-25416331</v>
      </c>
      <c r="L44" s="43"/>
      <c r="N44" s="45"/>
    </row>
    <row r="45" spans="1:14" ht="13" x14ac:dyDescent="0.3">
      <c r="A45" s="39">
        <f>A44+1</f>
        <v>26</v>
      </c>
      <c r="D45" s="41" t="s">
        <v>79</v>
      </c>
      <c r="H45" s="36" t="s">
        <v>361</v>
      </c>
      <c r="J45" s="45">
        <v>3610018</v>
      </c>
      <c r="L45" s="43"/>
      <c r="N45" s="45"/>
    </row>
    <row r="46" spans="1:14" ht="13" x14ac:dyDescent="0.3">
      <c r="A46" s="39"/>
      <c r="B46" s="41"/>
      <c r="L46" s="43"/>
      <c r="N46" s="45"/>
    </row>
    <row r="47" spans="1:14" ht="13" x14ac:dyDescent="0.3">
      <c r="A47" s="39"/>
      <c r="B47" s="35" t="s">
        <v>80</v>
      </c>
      <c r="L47" s="43"/>
      <c r="N47" s="45"/>
    </row>
    <row r="48" spans="1:14" ht="13" x14ac:dyDescent="0.3">
      <c r="A48" s="39">
        <f>A45+1</f>
        <v>27</v>
      </c>
      <c r="B48" s="41"/>
      <c r="C48" s="36" t="s">
        <v>81</v>
      </c>
      <c r="H48" s="36" t="s">
        <v>362</v>
      </c>
      <c r="J48" s="45">
        <v>68175046.600722671</v>
      </c>
      <c r="L48" s="43"/>
      <c r="N48" s="45"/>
    </row>
    <row r="49" spans="1:14" ht="13" x14ac:dyDescent="0.3">
      <c r="A49" s="39">
        <f t="shared" ref="A49:A59" si="1">A48+1</f>
        <v>28</v>
      </c>
      <c r="B49" s="41"/>
      <c r="C49" s="36" t="s">
        <v>82</v>
      </c>
      <c r="H49" s="36" t="s">
        <v>363</v>
      </c>
      <c r="J49" s="48">
        <v>211062973.50667906</v>
      </c>
      <c r="L49" s="43"/>
      <c r="N49" s="45"/>
    </row>
    <row r="50" spans="1:14" ht="13" x14ac:dyDescent="0.3">
      <c r="A50" s="39">
        <f>A49+1</f>
        <v>29</v>
      </c>
      <c r="B50" s="41"/>
      <c r="C50" s="36" t="s">
        <v>83</v>
      </c>
      <c r="H50" s="36" t="s">
        <v>364</v>
      </c>
      <c r="J50" s="45">
        <v>5429238</v>
      </c>
      <c r="L50" s="43"/>
      <c r="N50" s="45"/>
    </row>
    <row r="51" spans="1:14" ht="13" x14ac:dyDescent="0.3">
      <c r="A51" s="39">
        <f t="shared" si="1"/>
        <v>30</v>
      </c>
      <c r="B51" s="41"/>
      <c r="C51" s="36" t="s">
        <v>84</v>
      </c>
      <c r="H51" s="36" t="s">
        <v>365</v>
      </c>
      <c r="J51" s="45">
        <v>245884459.62477174</v>
      </c>
      <c r="L51" s="43"/>
      <c r="N51" s="45"/>
    </row>
    <row r="52" spans="1:14" ht="13" x14ac:dyDescent="0.3">
      <c r="A52" s="39">
        <f t="shared" si="1"/>
        <v>31</v>
      </c>
      <c r="B52" s="41"/>
      <c r="C52" s="36" t="s">
        <v>85</v>
      </c>
      <c r="H52" s="36" t="s">
        <v>366</v>
      </c>
      <c r="J52" s="45">
        <v>0</v>
      </c>
      <c r="L52" s="43"/>
      <c r="N52" s="45"/>
    </row>
    <row r="53" spans="1:14" ht="13" x14ac:dyDescent="0.3">
      <c r="A53" s="39">
        <f t="shared" si="1"/>
        <v>32</v>
      </c>
      <c r="B53" s="41"/>
      <c r="C53" s="36" t="s">
        <v>86</v>
      </c>
      <c r="H53" s="36" t="s">
        <v>367</v>
      </c>
      <c r="J53" s="45">
        <v>63673657.128531143</v>
      </c>
      <c r="L53" s="43"/>
      <c r="N53" s="45"/>
    </row>
    <row r="54" spans="1:14" ht="13" x14ac:dyDescent="0.3">
      <c r="A54" s="39">
        <f t="shared" si="1"/>
        <v>33</v>
      </c>
      <c r="B54" s="41"/>
      <c r="C54" s="36" t="s">
        <v>87</v>
      </c>
      <c r="H54" s="36" t="s">
        <v>368</v>
      </c>
      <c r="J54" s="45">
        <v>-58173790.509793751</v>
      </c>
      <c r="L54" s="43"/>
      <c r="N54" s="45"/>
    </row>
    <row r="55" spans="1:14" ht="13" x14ac:dyDescent="0.3">
      <c r="A55" s="39">
        <f t="shared" si="1"/>
        <v>34</v>
      </c>
      <c r="B55" s="41"/>
      <c r="C55" s="36" t="s">
        <v>88</v>
      </c>
      <c r="H55" s="36" t="str">
        <f>"Line "&amp;A34&amp;""</f>
        <v>Line 20</v>
      </c>
      <c r="J55" s="48">
        <f>J34</f>
        <v>443152460.55461591</v>
      </c>
      <c r="L55" s="43"/>
      <c r="N55" s="45"/>
    </row>
    <row r="56" spans="1:14" ht="13" x14ac:dyDescent="0.3">
      <c r="A56" s="39">
        <f t="shared" si="1"/>
        <v>35</v>
      </c>
      <c r="B56" s="41"/>
      <c r="C56" s="36" t="s">
        <v>89</v>
      </c>
      <c r="H56" s="36" t="str">
        <f>"Line "&amp;A38&amp;""</f>
        <v>Line 21</v>
      </c>
      <c r="J56" s="48">
        <f>J38</f>
        <v>91581516.211711854</v>
      </c>
      <c r="L56" s="43"/>
      <c r="N56" s="45"/>
    </row>
    <row r="57" spans="1:14" ht="13" x14ac:dyDescent="0.3">
      <c r="A57" s="39">
        <f t="shared" si="1"/>
        <v>36</v>
      </c>
      <c r="B57" s="41"/>
      <c r="C57" s="36" t="s">
        <v>90</v>
      </c>
      <c r="H57" s="36" t="s">
        <v>369</v>
      </c>
      <c r="J57" s="45">
        <v>0</v>
      </c>
      <c r="L57" s="43"/>
      <c r="N57" s="45"/>
    </row>
    <row r="58" spans="1:14" ht="13" x14ac:dyDescent="0.3">
      <c r="A58" s="39">
        <f t="shared" si="1"/>
        <v>37</v>
      </c>
      <c r="B58" s="41"/>
      <c r="C58" s="54" t="s">
        <v>91</v>
      </c>
      <c r="D58" s="54"/>
      <c r="H58" s="36" t="s">
        <v>370</v>
      </c>
      <c r="J58" s="51">
        <v>0</v>
      </c>
      <c r="L58" s="43"/>
      <c r="N58" s="45"/>
    </row>
    <row r="59" spans="1:14" ht="13" x14ac:dyDescent="0.3">
      <c r="A59" s="39">
        <f t="shared" si="1"/>
        <v>38</v>
      </c>
      <c r="B59" s="41"/>
      <c r="C59" s="36" t="s">
        <v>92</v>
      </c>
      <c r="H59" s="36" t="str">
        <f>"Sum Line "&amp;A48&amp;" to Line "&amp;A58&amp;""</f>
        <v>Sum Line 27 to Line 37</v>
      </c>
      <c r="J59" s="48">
        <f>SUM(J48:J58)</f>
        <v>1070785561.1172385</v>
      </c>
      <c r="L59" s="43"/>
      <c r="N59" s="45"/>
    </row>
    <row r="60" spans="1:14" ht="13" x14ac:dyDescent="0.3">
      <c r="A60" s="39"/>
      <c r="B60" s="41"/>
      <c r="J60" s="45"/>
      <c r="L60" s="43"/>
      <c r="N60" s="45"/>
    </row>
    <row r="61" spans="1:14" ht="12.75" customHeight="1" x14ac:dyDescent="0.3">
      <c r="A61" s="39">
        <f>A59+1</f>
        <v>39</v>
      </c>
      <c r="B61" s="41"/>
      <c r="C61" s="36" t="s">
        <v>93</v>
      </c>
      <c r="H61" s="36" t="s">
        <v>382</v>
      </c>
      <c r="J61" s="45">
        <v>26918854.433303144</v>
      </c>
      <c r="L61" s="43"/>
      <c r="N61" s="45"/>
    </row>
    <row r="62" spans="1:14" ht="12.75" customHeight="1" x14ac:dyDescent="0.3">
      <c r="A62" s="39" t="s">
        <v>153</v>
      </c>
      <c r="C62" s="36" t="s">
        <v>154</v>
      </c>
      <c r="H62" s="36" t="s">
        <v>155</v>
      </c>
      <c r="J62" s="45">
        <f>-J61</f>
        <v>-26918854.433303144</v>
      </c>
      <c r="L62" s="43"/>
      <c r="N62" s="45"/>
    </row>
    <row r="63" spans="1:14" ht="13" x14ac:dyDescent="0.3">
      <c r="A63" s="39"/>
      <c r="B63" s="41"/>
      <c r="J63" s="45"/>
      <c r="L63" s="43"/>
      <c r="N63" s="45"/>
    </row>
    <row r="64" spans="1:14" ht="13" x14ac:dyDescent="0.3">
      <c r="A64" s="39">
        <f>A61+1</f>
        <v>40</v>
      </c>
      <c r="B64" s="41"/>
      <c r="C64" s="36" t="s">
        <v>94</v>
      </c>
      <c r="H64" s="36" t="s">
        <v>156</v>
      </c>
      <c r="J64" s="48">
        <f>J59+J61+J62</f>
        <v>1070785561.1172385</v>
      </c>
      <c r="L64" s="43"/>
      <c r="N64" s="45"/>
    </row>
    <row r="65" spans="1:14" ht="13" x14ac:dyDescent="0.3">
      <c r="A65" s="39"/>
      <c r="B65" s="41"/>
      <c r="J65" s="45"/>
    </row>
    <row r="66" spans="1:14" ht="13" x14ac:dyDescent="0.3">
      <c r="A66" s="39"/>
      <c r="B66" s="37" t="s">
        <v>95</v>
      </c>
      <c r="J66" s="45"/>
      <c r="N66" s="39"/>
    </row>
    <row r="67" spans="1:14" ht="13.5" thickBot="1" x14ac:dyDescent="0.35">
      <c r="A67" s="40" t="s">
        <v>39</v>
      </c>
      <c r="B67" s="44"/>
      <c r="G67" s="42" t="s">
        <v>96</v>
      </c>
      <c r="N67" s="43"/>
    </row>
    <row r="68" spans="1:14" ht="13" x14ac:dyDescent="0.3">
      <c r="A68" s="39">
        <f>A64+1</f>
        <v>41</v>
      </c>
      <c r="B68" s="44"/>
      <c r="D68" s="55" t="s">
        <v>97</v>
      </c>
      <c r="E68" s="48">
        <f>J64</f>
        <v>1070785561.1172385</v>
      </c>
      <c r="G68" s="36" t="str">
        <f>"Line "&amp;A64&amp;""</f>
        <v>Line 40</v>
      </c>
      <c r="J68" s="56" t="s">
        <v>98</v>
      </c>
      <c r="N68" s="45"/>
    </row>
    <row r="69" spans="1:14" ht="13" x14ac:dyDescent="0.3">
      <c r="A69" s="39">
        <f>A68+1</f>
        <v>42</v>
      </c>
      <c r="B69" s="44"/>
      <c r="D69" s="55" t="s">
        <v>99</v>
      </c>
      <c r="E69" s="57">
        <v>9.2440000000000005E-3</v>
      </c>
      <c r="G69" s="36" t="s">
        <v>383</v>
      </c>
      <c r="J69" s="58" t="s">
        <v>149</v>
      </c>
      <c r="N69" s="53"/>
    </row>
    <row r="70" spans="1:14" ht="13" x14ac:dyDescent="0.3">
      <c r="A70" s="39">
        <f>A69+1</f>
        <v>43</v>
      </c>
      <c r="B70" s="44"/>
      <c r="D70" s="55" t="s">
        <v>100</v>
      </c>
      <c r="E70" s="48">
        <v>9898341.7269677538</v>
      </c>
      <c r="G70" s="36" t="str">
        <f>"Line "&amp;A68&amp;" * Line "&amp;A69&amp;""</f>
        <v>Line 41 * Line 42</v>
      </c>
      <c r="J70" s="59">
        <f>E73</f>
        <v>1082968959.2316306</v>
      </c>
      <c r="N70" s="45"/>
    </row>
    <row r="71" spans="1:14" ht="37.5" customHeight="1" x14ac:dyDescent="0.3">
      <c r="A71" s="39">
        <f>A70+1</f>
        <v>44</v>
      </c>
      <c r="B71" s="44"/>
      <c r="D71" s="55" t="s">
        <v>101</v>
      </c>
      <c r="E71" s="57">
        <v>2.134E-3</v>
      </c>
      <c r="G71" s="36" t="s">
        <v>383</v>
      </c>
      <c r="J71" s="60">
        <v>1078591816.3380795</v>
      </c>
      <c r="K71" s="224" t="s">
        <v>179</v>
      </c>
      <c r="L71" s="225"/>
      <c r="N71" s="53"/>
    </row>
    <row r="72" spans="1:14" ht="13.5" thickBot="1" x14ac:dyDescent="0.35">
      <c r="A72" s="39">
        <f>A71+1</f>
        <v>45</v>
      </c>
      <c r="B72" s="44"/>
      <c r="D72" s="55" t="s">
        <v>102</v>
      </c>
      <c r="E72" s="48">
        <v>2285056.3874241873</v>
      </c>
      <c r="G72" s="36" t="str">
        <f>"Line "&amp;A70&amp;" * Line "&amp;A71&amp;""</f>
        <v>Line 43 * Line 44</v>
      </c>
      <c r="J72" s="61">
        <f>J70-J71</f>
        <v>4377142.8935511112</v>
      </c>
      <c r="K72" s="83"/>
      <c r="L72" s="84"/>
      <c r="N72" s="45"/>
    </row>
    <row r="73" spans="1:14" ht="13" x14ac:dyDescent="0.3">
      <c r="A73" s="39">
        <f>A72+1</f>
        <v>46</v>
      </c>
      <c r="B73" s="44"/>
      <c r="D73" s="55" t="s">
        <v>103</v>
      </c>
      <c r="E73" s="48">
        <f>E68+E70+E72</f>
        <v>1082968959.2316306</v>
      </c>
      <c r="G73" s="36" t="str">
        <f>"L "&amp;A68&amp;" + L "&amp;A70&amp;" + L "&amp;A72&amp;""</f>
        <v>L 41 + L 43 + L 45</v>
      </c>
      <c r="K73" s="62"/>
      <c r="N73" s="45"/>
    </row>
    <row r="74" spans="1:14" ht="13" x14ac:dyDescent="0.3">
      <c r="B74" s="37" t="s">
        <v>104</v>
      </c>
      <c r="D74" s="55"/>
      <c r="E74" s="45"/>
      <c r="H74" s="63"/>
      <c r="K74" s="95">
        <v>4413393.2040841598</v>
      </c>
      <c r="L74" s="77" t="s">
        <v>180</v>
      </c>
    </row>
    <row r="75" spans="1:14" ht="13" x14ac:dyDescent="0.3">
      <c r="A75" s="39"/>
      <c r="B75" s="36" t="s">
        <v>150</v>
      </c>
      <c r="C75" s="37"/>
      <c r="D75" s="55"/>
      <c r="E75" s="45"/>
      <c r="K75" s="45">
        <v>-18.010151388123631</v>
      </c>
      <c r="L75" s="36" t="s">
        <v>197</v>
      </c>
    </row>
    <row r="76" spans="1:14" ht="13" x14ac:dyDescent="0.3">
      <c r="A76" s="39"/>
      <c r="B76" s="36" t="s">
        <v>151</v>
      </c>
      <c r="C76" s="37"/>
      <c r="D76" s="55"/>
      <c r="E76" s="45"/>
      <c r="K76" s="51">
        <v>-36232.300381660461</v>
      </c>
      <c r="L76" s="36" t="s">
        <v>340</v>
      </c>
    </row>
    <row r="77" spans="1:14" ht="13" x14ac:dyDescent="0.3">
      <c r="A77" s="39"/>
      <c r="B77" s="44" t="s">
        <v>105</v>
      </c>
      <c r="D77" s="55"/>
      <c r="E77" s="45"/>
      <c r="K77" s="45">
        <f>SUM(K74:K76)</f>
        <v>4377142.8935511112</v>
      </c>
      <c r="L77" s="36" t="s">
        <v>198</v>
      </c>
    </row>
    <row r="78" spans="1:14" ht="13" x14ac:dyDescent="0.3">
      <c r="A78" s="39"/>
      <c r="B78" s="44" t="s">
        <v>106</v>
      </c>
      <c r="D78" s="55"/>
      <c r="E78" s="45"/>
    </row>
    <row r="79" spans="1:14" ht="13" x14ac:dyDescent="0.3">
      <c r="A79" s="39"/>
    </row>
    <row r="80" spans="1:14" ht="13" x14ac:dyDescent="0.3">
      <c r="A80" s="39"/>
      <c r="B80" s="36" t="s">
        <v>107</v>
      </c>
    </row>
    <row r="81" spans="1:10" ht="13" x14ac:dyDescent="0.3">
      <c r="A81" s="39"/>
      <c r="C81" s="36" t="s">
        <v>108</v>
      </c>
    </row>
    <row r="82" spans="1:10" ht="13" x14ac:dyDescent="0.3">
      <c r="A82" s="39"/>
      <c r="J82" s="39" t="s">
        <v>109</v>
      </c>
    </row>
    <row r="83" spans="1:10" ht="13" x14ac:dyDescent="0.3">
      <c r="A83" s="39"/>
      <c r="E83" s="43" t="s">
        <v>110</v>
      </c>
      <c r="F83" s="42" t="s">
        <v>96</v>
      </c>
      <c r="G83" s="43" t="s">
        <v>111</v>
      </c>
      <c r="H83" s="43" t="s">
        <v>112</v>
      </c>
      <c r="J83" s="43" t="s">
        <v>113</v>
      </c>
    </row>
    <row r="84" spans="1:10" ht="13" x14ac:dyDescent="0.3">
      <c r="B84" s="64" t="s">
        <v>114</v>
      </c>
      <c r="C84" s="36" t="s">
        <v>115</v>
      </c>
      <c r="E84" s="195">
        <v>0.112</v>
      </c>
      <c r="F84" s="36" t="s">
        <v>118</v>
      </c>
      <c r="G84" s="82">
        <v>43101</v>
      </c>
      <c r="H84" s="82">
        <v>43465</v>
      </c>
      <c r="J84" s="66">
        <v>365</v>
      </c>
    </row>
    <row r="85" spans="1:10" ht="13" x14ac:dyDescent="0.3">
      <c r="B85" s="64" t="s">
        <v>116</v>
      </c>
      <c r="C85" s="36" t="s">
        <v>117</v>
      </c>
      <c r="E85" s="195">
        <v>0.112</v>
      </c>
      <c r="F85" s="36" t="s">
        <v>152</v>
      </c>
      <c r="G85" s="196"/>
      <c r="H85" s="197"/>
      <c r="J85" s="66"/>
    </row>
    <row r="86" spans="1:10" ht="13" x14ac:dyDescent="0.3">
      <c r="B86" s="64" t="s">
        <v>119</v>
      </c>
      <c r="E86" s="67"/>
      <c r="G86" s="68"/>
      <c r="H86" s="68"/>
      <c r="I86" s="55" t="s">
        <v>120</v>
      </c>
      <c r="J86" s="36">
        <f>SUM(J84:J85)</f>
        <v>365</v>
      </c>
    </row>
    <row r="87" spans="1:10" ht="13" x14ac:dyDescent="0.3">
      <c r="B87" s="64" t="s">
        <v>121</v>
      </c>
      <c r="C87" s="36" t="s">
        <v>122</v>
      </c>
      <c r="E87" s="65">
        <f>((E84*J84) + (E85* J85)) / J86</f>
        <v>0.112</v>
      </c>
      <c r="F87" s="36" t="s">
        <v>123</v>
      </c>
    </row>
    <row r="88" spans="1:10" ht="13" x14ac:dyDescent="0.3">
      <c r="A88" s="39"/>
    </row>
    <row r="89" spans="1:10" ht="13" x14ac:dyDescent="0.3">
      <c r="A89" s="39"/>
      <c r="B89" s="36" t="s">
        <v>124</v>
      </c>
    </row>
    <row r="90" spans="1:10" ht="13" x14ac:dyDescent="0.3">
      <c r="A90" s="39"/>
      <c r="E90" s="42" t="s">
        <v>96</v>
      </c>
    </row>
    <row r="91" spans="1:10" ht="13" x14ac:dyDescent="0.3">
      <c r="B91" s="64" t="s">
        <v>125</v>
      </c>
      <c r="C91" s="36" t="s">
        <v>126</v>
      </c>
      <c r="E91" s="198" t="s">
        <v>157</v>
      </c>
      <c r="F91" s="66"/>
      <c r="G91" s="66"/>
      <c r="H91" s="66"/>
      <c r="I91" s="66"/>
      <c r="J91" s="66"/>
    </row>
    <row r="92" spans="1:10" ht="13" x14ac:dyDescent="0.3">
      <c r="B92" s="64" t="s">
        <v>127</v>
      </c>
      <c r="C92" s="36" t="s">
        <v>128</v>
      </c>
      <c r="E92" s="198" t="s">
        <v>157</v>
      </c>
      <c r="F92" s="66"/>
      <c r="G92" s="66"/>
      <c r="H92" s="66"/>
      <c r="I92" s="66"/>
      <c r="J92" s="66"/>
    </row>
    <row r="93" spans="1:10" x14ac:dyDescent="0.25">
      <c r="E93" s="68"/>
    </row>
    <row r="94" spans="1:10" ht="13" x14ac:dyDescent="0.3">
      <c r="E94" s="43" t="s">
        <v>110</v>
      </c>
      <c r="F94" s="42" t="s">
        <v>96</v>
      </c>
    </row>
    <row r="95" spans="1:10" ht="13" x14ac:dyDescent="0.3">
      <c r="B95" s="64" t="s">
        <v>129</v>
      </c>
      <c r="C95" s="36" t="s">
        <v>130</v>
      </c>
      <c r="E95" s="53">
        <v>2.1170433986911801E-2</v>
      </c>
      <c r="F95" s="36" t="s">
        <v>371</v>
      </c>
    </row>
    <row r="96" spans="1:10" ht="13" x14ac:dyDescent="0.3">
      <c r="B96" s="64" t="s">
        <v>131</v>
      </c>
      <c r="C96" s="36" t="s">
        <v>132</v>
      </c>
      <c r="E96" s="53">
        <v>4.6008620927769249E-3</v>
      </c>
      <c r="F96" s="36" t="s">
        <v>372</v>
      </c>
    </row>
    <row r="97" spans="1:10" ht="13" x14ac:dyDescent="0.3">
      <c r="B97" s="64" t="s">
        <v>133</v>
      </c>
      <c r="C97" s="36" t="s">
        <v>134</v>
      </c>
      <c r="E97" s="69">
        <v>5.2247470681271231E-2</v>
      </c>
      <c r="F97" s="36" t="s">
        <v>373</v>
      </c>
    </row>
    <row r="98" spans="1:10" ht="13" x14ac:dyDescent="0.3">
      <c r="B98" s="39" t="s">
        <v>135</v>
      </c>
      <c r="C98" s="41" t="s">
        <v>68</v>
      </c>
      <c r="E98" s="53">
        <f>SUM(E95:E97)</f>
        <v>7.8018766760959951E-2</v>
      </c>
      <c r="F98" s="45" t="str">
        <f>"Sum of Lines "&amp;B95&amp;" to "&amp;B97&amp;""</f>
        <v>Sum of Lines g to i</v>
      </c>
      <c r="G98" s="70"/>
      <c r="J98" s="71"/>
    </row>
    <row r="99" spans="1:10" ht="13" x14ac:dyDescent="0.3">
      <c r="A99" s="39"/>
      <c r="C99" s="72"/>
      <c r="D99" s="73"/>
      <c r="E99" s="45"/>
      <c r="F99" s="45"/>
      <c r="G99" s="70"/>
      <c r="H99" s="45"/>
      <c r="J99" s="71"/>
    </row>
    <row r="100" spans="1:10" ht="13" x14ac:dyDescent="0.3">
      <c r="A100" s="39"/>
      <c r="B100" s="36" t="s">
        <v>136</v>
      </c>
    </row>
    <row r="101" spans="1:10" ht="13" x14ac:dyDescent="0.3">
      <c r="A101" s="39"/>
    </row>
    <row r="102" spans="1:10" ht="13" x14ac:dyDescent="0.3">
      <c r="A102" s="39"/>
      <c r="E102" s="43" t="s">
        <v>110</v>
      </c>
      <c r="F102" s="42" t="s">
        <v>96</v>
      </c>
    </row>
    <row r="103" spans="1:10" ht="13" x14ac:dyDescent="0.3">
      <c r="B103" s="64" t="s">
        <v>137</v>
      </c>
      <c r="E103" s="53">
        <f>E96+E97</f>
        <v>5.6848332774048153E-2</v>
      </c>
      <c r="F103" s="45" t="str">
        <f>"Sum of Lines "&amp;B96&amp;" to "&amp;B97&amp;""</f>
        <v>Sum of Lines h to i</v>
      </c>
    </row>
    <row r="104" spans="1:10" ht="13" x14ac:dyDescent="0.3">
      <c r="A104" s="39"/>
      <c r="E104" s="53"/>
      <c r="F104" s="45"/>
    </row>
    <row r="105" spans="1:10" ht="13" x14ac:dyDescent="0.3">
      <c r="A105" s="39"/>
      <c r="B105" s="199" t="s">
        <v>158</v>
      </c>
      <c r="E105" s="70"/>
      <c r="F105" s="70"/>
      <c r="G105" s="70"/>
      <c r="H105" s="45"/>
    </row>
    <row r="106" spans="1:10" ht="13" x14ac:dyDescent="0.3">
      <c r="A106" s="39"/>
      <c r="B106" s="199" t="s">
        <v>159</v>
      </c>
    </row>
    <row r="107" spans="1:10" ht="13" x14ac:dyDescent="0.3">
      <c r="A107" s="39"/>
      <c r="B107" s="199" t="s">
        <v>160</v>
      </c>
      <c r="D107" s="39"/>
      <c r="E107" s="39"/>
      <c r="F107" s="39"/>
      <c r="G107" s="39"/>
      <c r="H107" s="39"/>
    </row>
    <row r="108" spans="1:10" ht="13" x14ac:dyDescent="0.3">
      <c r="A108" s="39"/>
      <c r="B108" s="44"/>
      <c r="D108" s="39"/>
      <c r="E108" s="39"/>
      <c r="F108" s="39"/>
      <c r="G108" s="39"/>
      <c r="H108" s="39"/>
    </row>
    <row r="109" spans="1:10" ht="13" x14ac:dyDescent="0.3">
      <c r="A109" s="39"/>
      <c r="C109" s="74"/>
      <c r="D109" s="74"/>
      <c r="E109" s="43"/>
      <c r="F109" s="43"/>
      <c r="G109" s="43"/>
      <c r="H109" s="43"/>
    </row>
    <row r="110" spans="1:10" ht="13" x14ac:dyDescent="0.3">
      <c r="A110" s="39"/>
    </row>
    <row r="111" spans="1:10" ht="13" x14ac:dyDescent="0.3">
      <c r="A111" s="39"/>
    </row>
    <row r="112" spans="1:10" ht="13" x14ac:dyDescent="0.3">
      <c r="A112" s="39"/>
    </row>
    <row r="113" spans="1:10" ht="13" x14ac:dyDescent="0.3">
      <c r="A113" s="39"/>
      <c r="C113" s="72"/>
      <c r="E113" s="45"/>
      <c r="F113" s="45"/>
      <c r="H113" s="45"/>
      <c r="J113" s="71"/>
    </row>
    <row r="114" spans="1:10" ht="13" x14ac:dyDescent="0.3">
      <c r="A114" s="39"/>
      <c r="C114" s="72"/>
      <c r="E114" s="45"/>
      <c r="F114" s="45"/>
      <c r="H114" s="45"/>
      <c r="J114" s="71"/>
    </row>
    <row r="115" spans="1:10" ht="13" x14ac:dyDescent="0.3">
      <c r="A115" s="40"/>
      <c r="C115" s="72"/>
      <c r="E115" s="45"/>
      <c r="F115" s="45"/>
      <c r="H115" s="45"/>
      <c r="J115" s="71"/>
    </row>
    <row r="116" spans="1:10" ht="13" x14ac:dyDescent="0.3">
      <c r="A116" s="39"/>
      <c r="D116" s="75"/>
      <c r="E116" s="45"/>
      <c r="F116" s="45"/>
      <c r="H116" s="45"/>
      <c r="J116" s="71"/>
    </row>
    <row r="117" spans="1:10" ht="13" x14ac:dyDescent="0.3">
      <c r="A117" s="39"/>
      <c r="C117" s="72"/>
      <c r="D117" s="55"/>
      <c r="E117" s="51"/>
      <c r="F117" s="45"/>
      <c r="H117" s="45"/>
      <c r="J117" s="71"/>
    </row>
    <row r="118" spans="1:10" ht="13" x14ac:dyDescent="0.3">
      <c r="A118" s="39"/>
      <c r="C118" s="72"/>
      <c r="D118" s="55"/>
      <c r="E118" s="45"/>
      <c r="F118" s="45"/>
      <c r="H118" s="45"/>
      <c r="J118" s="71"/>
    </row>
    <row r="119" spans="1:10" ht="13" x14ac:dyDescent="0.3">
      <c r="A119" s="39"/>
    </row>
    <row r="120" spans="1:10" ht="13" x14ac:dyDescent="0.3">
      <c r="A120" s="39"/>
      <c r="B120" s="35"/>
    </row>
    <row r="121" spans="1:10" ht="13" x14ac:dyDescent="0.3">
      <c r="A121" s="39"/>
    </row>
    <row r="122" spans="1:10" ht="13" x14ac:dyDescent="0.3">
      <c r="A122" s="39"/>
    </row>
    <row r="123" spans="1:10" ht="13" x14ac:dyDescent="0.3">
      <c r="A123" s="39"/>
      <c r="F123" s="39"/>
    </row>
    <row r="124" spans="1:10" ht="13" x14ac:dyDescent="0.3">
      <c r="A124" s="39"/>
      <c r="F124" s="39"/>
    </row>
    <row r="125" spans="1:10" ht="13" x14ac:dyDescent="0.3">
      <c r="A125" s="39"/>
      <c r="D125" s="39"/>
      <c r="E125" s="39"/>
      <c r="F125" s="39"/>
      <c r="H125" s="39"/>
    </row>
    <row r="126" spans="1:10" ht="13" x14ac:dyDescent="0.3">
      <c r="A126" s="39"/>
      <c r="D126" s="39"/>
      <c r="E126" s="39"/>
      <c r="F126" s="39"/>
      <c r="G126" s="39"/>
      <c r="H126" s="64"/>
    </row>
    <row r="127" spans="1:10" ht="13" x14ac:dyDescent="0.3">
      <c r="A127" s="40"/>
      <c r="C127" s="74"/>
      <c r="D127" s="74"/>
      <c r="E127" s="43"/>
      <c r="F127" s="76"/>
      <c r="G127" s="43"/>
      <c r="H127" s="64"/>
    </row>
    <row r="128" spans="1:10" ht="13" x14ac:dyDescent="0.3">
      <c r="A128" s="39"/>
      <c r="C128" s="72"/>
      <c r="D128" s="73"/>
      <c r="E128" s="45"/>
      <c r="F128" s="45"/>
      <c r="G128" s="65"/>
      <c r="H128" s="45"/>
    </row>
    <row r="129" spans="1:8" ht="13" x14ac:dyDescent="0.3">
      <c r="A129" s="39"/>
      <c r="C129" s="72"/>
      <c r="D129" s="73"/>
      <c r="E129" s="45"/>
      <c r="F129" s="45"/>
      <c r="G129" s="65"/>
      <c r="H129" s="45"/>
    </row>
    <row r="130" spans="1:8" ht="13" x14ac:dyDescent="0.3">
      <c r="A130" s="39"/>
      <c r="C130" s="72"/>
      <c r="D130" s="73"/>
      <c r="E130" s="45"/>
      <c r="F130" s="45"/>
      <c r="G130" s="65"/>
      <c r="H130" s="45"/>
    </row>
    <row r="131" spans="1:8" ht="13" x14ac:dyDescent="0.3">
      <c r="A131" s="39"/>
      <c r="C131" s="72"/>
      <c r="D131" s="73"/>
      <c r="E131" s="45"/>
      <c r="F131" s="45"/>
      <c r="G131" s="65"/>
      <c r="H131" s="45"/>
    </row>
    <row r="132" spans="1:8" ht="13" x14ac:dyDescent="0.3">
      <c r="A132" s="39"/>
      <c r="C132" s="72"/>
      <c r="D132" s="73"/>
      <c r="E132" s="45"/>
      <c r="F132" s="45"/>
      <c r="G132" s="65"/>
      <c r="H132" s="45"/>
    </row>
    <row r="133" spans="1:8" ht="13" x14ac:dyDescent="0.3">
      <c r="A133" s="39"/>
      <c r="C133" s="72"/>
      <c r="D133" s="73"/>
      <c r="E133" s="45"/>
      <c r="F133" s="45"/>
      <c r="G133" s="65"/>
      <c r="H133" s="45"/>
    </row>
    <row r="134" spans="1:8" ht="13" x14ac:dyDescent="0.3">
      <c r="A134" s="39"/>
      <c r="C134" s="72"/>
      <c r="D134" s="73"/>
      <c r="E134" s="45"/>
      <c r="F134" s="45"/>
      <c r="G134" s="65"/>
      <c r="H134" s="45"/>
    </row>
    <row r="135" spans="1:8" ht="13" x14ac:dyDescent="0.3">
      <c r="A135" s="39"/>
      <c r="C135" s="72"/>
      <c r="D135" s="73"/>
      <c r="E135" s="45"/>
      <c r="F135" s="45"/>
      <c r="G135" s="65"/>
      <c r="H135" s="45"/>
    </row>
    <row r="136" spans="1:8" ht="13" x14ac:dyDescent="0.3">
      <c r="A136" s="39"/>
      <c r="C136" s="72"/>
      <c r="D136" s="73"/>
      <c r="E136" s="45"/>
      <c r="F136" s="45"/>
      <c r="G136" s="65"/>
      <c r="H136" s="45"/>
    </row>
    <row r="137" spans="1:8" ht="13" x14ac:dyDescent="0.3">
      <c r="A137" s="39"/>
      <c r="C137" s="72"/>
      <c r="D137" s="73"/>
      <c r="E137" s="45"/>
      <c r="F137" s="45"/>
      <c r="G137" s="65"/>
      <c r="H137" s="45"/>
    </row>
    <row r="138" spans="1:8" ht="13" x14ac:dyDescent="0.3">
      <c r="A138" s="39"/>
      <c r="C138" s="72"/>
      <c r="D138" s="73"/>
      <c r="E138" s="45"/>
      <c r="F138" s="45"/>
      <c r="G138" s="65"/>
      <c r="H138" s="45"/>
    </row>
    <row r="139" spans="1:8" ht="13" x14ac:dyDescent="0.3">
      <c r="A139" s="39"/>
      <c r="C139" s="72"/>
      <c r="D139" s="73"/>
      <c r="E139" s="45"/>
      <c r="F139" s="45"/>
      <c r="G139" s="65"/>
      <c r="H139" s="51"/>
    </row>
    <row r="140" spans="1:8" ht="13" x14ac:dyDescent="0.3">
      <c r="A140" s="39"/>
      <c r="H140" s="45"/>
    </row>
    <row r="141" spans="1:8" ht="13" x14ac:dyDescent="0.3">
      <c r="A141" s="39"/>
      <c r="C141" s="72"/>
      <c r="D141" s="73"/>
      <c r="F141" s="77"/>
      <c r="G141" s="65"/>
      <c r="H141" s="77"/>
    </row>
    <row r="142" spans="1:8" ht="13" x14ac:dyDescent="0.3">
      <c r="A142" s="39"/>
      <c r="B142" s="35"/>
      <c r="C142" s="72"/>
      <c r="D142" s="73"/>
      <c r="F142" s="77"/>
      <c r="G142" s="65"/>
      <c r="H142" s="77"/>
    </row>
    <row r="143" spans="1:8" ht="13" x14ac:dyDescent="0.3">
      <c r="A143" s="40"/>
      <c r="B143" s="35"/>
      <c r="C143" s="72"/>
      <c r="D143" s="73"/>
      <c r="F143" s="77"/>
      <c r="G143" s="65"/>
      <c r="H143" s="77"/>
    </row>
    <row r="144" spans="1:8" ht="13" x14ac:dyDescent="0.3">
      <c r="A144" s="39"/>
      <c r="C144" s="72"/>
      <c r="D144" s="78"/>
      <c r="E144" s="45"/>
      <c r="F144" s="79"/>
      <c r="G144" s="65"/>
      <c r="H144" s="77"/>
    </row>
    <row r="145" spans="1:8" ht="13" x14ac:dyDescent="0.3">
      <c r="A145" s="39"/>
      <c r="C145" s="72"/>
      <c r="D145" s="55"/>
      <c r="E145" s="45"/>
      <c r="F145" s="79"/>
      <c r="G145" s="65"/>
      <c r="H145" s="77"/>
    </row>
    <row r="146" spans="1:8" ht="13" x14ac:dyDescent="0.3">
      <c r="A146" s="39"/>
      <c r="C146" s="72"/>
      <c r="D146" s="55"/>
      <c r="E146" s="51"/>
      <c r="F146" s="79"/>
      <c r="G146" s="65"/>
      <c r="H146" s="77"/>
    </row>
    <row r="147" spans="1:8" ht="13" x14ac:dyDescent="0.3">
      <c r="A147" s="39"/>
      <c r="C147" s="72"/>
      <c r="D147" s="78"/>
      <c r="E147" s="45"/>
      <c r="F147" s="77"/>
      <c r="G147" s="65"/>
      <c r="H147" s="77"/>
    </row>
    <row r="148" spans="1:8" ht="13" x14ac:dyDescent="0.3">
      <c r="A148" s="39"/>
      <c r="C148" s="72"/>
      <c r="D148" s="73"/>
      <c r="F148" s="77"/>
      <c r="G148" s="65"/>
      <c r="H148" s="77"/>
    </row>
    <row r="149" spans="1:8" ht="13" x14ac:dyDescent="0.3">
      <c r="A149" s="39"/>
    </row>
    <row r="150" spans="1:8" ht="13" x14ac:dyDescent="0.3">
      <c r="A150" s="39"/>
    </row>
    <row r="151" spans="1:8" ht="13" x14ac:dyDescent="0.3">
      <c r="A151" s="39"/>
    </row>
    <row r="152" spans="1:8" ht="13" x14ac:dyDescent="0.3">
      <c r="A152" s="39"/>
      <c r="B152" s="35"/>
    </row>
    <row r="153" spans="1:8" ht="13" x14ac:dyDescent="0.3">
      <c r="A153" s="39"/>
    </row>
    <row r="154" spans="1:8" ht="13" x14ac:dyDescent="0.3">
      <c r="A154" s="39"/>
    </row>
    <row r="155" spans="1:8" ht="13" x14ac:dyDescent="0.3">
      <c r="A155" s="39"/>
    </row>
    <row r="156" spans="1:8" ht="13" x14ac:dyDescent="0.3">
      <c r="A156" s="39"/>
    </row>
    <row r="157" spans="1:8" ht="13" x14ac:dyDescent="0.3">
      <c r="A157" s="39"/>
      <c r="B157" s="35"/>
    </row>
    <row r="158" spans="1:8" ht="13" x14ac:dyDescent="0.3">
      <c r="A158" s="39"/>
    </row>
    <row r="159" spans="1:8" ht="13" x14ac:dyDescent="0.3">
      <c r="A159" s="40"/>
      <c r="C159" s="74"/>
      <c r="D159" s="43"/>
    </row>
    <row r="160" spans="1:8" ht="13" x14ac:dyDescent="0.3">
      <c r="A160" s="39"/>
      <c r="C160" s="72"/>
      <c r="D160" s="80"/>
      <c r="F160" s="53"/>
    </row>
    <row r="161" spans="1:6" ht="13" x14ac:dyDescent="0.3">
      <c r="A161" s="39"/>
      <c r="C161" s="72"/>
      <c r="D161" s="80"/>
      <c r="F161" s="53"/>
    </row>
    <row r="162" spans="1:6" ht="13" x14ac:dyDescent="0.3">
      <c r="A162" s="39"/>
      <c r="C162" s="72"/>
      <c r="D162" s="80"/>
      <c r="F162" s="53"/>
    </row>
    <row r="163" spans="1:6" ht="13" x14ac:dyDescent="0.3">
      <c r="A163" s="39"/>
      <c r="C163" s="72"/>
      <c r="D163" s="80"/>
      <c r="F163" s="53"/>
    </row>
    <row r="164" spans="1:6" ht="13" x14ac:dyDescent="0.3">
      <c r="A164" s="39"/>
      <c r="C164" s="72"/>
      <c r="D164" s="80"/>
      <c r="F164" s="53"/>
    </row>
    <row r="165" spans="1:6" ht="13" x14ac:dyDescent="0.3">
      <c r="A165" s="39"/>
      <c r="C165" s="72"/>
      <c r="D165" s="80"/>
      <c r="F165" s="53"/>
    </row>
    <row r="166" spans="1:6" ht="13" x14ac:dyDescent="0.3">
      <c r="A166" s="39"/>
      <c r="C166" s="72"/>
      <c r="D166" s="80"/>
      <c r="F166" s="53"/>
    </row>
    <row r="167" spans="1:6" ht="13" x14ac:dyDescent="0.3">
      <c r="A167" s="39"/>
      <c r="C167" s="72"/>
      <c r="D167" s="80"/>
      <c r="F167" s="53"/>
    </row>
    <row r="168" spans="1:6" ht="13" x14ac:dyDescent="0.3">
      <c r="A168" s="39"/>
      <c r="C168" s="72"/>
      <c r="D168" s="80"/>
      <c r="F168" s="53"/>
    </row>
    <row r="169" spans="1:6" ht="13" x14ac:dyDescent="0.3">
      <c r="A169" s="39"/>
      <c r="C169" s="72"/>
      <c r="D169" s="80"/>
      <c r="F169" s="53"/>
    </row>
    <row r="170" spans="1:6" ht="13" x14ac:dyDescent="0.3">
      <c r="A170" s="39"/>
      <c r="C170" s="72"/>
      <c r="D170" s="80"/>
      <c r="F170" s="53"/>
    </row>
    <row r="171" spans="1:6" ht="13" x14ac:dyDescent="0.3">
      <c r="A171" s="39"/>
      <c r="C171" s="72"/>
      <c r="D171" s="81"/>
      <c r="F171" s="69"/>
    </row>
    <row r="172" spans="1:6" ht="13" x14ac:dyDescent="0.3">
      <c r="A172" s="39"/>
      <c r="C172" s="75"/>
      <c r="D172" s="80"/>
    </row>
  </sheetData>
  <mergeCells count="1">
    <mergeCell ref="K71:L71"/>
  </mergeCells>
  <pageMargins left="0.75" right="0.75" top="1" bottom="1" header="0.5" footer="0.5"/>
  <pageSetup scale="78" orientation="landscape" cellComments="asDisplayed" r:id="rId1"/>
  <headerFooter alignWithMargins="0">
    <oddHeader>&amp;CSchedule 4
True Up TRR
(Revised 2018 True Up TRR)&amp;RTO2022 Draft Annual Update
Attachment 4
WP-Schedule 3-One Time Adj Prior Period
Page &amp;P of &amp;N</oddHeader>
    <oddFooter>&amp;R&amp;A</oddFooter>
  </headerFooter>
  <rowBreaks count="4" manualBreakCount="4">
    <brk id="46" max="9" man="1"/>
    <brk id="73" max="16383" man="1"/>
    <brk id="119" max="9" man="1"/>
    <brk id="151"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9EF67-A614-4319-BD78-DF7E01CA2217}">
  <dimension ref="A1:X104"/>
  <sheetViews>
    <sheetView zoomScaleNormal="100" workbookViewId="0"/>
  </sheetViews>
  <sheetFormatPr defaultColWidth="8.7265625" defaultRowHeight="12.5" x14ac:dyDescent="0.25"/>
  <cols>
    <col min="1" max="1" width="4.7265625" style="36" customWidth="1"/>
    <col min="2" max="2" width="2.7265625" style="36" customWidth="1"/>
    <col min="3" max="3" width="8.7265625" style="36" customWidth="1"/>
    <col min="4" max="4" width="32.54296875" style="36" customWidth="1"/>
    <col min="5" max="5" width="14.7265625" style="36" customWidth="1"/>
    <col min="6" max="6" width="15.7265625" style="36" customWidth="1"/>
    <col min="7" max="8" width="14.7265625" style="36" customWidth="1"/>
    <col min="9" max="9" width="20" style="36" customWidth="1"/>
    <col min="10" max="10" width="15.81640625" style="36" customWidth="1"/>
    <col min="11" max="11" width="11" style="36" bestFit="1" customWidth="1"/>
    <col min="12" max="16384" width="8.7265625" style="36"/>
  </cols>
  <sheetData>
    <row r="1" spans="1:24" ht="13" x14ac:dyDescent="0.3">
      <c r="A1" s="35" t="s">
        <v>199</v>
      </c>
      <c r="F1" s="156" t="s">
        <v>200</v>
      </c>
      <c r="G1" s="66"/>
      <c r="H1" s="70"/>
      <c r="I1" s="70"/>
    </row>
    <row r="2" spans="1:24" ht="13" x14ac:dyDescent="0.3">
      <c r="E2" s="76" t="s">
        <v>201</v>
      </c>
      <c r="F2" s="76" t="s">
        <v>202</v>
      </c>
      <c r="G2" s="76" t="s">
        <v>203</v>
      </c>
      <c r="H2" s="76" t="s">
        <v>204</v>
      </c>
      <c r="I2" s="70"/>
    </row>
    <row r="3" spans="1:24" x14ac:dyDescent="0.25">
      <c r="G3" s="70" t="s">
        <v>205</v>
      </c>
    </row>
    <row r="4" spans="1:24" ht="13" x14ac:dyDescent="0.3">
      <c r="E4" s="39" t="s">
        <v>206</v>
      </c>
      <c r="F4" s="143" t="s">
        <v>207</v>
      </c>
      <c r="G4" s="39" t="s">
        <v>208</v>
      </c>
      <c r="I4" s="39"/>
    </row>
    <row r="5" spans="1:24" ht="13" x14ac:dyDescent="0.3">
      <c r="A5" s="40" t="s">
        <v>39</v>
      </c>
      <c r="B5" s="43"/>
      <c r="C5" s="43" t="s">
        <v>209</v>
      </c>
      <c r="D5" s="43" t="s">
        <v>31</v>
      </c>
      <c r="E5" s="43" t="s">
        <v>32</v>
      </c>
      <c r="F5" s="74" t="s">
        <v>33</v>
      </c>
      <c r="G5" s="43" t="s">
        <v>210</v>
      </c>
      <c r="H5" s="43" t="s">
        <v>82</v>
      </c>
      <c r="I5" s="43" t="s">
        <v>42</v>
      </c>
      <c r="K5" s="43"/>
      <c r="L5" s="43"/>
      <c r="M5" s="43"/>
      <c r="N5" s="43"/>
      <c r="O5" s="43"/>
      <c r="P5" s="43"/>
      <c r="Q5" s="43"/>
      <c r="R5" s="43"/>
      <c r="S5" s="43"/>
      <c r="T5" s="43"/>
      <c r="U5" s="43"/>
      <c r="V5" s="43"/>
      <c r="W5" s="43"/>
      <c r="X5" s="43"/>
    </row>
    <row r="6" spans="1:24" ht="13" x14ac:dyDescent="0.3">
      <c r="A6" s="39">
        <v>1</v>
      </c>
      <c r="C6" s="70">
        <v>920</v>
      </c>
      <c r="D6" s="36" t="s">
        <v>211</v>
      </c>
      <c r="E6" s="157">
        <v>380019593</v>
      </c>
      <c r="F6" s="70" t="s">
        <v>212</v>
      </c>
      <c r="G6" s="48">
        <f>D37</f>
        <v>97483049.662320316</v>
      </c>
      <c r="H6" s="48">
        <f t="shared" ref="H6:H19" si="0">E6-G6</f>
        <v>282536543.33767968</v>
      </c>
    </row>
    <row r="7" spans="1:24" ht="13" x14ac:dyDescent="0.3">
      <c r="A7" s="39">
        <f>A6+1</f>
        <v>2</v>
      </c>
      <c r="C7" s="70">
        <v>921</v>
      </c>
      <c r="D7" s="36" t="s">
        <v>213</v>
      </c>
      <c r="E7" s="157">
        <v>243397352</v>
      </c>
      <c r="F7" s="70" t="s">
        <v>214</v>
      </c>
      <c r="G7" s="45">
        <f t="shared" ref="G7:G19" si="1">D38</f>
        <v>8604255.4699999988</v>
      </c>
      <c r="H7" s="45">
        <f t="shared" si="0"/>
        <v>234793096.53</v>
      </c>
    </row>
    <row r="8" spans="1:24" ht="13" x14ac:dyDescent="0.3">
      <c r="A8" s="39">
        <f>A7+1</f>
        <v>3</v>
      </c>
      <c r="C8" s="70">
        <v>922</v>
      </c>
      <c r="D8" s="36" t="s">
        <v>215</v>
      </c>
      <c r="E8" s="157">
        <v>-153376384</v>
      </c>
      <c r="F8" s="70" t="s">
        <v>216</v>
      </c>
      <c r="G8" s="45">
        <f t="shared" si="1"/>
        <v>-62480935.075400002</v>
      </c>
      <c r="H8" s="45">
        <f t="shared" si="0"/>
        <v>-90895448.924600005</v>
      </c>
      <c r="I8" s="41" t="s">
        <v>217</v>
      </c>
    </row>
    <row r="9" spans="1:24" ht="13" x14ac:dyDescent="0.3">
      <c r="A9" s="39">
        <f t="shared" ref="A9:A20" si="2">A8+1</f>
        <v>4</v>
      </c>
      <c r="B9" s="39"/>
      <c r="C9" s="70">
        <v>923</v>
      </c>
      <c r="D9" s="36" t="s">
        <v>218</v>
      </c>
      <c r="E9" s="157">
        <v>54239013</v>
      </c>
      <c r="F9" s="70" t="s">
        <v>219</v>
      </c>
      <c r="G9" s="48">
        <f t="shared" si="1"/>
        <v>8764723.9679565895</v>
      </c>
      <c r="H9" s="48">
        <f t="shared" si="0"/>
        <v>45474289.032043412</v>
      </c>
    </row>
    <row r="10" spans="1:24" ht="13" x14ac:dyDescent="0.3">
      <c r="A10" s="39">
        <f t="shared" si="2"/>
        <v>5</v>
      </c>
      <c r="B10" s="39"/>
      <c r="C10" s="70">
        <v>924</v>
      </c>
      <c r="D10" s="36" t="s">
        <v>220</v>
      </c>
      <c r="E10" s="157">
        <v>16155127</v>
      </c>
      <c r="F10" s="70" t="s">
        <v>221</v>
      </c>
      <c r="G10" s="45">
        <f t="shared" si="1"/>
        <v>0</v>
      </c>
      <c r="H10" s="45">
        <f t="shared" si="0"/>
        <v>16155127</v>
      </c>
    </row>
    <row r="11" spans="1:24" ht="13" x14ac:dyDescent="0.3">
      <c r="A11" s="39">
        <f t="shared" si="2"/>
        <v>6</v>
      </c>
      <c r="B11" s="39"/>
      <c r="C11" s="70">
        <v>925</v>
      </c>
      <c r="D11" s="36" t="s">
        <v>222</v>
      </c>
      <c r="E11" s="157">
        <v>2996146771</v>
      </c>
      <c r="F11" s="70" t="s">
        <v>223</v>
      </c>
      <c r="G11" s="45">
        <f t="shared" si="1"/>
        <v>3991252.14</v>
      </c>
      <c r="H11" s="45">
        <f t="shared" si="0"/>
        <v>2992155518.8600001</v>
      </c>
    </row>
    <row r="12" spans="1:24" ht="13" x14ac:dyDescent="0.3">
      <c r="A12" s="39">
        <f t="shared" si="2"/>
        <v>7</v>
      </c>
      <c r="B12" s="39"/>
      <c r="C12" s="70">
        <v>926</v>
      </c>
      <c r="D12" s="36" t="s">
        <v>224</v>
      </c>
      <c r="E12" s="157">
        <v>115626278</v>
      </c>
      <c r="F12" s="70" t="s">
        <v>225</v>
      </c>
      <c r="G12" s="45">
        <f t="shared" si="1"/>
        <v>-12067035</v>
      </c>
      <c r="H12" s="45">
        <f t="shared" si="0"/>
        <v>127693313</v>
      </c>
    </row>
    <row r="13" spans="1:24" ht="13" x14ac:dyDescent="0.3">
      <c r="A13" s="39">
        <f t="shared" si="2"/>
        <v>8</v>
      </c>
      <c r="B13" s="39"/>
      <c r="C13" s="70">
        <v>927</v>
      </c>
      <c r="D13" s="36" t="s">
        <v>226</v>
      </c>
      <c r="E13" s="157">
        <v>113911175</v>
      </c>
      <c r="F13" s="70" t="s">
        <v>227</v>
      </c>
      <c r="G13" s="45">
        <f t="shared" si="1"/>
        <v>113911175</v>
      </c>
      <c r="H13" s="45">
        <f t="shared" si="0"/>
        <v>0</v>
      </c>
    </row>
    <row r="14" spans="1:24" ht="13" x14ac:dyDescent="0.3">
      <c r="A14" s="39">
        <f t="shared" si="2"/>
        <v>9</v>
      </c>
      <c r="B14" s="39"/>
      <c r="C14" s="70">
        <v>928</v>
      </c>
      <c r="D14" s="36" t="s">
        <v>228</v>
      </c>
      <c r="E14" s="157">
        <v>11239506</v>
      </c>
      <c r="F14" s="70" t="s">
        <v>229</v>
      </c>
      <c r="G14" s="45">
        <f t="shared" si="1"/>
        <v>11197494.479999999</v>
      </c>
      <c r="H14" s="45">
        <f t="shared" si="0"/>
        <v>42011.520000001416</v>
      </c>
    </row>
    <row r="15" spans="1:24" ht="13" x14ac:dyDescent="0.3">
      <c r="A15" s="39">
        <f t="shared" si="2"/>
        <v>10</v>
      </c>
      <c r="B15" s="39"/>
      <c r="C15" s="70">
        <v>929</v>
      </c>
      <c r="D15" s="36" t="s">
        <v>230</v>
      </c>
      <c r="E15" s="157">
        <v>0</v>
      </c>
      <c r="F15" s="70" t="s">
        <v>231</v>
      </c>
      <c r="G15" s="45">
        <f t="shared" si="1"/>
        <v>0</v>
      </c>
      <c r="H15" s="45">
        <f t="shared" si="0"/>
        <v>0</v>
      </c>
    </row>
    <row r="16" spans="1:24" ht="13" x14ac:dyDescent="0.3">
      <c r="A16" s="39">
        <f t="shared" si="2"/>
        <v>11</v>
      </c>
      <c r="B16" s="39"/>
      <c r="C16" s="70">
        <v>930.1</v>
      </c>
      <c r="D16" s="36" t="s">
        <v>232</v>
      </c>
      <c r="E16" s="157">
        <v>6438097</v>
      </c>
      <c r="F16" s="70" t="s">
        <v>233</v>
      </c>
      <c r="G16" s="45">
        <f t="shared" si="1"/>
        <v>0</v>
      </c>
      <c r="H16" s="45">
        <f t="shared" si="0"/>
        <v>6438097</v>
      </c>
    </row>
    <row r="17" spans="1:8" ht="13" x14ac:dyDescent="0.3">
      <c r="A17" s="39">
        <f t="shared" si="2"/>
        <v>12</v>
      </c>
      <c r="B17" s="39"/>
      <c r="C17" s="70">
        <v>930.2</v>
      </c>
      <c r="D17" s="36" t="s">
        <v>234</v>
      </c>
      <c r="E17" s="157">
        <v>23890761</v>
      </c>
      <c r="F17" s="70" t="s">
        <v>235</v>
      </c>
      <c r="G17" s="45">
        <f t="shared" si="1"/>
        <v>14064692.309999999</v>
      </c>
      <c r="H17" s="45">
        <f t="shared" si="0"/>
        <v>9826068.6900000013</v>
      </c>
    </row>
    <row r="18" spans="1:8" ht="13" x14ac:dyDescent="0.3">
      <c r="A18" s="39">
        <f t="shared" si="2"/>
        <v>13</v>
      </c>
      <c r="B18" s="39"/>
      <c r="C18" s="70">
        <v>931</v>
      </c>
      <c r="D18" s="36" t="s">
        <v>236</v>
      </c>
      <c r="E18" s="157">
        <v>8428057</v>
      </c>
      <c r="F18" s="70" t="s">
        <v>237</v>
      </c>
      <c r="G18" s="45">
        <f t="shared" si="1"/>
        <v>11993181.66</v>
      </c>
      <c r="H18" s="45">
        <f t="shared" si="0"/>
        <v>-3565124.66</v>
      </c>
    </row>
    <row r="19" spans="1:8" ht="13" x14ac:dyDescent="0.3">
      <c r="A19" s="39">
        <f t="shared" si="2"/>
        <v>14</v>
      </c>
      <c r="B19" s="39"/>
      <c r="C19" s="70">
        <v>935</v>
      </c>
      <c r="D19" s="36" t="s">
        <v>238</v>
      </c>
      <c r="E19" s="158">
        <v>18830965</v>
      </c>
      <c r="F19" s="70" t="s">
        <v>239</v>
      </c>
      <c r="G19" s="45">
        <f t="shared" si="1"/>
        <v>699127.86</v>
      </c>
      <c r="H19" s="51">
        <f t="shared" si="0"/>
        <v>18131837.140000001</v>
      </c>
    </row>
    <row r="20" spans="1:8" ht="13" x14ac:dyDescent="0.3">
      <c r="A20" s="39">
        <f t="shared" si="2"/>
        <v>15</v>
      </c>
      <c r="E20" s="45">
        <f>SUM(E6:E19)</f>
        <v>3834946311</v>
      </c>
      <c r="G20" s="55" t="s">
        <v>240</v>
      </c>
      <c r="H20" s="48">
        <f>SUM(H6:H19)</f>
        <v>3638785328.5251231</v>
      </c>
    </row>
    <row r="22" spans="1:8" ht="13" x14ac:dyDescent="0.3">
      <c r="F22" s="43" t="s">
        <v>32</v>
      </c>
      <c r="G22" s="43" t="s">
        <v>33</v>
      </c>
    </row>
    <row r="23" spans="1:8" ht="13" x14ac:dyDescent="0.3">
      <c r="A23" s="39">
        <f>A20+1</f>
        <v>16</v>
      </c>
      <c r="E23" s="55" t="s">
        <v>241</v>
      </c>
      <c r="F23" s="48">
        <f>H20</f>
        <v>3638785328.5251231</v>
      </c>
      <c r="G23" s="41" t="str">
        <f>"Line "&amp;A20&amp;""</f>
        <v>Line 15</v>
      </c>
    </row>
    <row r="24" spans="1:8" ht="13" x14ac:dyDescent="0.3">
      <c r="A24" s="39">
        <f t="shared" ref="A24:A30" si="3">A23+1</f>
        <v>17</v>
      </c>
      <c r="E24" s="55" t="s">
        <v>242</v>
      </c>
      <c r="F24" s="51">
        <f>E10</f>
        <v>16155127</v>
      </c>
      <c r="G24" s="41" t="str">
        <f>"Line "&amp;A10&amp;""</f>
        <v>Line 5</v>
      </c>
    </row>
    <row r="25" spans="1:8" ht="13" x14ac:dyDescent="0.3">
      <c r="A25" s="39">
        <f t="shared" si="3"/>
        <v>18</v>
      </c>
      <c r="E25" s="55" t="s">
        <v>243</v>
      </c>
      <c r="F25" s="48">
        <f>F23-F24</f>
        <v>3622630201.5251231</v>
      </c>
      <c r="G25" s="41" t="str">
        <f>"Line "&amp;A23&amp;" - Line "&amp;A24&amp;""</f>
        <v>Line 16 - Line 17</v>
      </c>
    </row>
    <row r="26" spans="1:8" ht="13" x14ac:dyDescent="0.3">
      <c r="A26" s="39">
        <f t="shared" si="3"/>
        <v>19</v>
      </c>
      <c r="E26" s="55" t="s">
        <v>244</v>
      </c>
      <c r="F26" s="69">
        <v>5.742655010962041E-2</v>
      </c>
      <c r="G26" s="41" t="s">
        <v>245</v>
      </c>
    </row>
    <row r="27" spans="1:8" ht="13" x14ac:dyDescent="0.3">
      <c r="A27" s="39">
        <f t="shared" si="3"/>
        <v>20</v>
      </c>
      <c r="E27" s="55" t="s">
        <v>246</v>
      </c>
      <c r="F27" s="48">
        <f>F25*F26</f>
        <v>208035154.79650676</v>
      </c>
      <c r="G27" s="41" t="str">
        <f>"Line "&amp;A25&amp;" * Line "&amp;A26&amp;""</f>
        <v>Line 18 * Line 19</v>
      </c>
    </row>
    <row r="28" spans="1:8" ht="13" x14ac:dyDescent="0.3">
      <c r="A28" s="39">
        <f t="shared" si="3"/>
        <v>21</v>
      </c>
      <c r="E28" s="55" t="s">
        <v>247</v>
      </c>
      <c r="F28" s="53">
        <v>0.18742153560119321</v>
      </c>
      <c r="G28" s="41" t="s">
        <v>248</v>
      </c>
    </row>
    <row r="29" spans="1:8" ht="13" x14ac:dyDescent="0.3">
      <c r="A29" s="39">
        <f t="shared" si="3"/>
        <v>22</v>
      </c>
      <c r="E29" s="55" t="s">
        <v>249</v>
      </c>
      <c r="F29" s="51">
        <f>H10*F28</f>
        <v>3027818.7101722974</v>
      </c>
      <c r="G29" s="41" t="str">
        <f>"Line "&amp;A10&amp;" Col 4 * Line "&amp;A28&amp;""</f>
        <v>Line 5 Col 4 * Line 21</v>
      </c>
    </row>
    <row r="30" spans="1:8" ht="13" x14ac:dyDescent="0.3">
      <c r="A30" s="39">
        <f t="shared" si="3"/>
        <v>23</v>
      </c>
      <c r="E30" s="55" t="s">
        <v>250</v>
      </c>
      <c r="F30" s="48">
        <f>F27+F29</f>
        <v>211062973.50667906</v>
      </c>
      <c r="G30" s="41" t="str">
        <f>"Line "&amp;A27&amp;" + Line "&amp;A29&amp;""</f>
        <v>Line 20 + Line 22</v>
      </c>
    </row>
    <row r="32" spans="1:8" ht="13" x14ac:dyDescent="0.3">
      <c r="B32" s="35" t="s">
        <v>251</v>
      </c>
      <c r="E32" s="76" t="s">
        <v>201</v>
      </c>
      <c r="F32" s="76" t="s">
        <v>202</v>
      </c>
      <c r="G32" s="76" t="s">
        <v>203</v>
      </c>
      <c r="H32" s="76" t="s">
        <v>204</v>
      </c>
    </row>
    <row r="33" spans="1:11" ht="13" x14ac:dyDescent="0.3">
      <c r="B33" s="35"/>
      <c r="E33" s="39" t="s">
        <v>252</v>
      </c>
      <c r="F33" s="76"/>
      <c r="G33" s="76"/>
      <c r="H33" s="76"/>
    </row>
    <row r="34" spans="1:11" ht="13" x14ac:dyDescent="0.3">
      <c r="E34" s="39" t="s">
        <v>253</v>
      </c>
    </row>
    <row r="35" spans="1:11" ht="13" x14ac:dyDescent="0.3">
      <c r="D35" s="39" t="s">
        <v>254</v>
      </c>
      <c r="E35" s="39" t="s">
        <v>255</v>
      </c>
      <c r="F35" s="39" t="s">
        <v>256</v>
      </c>
      <c r="G35" s="39"/>
      <c r="H35" s="39"/>
    </row>
    <row r="36" spans="1:11" ht="13.5" thickBot="1" x14ac:dyDescent="0.35">
      <c r="C36" s="43" t="s">
        <v>209</v>
      </c>
      <c r="D36" s="76" t="s">
        <v>257</v>
      </c>
      <c r="E36" s="43" t="s">
        <v>258</v>
      </c>
      <c r="F36" s="43" t="s">
        <v>259</v>
      </c>
      <c r="G36" s="43" t="s">
        <v>260</v>
      </c>
      <c r="H36" s="43" t="s">
        <v>261</v>
      </c>
      <c r="I36" s="43" t="s">
        <v>42</v>
      </c>
    </row>
    <row r="37" spans="1:11" ht="13.5" thickBot="1" x14ac:dyDescent="0.35">
      <c r="A37" s="39">
        <f>A30+1</f>
        <v>24</v>
      </c>
      <c r="C37" s="70">
        <v>920</v>
      </c>
      <c r="D37" s="161">
        <f>SUM(E37:H37)</f>
        <v>97483049.662320316</v>
      </c>
      <c r="E37" s="162">
        <v>-21943252.750439342</v>
      </c>
      <c r="F37" s="163"/>
      <c r="G37" s="45">
        <f>G58</f>
        <v>119426302.41275966</v>
      </c>
      <c r="H37" s="163"/>
      <c r="I37" s="41" t="s">
        <v>262</v>
      </c>
    </row>
    <row r="38" spans="1:11" ht="13" x14ac:dyDescent="0.3">
      <c r="A38" s="39">
        <f>A37+1</f>
        <v>25</v>
      </c>
      <c r="C38" s="70">
        <v>921</v>
      </c>
      <c r="D38" s="164">
        <f t="shared" ref="D38:D50" si="4">SUM(E38:H38)</f>
        <v>8604255.4699999988</v>
      </c>
      <c r="E38" s="163">
        <v>8604255.4699999988</v>
      </c>
      <c r="F38" s="163"/>
      <c r="G38" s="163">
        <v>0</v>
      </c>
      <c r="H38" s="163"/>
      <c r="I38" s="41"/>
    </row>
    <row r="39" spans="1:11" ht="13.5" thickBot="1" x14ac:dyDescent="0.35">
      <c r="A39" s="39">
        <f t="shared" ref="A39:A50" si="5">A38+1</f>
        <v>26</v>
      </c>
      <c r="C39" s="70">
        <v>922</v>
      </c>
      <c r="D39" s="164">
        <f t="shared" si="4"/>
        <v>-62480935.075400002</v>
      </c>
      <c r="E39" s="163">
        <v>-7944352.0754000004</v>
      </c>
      <c r="F39" s="163"/>
      <c r="G39" s="144">
        <v>-54536583</v>
      </c>
      <c r="H39" s="163"/>
      <c r="I39" s="41"/>
    </row>
    <row r="40" spans="1:11" ht="13.5" thickBot="1" x14ac:dyDescent="0.35">
      <c r="A40" s="39">
        <f t="shared" si="5"/>
        <v>27</v>
      </c>
      <c r="C40" s="70">
        <v>923</v>
      </c>
      <c r="D40" s="161">
        <f t="shared" si="4"/>
        <v>8764723.9679565895</v>
      </c>
      <c r="E40" s="162">
        <v>8764723.9679565895</v>
      </c>
      <c r="F40" s="163"/>
      <c r="G40" s="163">
        <v>0</v>
      </c>
      <c r="H40" s="163"/>
      <c r="I40" s="41"/>
      <c r="J40" s="43"/>
      <c r="K40" s="43"/>
    </row>
    <row r="41" spans="1:11" ht="13" x14ac:dyDescent="0.3">
      <c r="A41" s="39">
        <f t="shared" si="5"/>
        <v>28</v>
      </c>
      <c r="C41" s="70">
        <v>924</v>
      </c>
      <c r="D41" s="164">
        <f t="shared" si="4"/>
        <v>0</v>
      </c>
      <c r="E41" s="163">
        <v>0</v>
      </c>
      <c r="F41" s="163"/>
      <c r="G41" s="163">
        <v>0</v>
      </c>
      <c r="H41" s="163"/>
      <c r="I41" s="41"/>
      <c r="K41" s="45"/>
    </row>
    <row r="42" spans="1:11" ht="13" x14ac:dyDescent="0.3">
      <c r="A42" s="39">
        <f t="shared" si="5"/>
        <v>29</v>
      </c>
      <c r="C42" s="70">
        <v>925</v>
      </c>
      <c r="D42" s="164">
        <f t="shared" si="4"/>
        <v>3991252.14</v>
      </c>
      <c r="E42" s="163">
        <v>3991252.14</v>
      </c>
      <c r="F42" s="163"/>
      <c r="G42" s="163">
        <v>0</v>
      </c>
      <c r="H42" s="163"/>
      <c r="I42" s="41"/>
      <c r="K42" s="45"/>
    </row>
    <row r="43" spans="1:11" ht="13" x14ac:dyDescent="0.3">
      <c r="A43" s="39">
        <f t="shared" si="5"/>
        <v>30</v>
      </c>
      <c r="C43" s="70">
        <v>926</v>
      </c>
      <c r="D43" s="164">
        <f t="shared" si="4"/>
        <v>-12067035</v>
      </c>
      <c r="E43" s="163">
        <v>9885298</v>
      </c>
      <c r="F43" s="163"/>
      <c r="G43" s="163">
        <v>0</v>
      </c>
      <c r="H43" s="45">
        <f>E71</f>
        <v>-21952333</v>
      </c>
      <c r="I43" s="41" t="s">
        <v>263</v>
      </c>
      <c r="K43" s="45"/>
    </row>
    <row r="44" spans="1:11" ht="13" x14ac:dyDescent="0.3">
      <c r="A44" s="39">
        <f t="shared" si="5"/>
        <v>31</v>
      </c>
      <c r="C44" s="70">
        <v>927</v>
      </c>
      <c r="D44" s="164">
        <f t="shared" si="4"/>
        <v>113911175</v>
      </c>
      <c r="E44" s="45">
        <v>0</v>
      </c>
      <c r="F44" s="45">
        <f>E13</f>
        <v>113911175</v>
      </c>
      <c r="G44" s="45">
        <v>0</v>
      </c>
      <c r="H44" s="45">
        <v>0</v>
      </c>
      <c r="I44" s="41" t="s">
        <v>264</v>
      </c>
      <c r="K44" s="45"/>
    </row>
    <row r="45" spans="1:11" ht="13" x14ac:dyDescent="0.3">
      <c r="A45" s="39">
        <f t="shared" si="5"/>
        <v>32</v>
      </c>
      <c r="C45" s="70">
        <v>928</v>
      </c>
      <c r="D45" s="164">
        <f t="shared" si="4"/>
        <v>11197494.479999999</v>
      </c>
      <c r="E45" s="163">
        <v>11197494.479999999</v>
      </c>
      <c r="F45" s="163"/>
      <c r="G45" s="163">
        <v>0</v>
      </c>
      <c r="H45" s="163"/>
      <c r="I45" s="41"/>
      <c r="K45" s="45"/>
    </row>
    <row r="46" spans="1:11" ht="13" x14ac:dyDescent="0.3">
      <c r="A46" s="39">
        <f t="shared" si="5"/>
        <v>33</v>
      </c>
      <c r="C46" s="70">
        <v>929</v>
      </c>
      <c r="D46" s="164">
        <f t="shared" si="4"/>
        <v>0</v>
      </c>
      <c r="E46" s="163">
        <v>0</v>
      </c>
      <c r="F46" s="163"/>
      <c r="G46" s="163">
        <v>0</v>
      </c>
      <c r="H46" s="163"/>
      <c r="I46" s="41"/>
      <c r="K46" s="45"/>
    </row>
    <row r="47" spans="1:11" ht="13" x14ac:dyDescent="0.3">
      <c r="A47" s="39">
        <f t="shared" si="5"/>
        <v>34</v>
      </c>
      <c r="C47" s="70">
        <v>930.1</v>
      </c>
      <c r="D47" s="164">
        <f t="shared" si="4"/>
        <v>0</v>
      </c>
      <c r="E47" s="163">
        <v>0</v>
      </c>
      <c r="F47" s="163"/>
      <c r="G47" s="163">
        <v>0</v>
      </c>
      <c r="H47" s="163"/>
      <c r="I47" s="41"/>
      <c r="K47" s="45"/>
    </row>
    <row r="48" spans="1:11" ht="13" x14ac:dyDescent="0.3">
      <c r="A48" s="39">
        <f t="shared" si="5"/>
        <v>35</v>
      </c>
      <c r="C48" s="70">
        <v>930.2</v>
      </c>
      <c r="D48" s="164">
        <f t="shared" si="4"/>
        <v>14064692.309999999</v>
      </c>
      <c r="E48" s="163">
        <v>14064692.309999999</v>
      </c>
      <c r="F48" s="163"/>
      <c r="G48" s="163">
        <v>0</v>
      </c>
      <c r="H48" s="163"/>
      <c r="I48" s="41"/>
      <c r="J48" s="45"/>
    </row>
    <row r="49" spans="1:10" ht="13" x14ac:dyDescent="0.3">
      <c r="A49" s="39">
        <f t="shared" si="5"/>
        <v>36</v>
      </c>
      <c r="C49" s="70">
        <v>931</v>
      </c>
      <c r="D49" s="164">
        <f t="shared" si="4"/>
        <v>11993181.66</v>
      </c>
      <c r="E49" s="163">
        <v>11993181.66</v>
      </c>
      <c r="F49" s="163"/>
      <c r="G49" s="163">
        <v>0</v>
      </c>
      <c r="H49" s="163"/>
      <c r="I49" s="41"/>
      <c r="J49" s="45"/>
    </row>
    <row r="50" spans="1:10" ht="13" x14ac:dyDescent="0.3">
      <c r="A50" s="39">
        <f t="shared" si="5"/>
        <v>37</v>
      </c>
      <c r="C50" s="70">
        <v>935</v>
      </c>
      <c r="D50" s="164">
        <f t="shared" si="4"/>
        <v>699127.86</v>
      </c>
      <c r="E50" s="163">
        <v>699127.86</v>
      </c>
      <c r="F50" s="163"/>
      <c r="G50" s="163">
        <v>0</v>
      </c>
      <c r="H50" s="163"/>
      <c r="I50" s="41"/>
    </row>
    <row r="51" spans="1:10" ht="13" x14ac:dyDescent="0.3">
      <c r="A51" s="39"/>
      <c r="C51" s="70"/>
      <c r="D51" s="164"/>
      <c r="E51" s="45"/>
      <c r="F51" s="45"/>
      <c r="G51" s="45"/>
      <c r="H51" s="45"/>
      <c r="I51" s="41"/>
    </row>
    <row r="52" spans="1:10" ht="13" x14ac:dyDescent="0.3">
      <c r="B52" s="35" t="s">
        <v>265</v>
      </c>
    </row>
    <row r="53" spans="1:10" ht="13" x14ac:dyDescent="0.3">
      <c r="B53" s="35"/>
      <c r="C53" s="36" t="s">
        <v>266</v>
      </c>
      <c r="G53" s="39"/>
      <c r="H53" s="39"/>
    </row>
    <row r="54" spans="1:10" ht="13" x14ac:dyDescent="0.3">
      <c r="B54" s="35"/>
      <c r="C54" s="63" t="s">
        <v>267</v>
      </c>
      <c r="D54" s="63"/>
      <c r="E54" s="63"/>
      <c r="G54" s="39"/>
      <c r="H54" s="39"/>
    </row>
    <row r="55" spans="1:10" ht="13" x14ac:dyDescent="0.3">
      <c r="B55" s="35"/>
      <c r="G55" s="43" t="s">
        <v>32</v>
      </c>
      <c r="H55" s="43" t="s">
        <v>33</v>
      </c>
    </row>
    <row r="56" spans="1:10" ht="13" x14ac:dyDescent="0.3">
      <c r="A56" s="39"/>
      <c r="B56" s="39" t="s">
        <v>114</v>
      </c>
      <c r="F56" s="55" t="s">
        <v>268</v>
      </c>
      <c r="G56" s="163">
        <v>137026591.07999963</v>
      </c>
      <c r="H56" s="41" t="s">
        <v>269</v>
      </c>
    </row>
    <row r="57" spans="1:10" ht="13" x14ac:dyDescent="0.3">
      <c r="A57" s="39"/>
      <c r="B57" s="39" t="s">
        <v>116</v>
      </c>
      <c r="F57" s="55" t="s">
        <v>270</v>
      </c>
      <c r="G57" s="51">
        <f>E61</f>
        <v>17600288.667239957</v>
      </c>
      <c r="H57" s="41" t="str">
        <f>"Note 2, "&amp;B61&amp;""</f>
        <v>Note 2, d</v>
      </c>
    </row>
    <row r="58" spans="1:10" ht="13" x14ac:dyDescent="0.3">
      <c r="A58" s="39"/>
      <c r="B58" s="39" t="s">
        <v>119</v>
      </c>
      <c r="F58" s="55" t="s">
        <v>271</v>
      </c>
      <c r="G58" s="45">
        <f>G56-G57</f>
        <v>119426302.41275966</v>
      </c>
    </row>
    <row r="59" spans="1:10" ht="13" x14ac:dyDescent="0.3">
      <c r="A59" s="39"/>
      <c r="C59" s="63" t="s">
        <v>272</v>
      </c>
      <c r="D59" s="63"/>
      <c r="E59" s="63"/>
      <c r="G59" s="45"/>
    </row>
    <row r="60" spans="1:10" ht="13" x14ac:dyDescent="0.3">
      <c r="A60" s="39"/>
      <c r="D60" s="42" t="s">
        <v>273</v>
      </c>
      <c r="E60" s="43" t="s">
        <v>32</v>
      </c>
      <c r="F60" s="43" t="s">
        <v>33</v>
      </c>
      <c r="G60" s="45"/>
    </row>
    <row r="61" spans="1:10" ht="13" x14ac:dyDescent="0.3">
      <c r="A61" s="39"/>
      <c r="B61" s="39" t="s">
        <v>121</v>
      </c>
      <c r="D61" s="36" t="s">
        <v>274</v>
      </c>
      <c r="E61" s="144">
        <v>17600288.667239957</v>
      </c>
      <c r="F61" s="41" t="s">
        <v>275</v>
      </c>
      <c r="G61" s="45"/>
    </row>
    <row r="62" spans="1:10" ht="13" x14ac:dyDescent="0.3">
      <c r="A62" s="39"/>
      <c r="B62" s="39" t="s">
        <v>125</v>
      </c>
      <c r="D62" s="36" t="s">
        <v>276</v>
      </c>
      <c r="E62" s="144">
        <v>8544924.9171872791</v>
      </c>
      <c r="F62" s="41" t="s">
        <v>275</v>
      </c>
      <c r="G62" s="45"/>
      <c r="I62" s="145"/>
    </row>
    <row r="63" spans="1:10" ht="13" x14ac:dyDescent="0.3">
      <c r="A63" s="39"/>
      <c r="B63" s="39" t="s">
        <v>127</v>
      </c>
      <c r="D63" s="36" t="s">
        <v>277</v>
      </c>
      <c r="E63" s="146">
        <v>26767831.415572762</v>
      </c>
      <c r="F63" s="41" t="s">
        <v>275</v>
      </c>
      <c r="G63" s="45"/>
      <c r="I63" s="45"/>
    </row>
    <row r="64" spans="1:10" ht="13" x14ac:dyDescent="0.3">
      <c r="A64" s="39"/>
      <c r="B64" s="39" t="s">
        <v>129</v>
      </c>
      <c r="D64" s="55" t="s">
        <v>278</v>
      </c>
      <c r="E64" s="45">
        <f>SUM(E61:E63)</f>
        <v>52913045</v>
      </c>
      <c r="F64" s="41" t="str">
        <f>"Sum of "&amp;B61&amp;" to "&amp;B63&amp;""</f>
        <v>Sum of d to f</v>
      </c>
      <c r="G64" s="45"/>
    </row>
    <row r="66" spans="1:7" ht="13" x14ac:dyDescent="0.3">
      <c r="B66" s="35" t="s">
        <v>279</v>
      </c>
    </row>
    <row r="67" spans="1:7" ht="13" x14ac:dyDescent="0.3">
      <c r="E67" s="43" t="s">
        <v>32</v>
      </c>
      <c r="F67" s="42" t="s">
        <v>280</v>
      </c>
    </row>
    <row r="68" spans="1:7" ht="13" x14ac:dyDescent="0.3">
      <c r="A68" s="39"/>
      <c r="B68" s="39" t="s">
        <v>114</v>
      </c>
      <c r="D68" s="55" t="s">
        <v>281</v>
      </c>
      <c r="E68" s="45">
        <v>18219000</v>
      </c>
      <c r="F68" s="41" t="s">
        <v>282</v>
      </c>
      <c r="G68" s="175"/>
    </row>
    <row r="69" spans="1:7" ht="13" x14ac:dyDescent="0.3">
      <c r="A69" s="39"/>
      <c r="B69" s="39" t="s">
        <v>116</v>
      </c>
      <c r="D69" s="55" t="s">
        <v>283</v>
      </c>
      <c r="E69" s="167">
        <v>40171333</v>
      </c>
      <c r="F69" s="41" t="s">
        <v>284</v>
      </c>
    </row>
    <row r="70" spans="1:7" ht="13" x14ac:dyDescent="0.3">
      <c r="A70" s="39"/>
      <c r="B70" s="39" t="s">
        <v>119</v>
      </c>
      <c r="D70" s="55" t="s">
        <v>285</v>
      </c>
      <c r="E70" s="168">
        <v>18219000</v>
      </c>
      <c r="F70" s="41" t="s">
        <v>269</v>
      </c>
    </row>
    <row r="71" spans="1:7" ht="13" x14ac:dyDescent="0.3">
      <c r="A71" s="39"/>
      <c r="B71" s="39" t="s">
        <v>121</v>
      </c>
      <c r="D71" s="55" t="s">
        <v>286</v>
      </c>
      <c r="E71" s="45">
        <f>E70-E69</f>
        <v>-21952333</v>
      </c>
      <c r="F71" s="41" t="str">
        <f>""&amp;B70&amp;" - "&amp;B69&amp;""</f>
        <v>c - b</v>
      </c>
    </row>
    <row r="72" spans="1:7" ht="13" x14ac:dyDescent="0.3">
      <c r="A72" s="39"/>
      <c r="B72" s="35" t="s">
        <v>287</v>
      </c>
      <c r="D72" s="55"/>
      <c r="E72" s="45"/>
      <c r="F72" s="41"/>
    </row>
    <row r="73" spans="1:7" ht="13" x14ac:dyDescent="0.3">
      <c r="A73" s="39"/>
      <c r="B73" s="35"/>
      <c r="C73" s="36" t="str">
        <f>"Amount in Line "&amp;A44&amp;", column 2 equals amount in Line "&amp;A13&amp;", column 1 because all Franchise Requirements Expenses are excluded"</f>
        <v>Amount in Line 31, column 2 equals amount in Line 8, column 1 because all Franchise Requirements Expenses are excluded</v>
      </c>
      <c r="D73" s="55"/>
      <c r="E73" s="45"/>
      <c r="F73" s="41"/>
    </row>
    <row r="74" spans="1:7" ht="13" x14ac:dyDescent="0.3">
      <c r="A74" s="39"/>
      <c r="B74" s="35"/>
      <c r="C74" s="36" t="s">
        <v>288</v>
      </c>
      <c r="D74" s="55"/>
      <c r="E74" s="45"/>
      <c r="F74" s="41"/>
    </row>
    <row r="76" spans="1:7" ht="13" x14ac:dyDescent="0.3">
      <c r="B76" s="35" t="s">
        <v>104</v>
      </c>
    </row>
    <row r="77" spans="1:7" x14ac:dyDescent="0.25">
      <c r="C77" s="36" t="str">
        <f>"1) Enter amounts of A&amp;G expenses from FERC Form 1 in Lines "&amp;A6&amp;" to "&amp;A19&amp;"."</f>
        <v>1) Enter amounts of A&amp;G expenses from FERC Form 1 in Lines 1 to 14.</v>
      </c>
    </row>
    <row r="78" spans="1:7" x14ac:dyDescent="0.25">
      <c r="C78" s="36" t="s">
        <v>289</v>
      </c>
      <c r="G78" s="36" t="str">
        <f>"Column 3, Line "&amp;A37&amp;""</f>
        <v>Column 3, Line 24</v>
      </c>
    </row>
    <row r="79" spans="1:7" x14ac:dyDescent="0.25">
      <c r="C79" s="41" t="str">
        <f>"is calculated in Note 2.  The PBOPs exclusion in Column 4, Line "&amp;A43&amp;" is calculated in Note 3."</f>
        <v>is calculated in Note 2.  The PBOPs exclusion in Column 4, Line 30 is calculated in Note 3.</v>
      </c>
    </row>
    <row r="80" spans="1:7" x14ac:dyDescent="0.25">
      <c r="C80" s="41" t="s">
        <v>290</v>
      </c>
    </row>
    <row r="81" spans="3:7" x14ac:dyDescent="0.25">
      <c r="C81" s="41" t="s">
        <v>291</v>
      </c>
      <c r="D81" s="55"/>
      <c r="E81" s="45"/>
      <c r="F81" s="41"/>
    </row>
    <row r="82" spans="3:7" x14ac:dyDescent="0.25">
      <c r="C82" s="41" t="s">
        <v>292</v>
      </c>
      <c r="D82" s="55"/>
      <c r="E82" s="45"/>
      <c r="F82" s="41"/>
    </row>
    <row r="83" spans="3:7" x14ac:dyDescent="0.25">
      <c r="C83" s="41" t="s">
        <v>293</v>
      </c>
    </row>
    <row r="84" spans="3:7" x14ac:dyDescent="0.25">
      <c r="C84" s="41" t="s">
        <v>294</v>
      </c>
    </row>
    <row r="85" spans="3:7" x14ac:dyDescent="0.25">
      <c r="C85" s="41" t="s">
        <v>295</v>
      </c>
    </row>
    <row r="86" spans="3:7" x14ac:dyDescent="0.25">
      <c r="C86" s="41" t="s">
        <v>296</v>
      </c>
    </row>
    <row r="87" spans="3:7" x14ac:dyDescent="0.25">
      <c r="C87" s="41" t="s">
        <v>297</v>
      </c>
    </row>
    <row r="88" spans="3:7" x14ac:dyDescent="0.25">
      <c r="C88" s="41" t="s">
        <v>298</v>
      </c>
      <c r="E88" s="169"/>
      <c r="F88" s="169"/>
      <c r="G88" s="169"/>
    </row>
    <row r="89" spans="3:7" x14ac:dyDescent="0.25">
      <c r="C89" s="170" t="s">
        <v>299</v>
      </c>
      <c r="E89" s="169"/>
      <c r="F89" s="169"/>
      <c r="G89" s="169"/>
    </row>
    <row r="90" spans="3:7" x14ac:dyDescent="0.25">
      <c r="C90" s="170" t="s">
        <v>300</v>
      </c>
      <c r="E90" s="169"/>
      <c r="F90" s="169"/>
      <c r="G90" s="169"/>
    </row>
    <row r="91" spans="3:7" x14ac:dyDescent="0.25">
      <c r="C91" s="170" t="s">
        <v>301</v>
      </c>
      <c r="E91" s="169"/>
      <c r="F91" s="169"/>
      <c r="G91" s="169"/>
    </row>
    <row r="92" spans="3:7" x14ac:dyDescent="0.25">
      <c r="C92" s="41" t="s">
        <v>302</v>
      </c>
      <c r="E92" s="169"/>
      <c r="F92" s="169"/>
      <c r="G92" s="169"/>
    </row>
    <row r="93" spans="3:7" x14ac:dyDescent="0.25">
      <c r="C93" s="170" t="s">
        <v>303</v>
      </c>
      <c r="E93" s="169"/>
      <c r="F93" s="169"/>
      <c r="G93" s="169"/>
    </row>
    <row r="94" spans="3:7" x14ac:dyDescent="0.25">
      <c r="C94" s="170" t="s">
        <v>304</v>
      </c>
      <c r="E94" s="169"/>
      <c r="F94" s="169"/>
      <c r="G94" s="169"/>
    </row>
    <row r="95" spans="3:7" x14ac:dyDescent="0.25">
      <c r="C95" s="170" t="s">
        <v>305</v>
      </c>
      <c r="E95" s="169"/>
      <c r="F95" s="169"/>
      <c r="G95" s="169"/>
    </row>
    <row r="96" spans="3:7" x14ac:dyDescent="0.25">
      <c r="C96" s="170" t="s">
        <v>306</v>
      </c>
      <c r="E96" s="169"/>
      <c r="F96" s="169"/>
      <c r="G96" s="169"/>
    </row>
    <row r="97" spans="3:10" ht="13" x14ac:dyDescent="0.3">
      <c r="C97" s="72" t="s">
        <v>307</v>
      </c>
      <c r="D97" s="63"/>
      <c r="E97" s="63"/>
      <c r="F97" s="63"/>
      <c r="G97" s="63"/>
      <c r="H97" s="63"/>
      <c r="I97" s="63"/>
      <c r="J97" s="63"/>
    </row>
    <row r="98" spans="3:10" x14ac:dyDescent="0.25">
      <c r="C98" s="36" t="s">
        <v>308</v>
      </c>
    </row>
    <row r="99" spans="3:10" x14ac:dyDescent="0.25">
      <c r="C99" s="72" t="s">
        <v>309</v>
      </c>
      <c r="D99" s="63"/>
      <c r="E99" s="63"/>
      <c r="F99" s="63"/>
      <c r="G99" s="63"/>
      <c r="H99" s="63"/>
      <c r="I99" s="63"/>
    </row>
    <row r="100" spans="3:10" x14ac:dyDescent="0.25">
      <c r="C100" s="36" t="str">
        <f>"4) Determine the PBOPs exclusion.  The authorized amount of PBOPs expense (line "&amp;B68&amp;") may only be revised"</f>
        <v>4) Determine the PBOPs exclusion.  The authorized amount of PBOPs expense (line a) may only be revised</v>
      </c>
    </row>
    <row r="101" spans="3:10" x14ac:dyDescent="0.25">
      <c r="C101" s="36" t="s">
        <v>310</v>
      </c>
    </row>
    <row r="102" spans="3:10" x14ac:dyDescent="0.25">
      <c r="C102" s="36" t="s">
        <v>311</v>
      </c>
    </row>
    <row r="103" spans="3:10" x14ac:dyDescent="0.25">
      <c r="C103" s="36" t="s">
        <v>312</v>
      </c>
      <c r="I103" s="66" t="s">
        <v>313</v>
      </c>
      <c r="J103" s="66"/>
    </row>
    <row r="104" spans="3:10" x14ac:dyDescent="0.25">
      <c r="C104" s="36" t="s">
        <v>314</v>
      </c>
    </row>
  </sheetData>
  <pageMargins left="0.75" right="0.75" top="1" bottom="1" header="0.5" footer="0.5"/>
  <pageSetup scale="72" orientation="landscape" cellComments="asDisplayed" r:id="rId1"/>
  <headerFooter alignWithMargins="0">
    <oddHeader>&amp;CSchedule 20
Administrative and General Expenses
(Revised 2018 True Up TRR)&amp;RTO2022 Draft Annual Update
Attachment 4
WP-Schedule 3-One Time Adj Prior Period
Page &amp;P of &amp;N</oddHeader>
    <oddFooter>&amp;R&amp;A</oddFooter>
  </headerFooter>
  <rowBreaks count="2" manualBreakCount="2">
    <brk id="50" max="9" man="1"/>
    <brk id="7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dimension ref="B2:J20"/>
  <sheetViews>
    <sheetView zoomScaleNormal="100" workbookViewId="0">
      <selection activeCell="B1" sqref="B1"/>
    </sheetView>
  </sheetViews>
  <sheetFormatPr defaultColWidth="9.1796875" defaultRowHeight="14.5" x14ac:dyDescent="0.35"/>
  <cols>
    <col min="1" max="1" width="2.453125" style="86" customWidth="1"/>
    <col min="2" max="3" width="9.1796875" style="86"/>
    <col min="4" max="4" width="17.81640625" style="86" customWidth="1"/>
    <col min="5" max="5" width="14.26953125" style="86" bestFit="1" customWidth="1"/>
    <col min="6" max="6" width="10.26953125" style="86" customWidth="1"/>
    <col min="7" max="7" width="12.7265625" style="86" customWidth="1"/>
    <col min="8" max="8" width="13.81640625" style="86" customWidth="1"/>
    <col min="9" max="16384" width="9.1796875" style="86"/>
  </cols>
  <sheetData>
    <row r="2" spans="2:10" ht="21" customHeight="1" x14ac:dyDescent="0.35"/>
    <row r="3" spans="2:10" x14ac:dyDescent="0.35">
      <c r="B3" s="234" t="s">
        <v>178</v>
      </c>
      <c r="C3" s="234"/>
      <c r="D3" s="234"/>
      <c r="E3" s="234"/>
      <c r="F3" s="234"/>
      <c r="G3" s="234"/>
      <c r="H3" s="234"/>
      <c r="I3" s="234"/>
      <c r="J3" s="234"/>
    </row>
    <row r="4" spans="2:10" x14ac:dyDescent="0.35">
      <c r="B4" s="234"/>
      <c r="C4" s="234"/>
      <c r="D4" s="234"/>
      <c r="E4" s="234"/>
      <c r="F4" s="234"/>
      <c r="G4" s="234"/>
      <c r="H4" s="234"/>
      <c r="I4" s="234"/>
      <c r="J4" s="234"/>
    </row>
    <row r="5" spans="2:10" ht="29" x14ac:dyDescent="0.35">
      <c r="B5" s="235" t="s">
        <v>31</v>
      </c>
      <c r="C5" s="235"/>
      <c r="D5" s="235"/>
      <c r="E5" s="90" t="s">
        <v>32</v>
      </c>
      <c r="F5" s="91" t="s">
        <v>176</v>
      </c>
      <c r="G5" s="91" t="s">
        <v>177</v>
      </c>
      <c r="H5" s="242" t="s">
        <v>33</v>
      </c>
      <c r="I5" s="242"/>
      <c r="J5" s="242"/>
    </row>
    <row r="6" spans="2:10" ht="47.5" customHeight="1" x14ac:dyDescent="0.35">
      <c r="B6" s="236" t="s">
        <v>191</v>
      </c>
      <c r="C6" s="237"/>
      <c r="D6" s="238"/>
      <c r="E6" s="176">
        <f>'WP-2019 TO2018 Sch4-TUTRR'!E73</f>
        <v>1036150084.424143</v>
      </c>
      <c r="F6" s="89">
        <f>315/365</f>
        <v>0.86301369863013699</v>
      </c>
      <c r="G6" s="87">
        <f>E6*F6</f>
        <v>894211716.69480836</v>
      </c>
      <c r="H6" s="240" t="s">
        <v>389</v>
      </c>
      <c r="I6" s="240"/>
      <c r="J6" s="240"/>
    </row>
    <row r="7" spans="2:10" ht="56.5" customHeight="1" x14ac:dyDescent="0.35">
      <c r="B7" s="239" t="s">
        <v>193</v>
      </c>
      <c r="C7" s="237"/>
      <c r="D7" s="238"/>
      <c r="E7" s="177">
        <f>'WP-2019 TO2018 Sch4-TUTRR'!J71</f>
        <v>1031044751.7302366</v>
      </c>
      <c r="F7" s="89">
        <f>315/365</f>
        <v>0.86301369863013699</v>
      </c>
      <c r="G7" s="87">
        <f>E7*F7</f>
        <v>889805744.6439029</v>
      </c>
      <c r="H7" s="240" t="s">
        <v>192</v>
      </c>
      <c r="I7" s="240"/>
      <c r="J7" s="240"/>
    </row>
    <row r="8" spans="2:10" x14ac:dyDescent="0.35">
      <c r="B8" s="230" t="s">
        <v>184</v>
      </c>
      <c r="C8" s="231"/>
      <c r="D8" s="231"/>
      <c r="E8" s="231"/>
      <c r="F8" s="232"/>
      <c r="G8" s="92">
        <f>G6-G7</f>
        <v>4405972.0509054661</v>
      </c>
      <c r="H8" s="243"/>
      <c r="I8" s="244"/>
      <c r="J8" s="245"/>
    </row>
    <row r="9" spans="2:10" ht="44.5" customHeight="1" x14ac:dyDescent="0.35">
      <c r="B9" s="246" t="s">
        <v>194</v>
      </c>
      <c r="C9" s="246"/>
      <c r="D9" s="246"/>
      <c r="E9" s="173">
        <f>'WP-2019 TO2021 Sch4-TUTRR'!E73</f>
        <v>1050183075.4398698</v>
      </c>
      <c r="F9" s="89">
        <f>50/365</f>
        <v>0.13698630136986301</v>
      </c>
      <c r="G9" s="87">
        <f>E9*F9</f>
        <v>143860695.26573557</v>
      </c>
      <c r="H9" s="240" t="s">
        <v>390</v>
      </c>
      <c r="I9" s="240"/>
      <c r="J9" s="240"/>
    </row>
    <row r="10" spans="2:10" ht="48.65" customHeight="1" x14ac:dyDescent="0.35">
      <c r="B10" s="246" t="s">
        <v>195</v>
      </c>
      <c r="C10" s="246"/>
      <c r="D10" s="246"/>
      <c r="E10" s="174">
        <f>'WP-2019 TO2021 Sch4-TUTRR'!J71</f>
        <v>1045077006.6261117</v>
      </c>
      <c r="F10" s="89">
        <f>50/365</f>
        <v>0.13698630136986301</v>
      </c>
      <c r="G10" s="87">
        <f>E10*F10</f>
        <v>143161233.78439885</v>
      </c>
      <c r="H10" s="240" t="s">
        <v>196</v>
      </c>
      <c r="I10" s="247"/>
      <c r="J10" s="247"/>
    </row>
    <row r="11" spans="2:10" ht="21.65" customHeight="1" x14ac:dyDescent="0.35">
      <c r="B11" s="226" t="s">
        <v>182</v>
      </c>
      <c r="C11" s="226"/>
      <c r="D11" s="226"/>
      <c r="E11" s="226"/>
      <c r="F11" s="226"/>
      <c r="G11" s="172">
        <f>G9-G10</f>
        <v>699461.48133671284</v>
      </c>
      <c r="H11" s="227"/>
      <c r="I11" s="228"/>
      <c r="J11" s="229"/>
    </row>
    <row r="12" spans="2:10" x14ac:dyDescent="0.35">
      <c r="B12" s="230" t="s">
        <v>183</v>
      </c>
      <c r="C12" s="231"/>
      <c r="D12" s="231"/>
      <c r="E12" s="231"/>
      <c r="F12" s="232"/>
      <c r="G12" s="93">
        <f>G8+G11</f>
        <v>5105433.5322421789</v>
      </c>
      <c r="H12" s="233"/>
      <c r="I12" s="233"/>
      <c r="J12" s="233"/>
    </row>
    <row r="13" spans="2:10" x14ac:dyDescent="0.35">
      <c r="B13" s="88"/>
      <c r="C13" s="88"/>
      <c r="D13" s="88"/>
      <c r="E13" s="88"/>
      <c r="F13" s="88"/>
      <c r="G13" s="88"/>
      <c r="H13" s="88"/>
      <c r="I13" s="88"/>
      <c r="J13" s="88"/>
    </row>
    <row r="14" spans="2:10" x14ac:dyDescent="0.35">
      <c r="B14" s="88"/>
      <c r="C14" s="88"/>
      <c r="D14" s="88"/>
      <c r="E14" s="88"/>
      <c r="F14" s="88"/>
      <c r="G14" s="88"/>
      <c r="H14" s="88"/>
      <c r="I14" s="88"/>
      <c r="J14" s="88"/>
    </row>
    <row r="15" spans="2:10" x14ac:dyDescent="0.35">
      <c r="B15" s="178" t="s">
        <v>141</v>
      </c>
      <c r="C15" s="88"/>
      <c r="D15" s="88"/>
      <c r="E15" s="88"/>
      <c r="F15" s="88"/>
      <c r="G15" s="88"/>
      <c r="H15" s="88"/>
      <c r="I15" s="88"/>
      <c r="J15" s="88"/>
    </row>
    <row r="16" spans="2:10" x14ac:dyDescent="0.35">
      <c r="B16" s="241" t="s">
        <v>175</v>
      </c>
      <c r="C16" s="241"/>
      <c r="D16" s="241"/>
      <c r="E16" s="241"/>
      <c r="F16" s="241"/>
      <c r="G16" s="241"/>
      <c r="H16" s="241"/>
      <c r="I16" s="241"/>
      <c r="J16" s="88"/>
    </row>
    <row r="17" spans="2:10" ht="28.5" customHeight="1" x14ac:dyDescent="0.35">
      <c r="B17" s="212" t="s">
        <v>331</v>
      </c>
      <c r="C17" s="212"/>
      <c r="D17" s="212"/>
      <c r="E17" s="212"/>
      <c r="F17" s="212"/>
      <c r="G17" s="212"/>
      <c r="H17" s="212"/>
      <c r="I17" s="212"/>
      <c r="J17" s="212"/>
    </row>
    <row r="18" spans="2:10" x14ac:dyDescent="0.35">
      <c r="B18" s="212" t="s">
        <v>333</v>
      </c>
      <c r="C18" s="212"/>
      <c r="D18" s="212"/>
      <c r="E18" s="212"/>
      <c r="F18" s="212"/>
      <c r="G18" s="212"/>
      <c r="H18" s="212"/>
      <c r="I18" s="212"/>
      <c r="J18" s="212"/>
    </row>
    <row r="19" spans="2:10" ht="31" customHeight="1" x14ac:dyDescent="0.35">
      <c r="B19" s="212" t="s">
        <v>332</v>
      </c>
      <c r="C19" s="212"/>
      <c r="D19" s="212"/>
      <c r="E19" s="212"/>
      <c r="F19" s="212"/>
      <c r="G19" s="212"/>
      <c r="H19" s="212"/>
      <c r="I19" s="212"/>
      <c r="J19" s="212"/>
    </row>
    <row r="20" spans="2:10" x14ac:dyDescent="0.35">
      <c r="B20" s="36"/>
      <c r="C20" s="36"/>
      <c r="D20" s="36"/>
      <c r="E20" s="36"/>
      <c r="F20" s="36"/>
      <c r="G20" s="36"/>
      <c r="H20" s="36"/>
      <c r="I20" s="36"/>
    </row>
  </sheetData>
  <mergeCells count="21">
    <mergeCell ref="B18:J18"/>
    <mergeCell ref="B19:J19"/>
    <mergeCell ref="B3:J4"/>
    <mergeCell ref="B5:D5"/>
    <mergeCell ref="B6:D6"/>
    <mergeCell ref="B7:D7"/>
    <mergeCell ref="H7:J7"/>
    <mergeCell ref="B16:I16"/>
    <mergeCell ref="H5:J5"/>
    <mergeCell ref="H6:J6"/>
    <mergeCell ref="B8:F8"/>
    <mergeCell ref="H8:J8"/>
    <mergeCell ref="B9:D9"/>
    <mergeCell ref="H9:J9"/>
    <mergeCell ref="B10:D10"/>
    <mergeCell ref="H10:J10"/>
    <mergeCell ref="B11:F11"/>
    <mergeCell ref="H11:J11"/>
    <mergeCell ref="B12:F12"/>
    <mergeCell ref="H12:J12"/>
    <mergeCell ref="B17:J17"/>
  </mergeCells>
  <phoneticPr fontId="57" type="noConversion"/>
  <printOptions horizontalCentered="1"/>
  <pageMargins left="0.7" right="0.7" top="0.75" bottom="0.75" header="0.3" footer="0.3"/>
  <pageSetup scale="87" orientation="portrait" r:id="rId1"/>
  <headerFooter>
    <oddHeader>&amp;RTO2021 Annual Update
Attachment 4
WP-Schedule 3-One Time Adj Prior Period
Page &amp;P of &amp;N</oddHeader>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CEC9F-8CEB-44F1-874B-172D3D7AE536}">
  <sheetPr>
    <tabColor rgb="FF99CCFF"/>
  </sheetPr>
  <dimension ref="A1:O172"/>
  <sheetViews>
    <sheetView zoomScaleNormal="100" zoomScalePageLayoutView="80" workbookViewId="0"/>
  </sheetViews>
  <sheetFormatPr defaultColWidth="8.7265625" defaultRowHeight="12.5" x14ac:dyDescent="0.25"/>
  <cols>
    <col min="1" max="2" width="4.54296875" style="36" customWidth="1"/>
    <col min="3" max="3" width="18.54296875" style="36" customWidth="1"/>
    <col min="4" max="4" width="10.453125" style="36" bestFit="1" customWidth="1"/>
    <col min="5" max="7" width="15.54296875" style="36" customWidth="1"/>
    <col min="8" max="8" width="24.54296875" style="36" customWidth="1"/>
    <col min="9" max="9" width="4.54296875" style="36" customWidth="1"/>
    <col min="10" max="10" width="15.54296875" style="36" customWidth="1"/>
    <col min="11" max="11" width="2.54296875" style="36" customWidth="1"/>
    <col min="12" max="12" width="14.453125" style="36" customWidth="1"/>
    <col min="13" max="13" width="4.453125" style="36" customWidth="1"/>
    <col min="14" max="14" width="15.453125" style="36" customWidth="1"/>
    <col min="15" max="16384" width="8.7265625" style="36"/>
  </cols>
  <sheetData>
    <row r="1" spans="1:14" ht="13" x14ac:dyDescent="0.3">
      <c r="A1" s="35" t="s">
        <v>35</v>
      </c>
    </row>
    <row r="3" spans="1:14" ht="13" x14ac:dyDescent="0.3">
      <c r="B3" s="37" t="s">
        <v>36</v>
      </c>
      <c r="L3" s="39"/>
    </row>
    <row r="4" spans="1:14" ht="13" x14ac:dyDescent="0.3">
      <c r="B4" s="38"/>
      <c r="F4" s="39" t="s">
        <v>37</v>
      </c>
      <c r="G4" s="39"/>
      <c r="H4" s="39" t="s">
        <v>38</v>
      </c>
      <c r="L4" s="39"/>
      <c r="N4" s="39"/>
    </row>
    <row r="5" spans="1:14" ht="13" x14ac:dyDescent="0.3">
      <c r="A5" s="40" t="s">
        <v>39</v>
      </c>
      <c r="B5" s="41"/>
      <c r="C5" s="42" t="s">
        <v>40</v>
      </c>
      <c r="F5" s="43" t="s">
        <v>41</v>
      </c>
      <c r="G5" s="43" t="s">
        <v>42</v>
      </c>
      <c r="H5" s="43" t="s">
        <v>43</v>
      </c>
      <c r="J5" s="43" t="s">
        <v>32</v>
      </c>
      <c r="L5" s="43"/>
      <c r="N5" s="43"/>
    </row>
    <row r="6" spans="1:14" ht="13" x14ac:dyDescent="0.3">
      <c r="A6" s="39">
        <v>1</v>
      </c>
      <c r="C6" s="44" t="s">
        <v>44</v>
      </c>
      <c r="F6" s="36" t="s">
        <v>45</v>
      </c>
      <c r="H6" s="44" t="s">
        <v>352</v>
      </c>
      <c r="J6" s="45">
        <v>8939630709.3337479</v>
      </c>
      <c r="L6" s="43"/>
      <c r="N6" s="45"/>
    </row>
    <row r="7" spans="1:14" ht="13" x14ac:dyDescent="0.3">
      <c r="A7" s="39">
        <f>A6+1</f>
        <v>2</v>
      </c>
      <c r="C7" s="44" t="s">
        <v>46</v>
      </c>
      <c r="F7" s="36" t="s">
        <v>47</v>
      </c>
      <c r="H7" s="44" t="s">
        <v>353</v>
      </c>
      <c r="J7" s="45">
        <v>289044062.07088608</v>
      </c>
      <c r="L7" s="43"/>
      <c r="N7" s="45"/>
    </row>
    <row r="8" spans="1:14" ht="13" x14ac:dyDescent="0.3">
      <c r="A8" s="39">
        <f>A7+1</f>
        <v>3</v>
      </c>
      <c r="C8" s="44" t="s">
        <v>48</v>
      </c>
      <c r="F8" s="36" t="s">
        <v>47</v>
      </c>
      <c r="H8" s="36" t="s">
        <v>354</v>
      </c>
      <c r="J8" s="45">
        <v>9942155</v>
      </c>
      <c r="L8" s="43"/>
      <c r="N8" s="45"/>
    </row>
    <row r="9" spans="1:14" ht="13" x14ac:dyDescent="0.3">
      <c r="A9" s="39">
        <f>A8+1</f>
        <v>4</v>
      </c>
      <c r="C9" s="44" t="s">
        <v>49</v>
      </c>
      <c r="F9" s="36" t="s">
        <v>47</v>
      </c>
      <c r="H9" s="36" t="s">
        <v>355</v>
      </c>
      <c r="J9" s="45">
        <v>0</v>
      </c>
      <c r="L9" s="43"/>
      <c r="N9" s="45"/>
    </row>
    <row r="10" spans="1:14" ht="13" x14ac:dyDescent="0.3">
      <c r="A10" s="39"/>
      <c r="C10" s="44"/>
      <c r="J10" s="45"/>
      <c r="L10" s="43"/>
      <c r="N10" s="45"/>
    </row>
    <row r="11" spans="1:14" ht="13" x14ac:dyDescent="0.3">
      <c r="A11" s="39"/>
      <c r="C11" s="46" t="s">
        <v>50</v>
      </c>
      <c r="J11" s="45"/>
      <c r="L11" s="43"/>
      <c r="N11" s="45"/>
    </row>
    <row r="12" spans="1:14" ht="13" x14ac:dyDescent="0.3">
      <c r="A12" s="39">
        <f>A9+1</f>
        <v>5</v>
      </c>
      <c r="C12" s="41" t="s">
        <v>51</v>
      </c>
      <c r="F12" s="36" t="s">
        <v>45</v>
      </c>
      <c r="H12" s="44" t="s">
        <v>356</v>
      </c>
      <c r="J12" s="45">
        <v>21481204.872946855</v>
      </c>
      <c r="L12" s="43"/>
      <c r="N12" s="45"/>
    </row>
    <row r="13" spans="1:14" ht="13" x14ac:dyDescent="0.3">
      <c r="A13" s="39">
        <f>A12+1</f>
        <v>6</v>
      </c>
      <c r="C13" s="41" t="s">
        <v>52</v>
      </c>
      <c r="F13" s="36" t="s">
        <v>45</v>
      </c>
      <c r="H13" s="44" t="s">
        <v>357</v>
      </c>
      <c r="J13" s="45">
        <v>21290573.843281552</v>
      </c>
      <c r="L13" s="43"/>
      <c r="N13" s="45"/>
    </row>
    <row r="14" spans="1:14" ht="13" x14ac:dyDescent="0.3">
      <c r="A14" s="39">
        <f>A13+1</f>
        <v>7</v>
      </c>
      <c r="C14" s="41" t="s">
        <v>53</v>
      </c>
      <c r="F14" s="36" t="s">
        <v>148</v>
      </c>
      <c r="H14" s="36" t="s">
        <v>358</v>
      </c>
      <c r="J14" s="47">
        <v>25102835.653333683</v>
      </c>
      <c r="L14" s="43"/>
      <c r="N14" s="45"/>
    </row>
    <row r="15" spans="1:14" ht="13" x14ac:dyDescent="0.3">
      <c r="A15" s="39">
        <f>A14+1</f>
        <v>8</v>
      </c>
      <c r="C15" s="41" t="s">
        <v>54</v>
      </c>
      <c r="H15" s="36" t="str">
        <f>"Line "&amp;A12&amp;" + Line "&amp;A13&amp;" + Line "&amp;A14&amp;""</f>
        <v>Line 5 + Line 6 + Line 7</v>
      </c>
      <c r="J15" s="48">
        <f>SUM(J12:J14)</f>
        <v>67874614.369562089</v>
      </c>
      <c r="L15" s="43"/>
      <c r="N15" s="45"/>
    </row>
    <row r="16" spans="1:14" ht="13" x14ac:dyDescent="0.3">
      <c r="A16" s="39"/>
      <c r="C16" s="41"/>
      <c r="J16" s="45"/>
      <c r="L16" s="43"/>
      <c r="N16" s="45"/>
    </row>
    <row r="17" spans="1:14" ht="13" x14ac:dyDescent="0.3">
      <c r="A17" s="39"/>
      <c r="C17" s="49" t="s">
        <v>55</v>
      </c>
      <c r="J17" s="45"/>
      <c r="L17" s="43"/>
      <c r="N17" s="45"/>
    </row>
    <row r="18" spans="1:14" ht="13" x14ac:dyDescent="0.3">
      <c r="A18" s="39">
        <f>A15+1</f>
        <v>9</v>
      </c>
      <c r="C18" s="41" t="s">
        <v>56</v>
      </c>
      <c r="F18" s="36" t="s">
        <v>45</v>
      </c>
      <c r="G18" s="36" t="s">
        <v>57</v>
      </c>
      <c r="H18" s="44" t="s">
        <v>374</v>
      </c>
      <c r="J18" s="45">
        <v>-1839774172.2805853</v>
      </c>
      <c r="L18" s="43"/>
      <c r="N18" s="45"/>
    </row>
    <row r="19" spans="1:14" ht="13" x14ac:dyDescent="0.3">
      <c r="A19" s="39">
        <f>A18+1</f>
        <v>10</v>
      </c>
      <c r="C19" s="41" t="s">
        <v>58</v>
      </c>
      <c r="F19" s="36" t="s">
        <v>47</v>
      </c>
      <c r="G19" s="36" t="s">
        <v>57</v>
      </c>
      <c r="H19" s="44" t="s">
        <v>375</v>
      </c>
      <c r="J19" s="45">
        <v>0</v>
      </c>
      <c r="L19" s="43"/>
      <c r="N19" s="45"/>
    </row>
    <row r="20" spans="1:14" ht="13" x14ac:dyDescent="0.3">
      <c r="A20" s="39">
        <f>A19+1</f>
        <v>11</v>
      </c>
      <c r="C20" s="41" t="s">
        <v>59</v>
      </c>
      <c r="D20" s="50"/>
      <c r="F20" s="36" t="s">
        <v>47</v>
      </c>
      <c r="G20" s="36" t="s">
        <v>57</v>
      </c>
      <c r="H20" s="44" t="s">
        <v>376</v>
      </c>
      <c r="J20" s="51">
        <v>-105831142.34877566</v>
      </c>
      <c r="L20" s="43"/>
      <c r="N20" s="45"/>
    </row>
    <row r="21" spans="1:14" ht="13" x14ac:dyDescent="0.3">
      <c r="A21" s="39">
        <f>A20+1</f>
        <v>12</v>
      </c>
      <c r="C21" s="52" t="s">
        <v>60</v>
      </c>
      <c r="D21" s="50"/>
      <c r="H21" s="36" t="str">
        <f>"Line "&amp;A18&amp;" + Line "&amp;A19&amp;" + Line "&amp;A20&amp;""</f>
        <v>Line 9 + Line 10 + Line 11</v>
      </c>
      <c r="J21" s="45">
        <f>SUM(J18:J20)</f>
        <v>-1945605314.6293609</v>
      </c>
      <c r="L21" s="43"/>
      <c r="N21" s="45"/>
    </row>
    <row r="22" spans="1:14" ht="13" x14ac:dyDescent="0.3">
      <c r="A22" s="39"/>
      <c r="J22" s="45"/>
      <c r="L22" s="43"/>
      <c r="N22" s="45"/>
    </row>
    <row r="23" spans="1:14" ht="13" x14ac:dyDescent="0.3">
      <c r="A23" s="39">
        <f>A21+1</f>
        <v>13</v>
      </c>
      <c r="C23" s="44" t="s">
        <v>61</v>
      </c>
      <c r="F23" s="36" t="s">
        <v>47</v>
      </c>
      <c r="H23" s="44" t="s">
        <v>377</v>
      </c>
      <c r="J23" s="45">
        <v>-1632853304.2368784</v>
      </c>
      <c r="L23" s="43"/>
      <c r="N23" s="45"/>
    </row>
    <row r="24" spans="1:14" ht="13" x14ac:dyDescent="0.3">
      <c r="A24" s="39">
        <f>A23+1</f>
        <v>14</v>
      </c>
      <c r="C24" s="44" t="s">
        <v>62</v>
      </c>
      <c r="F24" s="36" t="s">
        <v>45</v>
      </c>
      <c r="H24" s="44" t="s">
        <v>378</v>
      </c>
      <c r="J24" s="45">
        <v>602185189.09144735</v>
      </c>
      <c r="L24" s="43"/>
      <c r="N24" s="45"/>
    </row>
    <row r="25" spans="1:14" ht="13" x14ac:dyDescent="0.3">
      <c r="A25" s="39">
        <f>A24+1</f>
        <v>15</v>
      </c>
      <c r="C25" s="44" t="s">
        <v>63</v>
      </c>
      <c r="F25" s="36" t="s">
        <v>47</v>
      </c>
      <c r="G25" s="36" t="s">
        <v>57</v>
      </c>
      <c r="H25" s="44" t="s">
        <v>379</v>
      </c>
      <c r="J25" s="45">
        <v>-50661304.942000374</v>
      </c>
      <c r="L25" s="43"/>
      <c r="N25" s="45"/>
    </row>
    <row r="26" spans="1:14" ht="13" x14ac:dyDescent="0.3">
      <c r="A26" s="39">
        <f>A25+1</f>
        <v>16</v>
      </c>
      <c r="C26" s="44" t="s">
        <v>64</v>
      </c>
      <c r="H26" s="36" t="s">
        <v>380</v>
      </c>
      <c r="J26" s="45">
        <v>-192838264.25105909</v>
      </c>
      <c r="L26" s="43"/>
      <c r="N26" s="45"/>
    </row>
    <row r="27" spans="1:14" ht="13" x14ac:dyDescent="0.3">
      <c r="A27" s="39">
        <f>A26+1</f>
        <v>17</v>
      </c>
      <c r="C27" s="44" t="s">
        <v>65</v>
      </c>
      <c r="F27" s="36" t="s">
        <v>47</v>
      </c>
      <c r="H27" s="44" t="s">
        <v>381</v>
      </c>
      <c r="J27" s="45">
        <v>0</v>
      </c>
      <c r="L27" s="43"/>
      <c r="N27" s="45"/>
    </row>
    <row r="28" spans="1:14" ht="13" x14ac:dyDescent="0.3">
      <c r="A28" s="39"/>
      <c r="C28" s="44"/>
      <c r="L28" s="43"/>
      <c r="N28" s="45"/>
    </row>
    <row r="29" spans="1:14" ht="13" x14ac:dyDescent="0.3">
      <c r="A29" s="39">
        <f>A27+1</f>
        <v>18</v>
      </c>
      <c r="C29" s="36" t="s">
        <v>66</v>
      </c>
      <c r="H29" s="36" t="str">
        <f>"L"&amp;A6&amp;"+L"&amp;A7&amp;"+L"&amp;A8&amp;"+L"&amp;A9&amp;"+L"&amp;A15&amp;"+L"&amp;A21&amp;"+"</f>
        <v>L1+L2+L3+L4+L8+L12+</v>
      </c>
      <c r="J29" s="48">
        <f>J6+ J7+J8+J9+J15+J21+J23+J24+J25+J26+J27</f>
        <v>6086718541.806345</v>
      </c>
      <c r="L29" s="43"/>
      <c r="N29" s="45"/>
    </row>
    <row r="30" spans="1:14" ht="13" x14ac:dyDescent="0.3">
      <c r="A30" s="39"/>
      <c r="H30" s="36" t="str">
        <f>"L"&amp;A23&amp;"+L"&amp;A24&amp;"+L"&amp;A25&amp;"+L"&amp;A26&amp;"+L"&amp;A27&amp;""</f>
        <v>L13+L14+L15+L16+L17</v>
      </c>
      <c r="J30" s="45"/>
      <c r="L30" s="43"/>
      <c r="N30" s="45"/>
    </row>
    <row r="31" spans="1:14" ht="13" x14ac:dyDescent="0.3">
      <c r="A31" s="39"/>
      <c r="B31" s="35" t="s">
        <v>67</v>
      </c>
      <c r="J31" s="45"/>
      <c r="L31" s="43"/>
      <c r="N31" s="45"/>
    </row>
    <row r="32" spans="1:14" ht="13" x14ac:dyDescent="0.3">
      <c r="A32" s="40" t="s">
        <v>39</v>
      </c>
      <c r="C32" s="35"/>
      <c r="J32" s="45"/>
      <c r="L32" s="43"/>
      <c r="N32" s="45"/>
    </row>
    <row r="33" spans="1:14" ht="13" x14ac:dyDescent="0.3">
      <c r="A33" s="39">
        <f>A29+1</f>
        <v>19</v>
      </c>
      <c r="C33" s="36" t="s">
        <v>68</v>
      </c>
      <c r="G33" s="36" t="s">
        <v>69</v>
      </c>
      <c r="H33" s="36" t="str">
        <f>"Instruction 1, Line "&amp;B98&amp;""</f>
        <v>Instruction 1, Line j</v>
      </c>
      <c r="J33" s="53">
        <f>E98</f>
        <v>7.5731353457413608E-2</v>
      </c>
      <c r="L33" s="43"/>
      <c r="M33" s="53"/>
      <c r="N33" s="45"/>
    </row>
    <row r="34" spans="1:14" ht="13" x14ac:dyDescent="0.3">
      <c r="A34" s="39">
        <f>A33+1</f>
        <v>20</v>
      </c>
      <c r="C34" s="36" t="s">
        <v>70</v>
      </c>
      <c r="H34" s="36" t="str">
        <f>"Line "&amp;A29&amp;" * Line "&amp;A33&amp;""</f>
        <v>Line 18 * Line 19</v>
      </c>
      <c r="J34" s="48">
        <f>J29*J33</f>
        <v>460955433.28532946</v>
      </c>
      <c r="L34" s="43"/>
      <c r="N34" s="45"/>
    </row>
    <row r="35" spans="1:14" ht="13" x14ac:dyDescent="0.3">
      <c r="A35" s="39"/>
      <c r="B35" s="41"/>
      <c r="L35" s="43"/>
      <c r="N35" s="45"/>
    </row>
    <row r="36" spans="1:14" ht="13" x14ac:dyDescent="0.3">
      <c r="A36" s="39"/>
      <c r="B36" s="35" t="s">
        <v>71</v>
      </c>
      <c r="L36" s="43"/>
      <c r="N36" s="45"/>
    </row>
    <row r="37" spans="1:14" ht="13" x14ac:dyDescent="0.3">
      <c r="A37" s="39"/>
      <c r="B37" s="41"/>
      <c r="L37" s="43"/>
      <c r="N37" s="45"/>
    </row>
    <row r="38" spans="1:14" ht="13" x14ac:dyDescent="0.3">
      <c r="A38" s="39">
        <f>A34+1</f>
        <v>21</v>
      </c>
      <c r="C38" s="36" t="s">
        <v>72</v>
      </c>
      <c r="J38" s="48">
        <f>(((J29*J42) + J45) *(J43/(1-J43)))+(J44/(1-J43))</f>
        <v>91513875.697135955</v>
      </c>
      <c r="L38" s="43"/>
      <c r="N38" s="45"/>
    </row>
    <row r="39" spans="1:14" ht="13" x14ac:dyDescent="0.3">
      <c r="A39" s="39"/>
      <c r="L39" s="43"/>
      <c r="N39" s="45"/>
    </row>
    <row r="40" spans="1:14" ht="13" x14ac:dyDescent="0.3">
      <c r="A40" s="39"/>
      <c r="D40" s="36" t="s">
        <v>73</v>
      </c>
      <c r="L40" s="43"/>
      <c r="N40" s="45"/>
    </row>
    <row r="41" spans="1:14" ht="13" x14ac:dyDescent="0.3">
      <c r="A41" s="39">
        <f>A38+1</f>
        <v>22</v>
      </c>
      <c r="D41" s="41" t="s">
        <v>74</v>
      </c>
      <c r="H41" s="36" t="str">
        <f>"Line "&amp;A29&amp;""</f>
        <v>Line 18</v>
      </c>
      <c r="J41" s="48">
        <f>J29</f>
        <v>6086718541.806345</v>
      </c>
      <c r="L41" s="43"/>
      <c r="N41" s="45"/>
    </row>
    <row r="42" spans="1:14" ht="13" x14ac:dyDescent="0.3">
      <c r="A42" s="39">
        <f>A41+1</f>
        <v>23</v>
      </c>
      <c r="D42" s="41" t="s">
        <v>75</v>
      </c>
      <c r="G42" s="36" t="s">
        <v>76</v>
      </c>
      <c r="H42" s="36" t="str">
        <f>"Instruction 1, Line "&amp;B103&amp;""</f>
        <v>Instruction 1, Line k</v>
      </c>
      <c r="J42" s="53">
        <f>E103</f>
        <v>5.3927439169434502E-2</v>
      </c>
      <c r="L42" s="43"/>
      <c r="M42" s="53"/>
      <c r="N42" s="45"/>
    </row>
    <row r="43" spans="1:14" ht="13" x14ac:dyDescent="0.3">
      <c r="A43" s="39">
        <f>A42+1</f>
        <v>24</v>
      </c>
      <c r="D43" s="41" t="s">
        <v>77</v>
      </c>
      <c r="H43" s="36" t="s">
        <v>359</v>
      </c>
      <c r="J43" s="53">
        <v>0.27983599999999997</v>
      </c>
      <c r="L43" s="43"/>
      <c r="M43" s="53"/>
      <c r="N43" s="45"/>
    </row>
    <row r="44" spans="1:14" ht="13" x14ac:dyDescent="0.3">
      <c r="A44" s="39">
        <f>A43+1</f>
        <v>25</v>
      </c>
      <c r="D44" s="41" t="s">
        <v>78</v>
      </c>
      <c r="H44" s="36" t="s">
        <v>360</v>
      </c>
      <c r="J44" s="45">
        <v>-27044842</v>
      </c>
      <c r="L44" s="43"/>
      <c r="N44" s="45"/>
    </row>
    <row r="45" spans="1:14" ht="13" x14ac:dyDescent="0.3">
      <c r="A45" s="39">
        <f>A44+1</f>
        <v>26</v>
      </c>
      <c r="D45" s="41" t="s">
        <v>79</v>
      </c>
      <c r="H45" s="36" t="s">
        <v>361</v>
      </c>
      <c r="J45" s="45">
        <v>3917123</v>
      </c>
      <c r="L45" s="43"/>
      <c r="N45" s="45"/>
    </row>
    <row r="46" spans="1:14" ht="13" x14ac:dyDescent="0.3">
      <c r="A46" s="39"/>
      <c r="B46" s="41"/>
      <c r="L46" s="43"/>
      <c r="N46" s="45"/>
    </row>
    <row r="47" spans="1:14" ht="13" x14ac:dyDescent="0.3">
      <c r="A47" s="39"/>
      <c r="B47" s="35" t="s">
        <v>80</v>
      </c>
      <c r="L47" s="43"/>
      <c r="N47" s="45"/>
    </row>
    <row r="48" spans="1:14" ht="13" x14ac:dyDescent="0.3">
      <c r="A48" s="39">
        <f>A45+1</f>
        <v>27</v>
      </c>
      <c r="B48" s="41"/>
      <c r="C48" s="36" t="s">
        <v>81</v>
      </c>
      <c r="H48" s="36" t="s">
        <v>362</v>
      </c>
      <c r="J48" s="45">
        <v>112781173.69267865</v>
      </c>
      <c r="L48" s="43"/>
      <c r="N48" s="45"/>
    </row>
    <row r="49" spans="1:14" ht="13" x14ac:dyDescent="0.3">
      <c r="A49" s="39">
        <f t="shared" ref="A49:A59" si="0">A48+1</f>
        <v>28</v>
      </c>
      <c r="B49" s="41"/>
      <c r="C49" s="36" t="s">
        <v>82</v>
      </c>
      <c r="H49" s="36" t="s">
        <v>363</v>
      </c>
      <c r="J49" s="48">
        <v>88041511.533990815</v>
      </c>
      <c r="L49" s="43"/>
      <c r="N49" s="45"/>
    </row>
    <row r="50" spans="1:14" ht="13" x14ac:dyDescent="0.3">
      <c r="A50" s="39">
        <f>A49+1</f>
        <v>29</v>
      </c>
      <c r="B50" s="41"/>
      <c r="C50" s="36" t="s">
        <v>83</v>
      </c>
      <c r="H50" s="36" t="s">
        <v>364</v>
      </c>
      <c r="J50" s="45">
        <v>4075483.5901751588</v>
      </c>
      <c r="L50" s="43"/>
      <c r="N50" s="45"/>
    </row>
    <row r="51" spans="1:14" ht="13" x14ac:dyDescent="0.3">
      <c r="A51" s="39">
        <f t="shared" si="0"/>
        <v>30</v>
      </c>
      <c r="B51" s="41"/>
      <c r="C51" s="36" t="s">
        <v>84</v>
      </c>
      <c r="H51" s="36" t="s">
        <v>365</v>
      </c>
      <c r="J51" s="45">
        <v>255157633.3971031</v>
      </c>
      <c r="L51" s="43"/>
      <c r="N51" s="45"/>
    </row>
    <row r="52" spans="1:14" ht="13" x14ac:dyDescent="0.3">
      <c r="A52" s="39">
        <f t="shared" si="0"/>
        <v>31</v>
      </c>
      <c r="B52" s="41"/>
      <c r="C52" s="36" t="s">
        <v>85</v>
      </c>
      <c r="H52" s="36" t="s">
        <v>366</v>
      </c>
      <c r="J52" s="45">
        <v>0</v>
      </c>
      <c r="L52" s="43"/>
      <c r="N52" s="45"/>
    </row>
    <row r="53" spans="1:14" ht="13" x14ac:dyDescent="0.3">
      <c r="A53" s="39">
        <f t="shared" si="0"/>
        <v>32</v>
      </c>
      <c r="B53" s="41"/>
      <c r="C53" s="36" t="s">
        <v>86</v>
      </c>
      <c r="H53" s="36" t="s">
        <v>367</v>
      </c>
      <c r="J53" s="45">
        <v>66058181.16746673</v>
      </c>
      <c r="L53" s="43"/>
      <c r="N53" s="45"/>
    </row>
    <row r="54" spans="1:14" ht="13" x14ac:dyDescent="0.3">
      <c r="A54" s="39">
        <f t="shared" si="0"/>
        <v>33</v>
      </c>
      <c r="B54" s="41"/>
      <c r="C54" s="36" t="s">
        <v>87</v>
      </c>
      <c r="H54" s="36" t="s">
        <v>368</v>
      </c>
      <c r="J54" s="45">
        <v>-54094032.244774804</v>
      </c>
      <c r="L54" s="43"/>
      <c r="N54" s="45"/>
    </row>
    <row r="55" spans="1:14" ht="13" x14ac:dyDescent="0.3">
      <c r="A55" s="39">
        <f t="shared" si="0"/>
        <v>34</v>
      </c>
      <c r="B55" s="41"/>
      <c r="C55" s="36" t="s">
        <v>88</v>
      </c>
      <c r="H55" s="36" t="str">
        <f>"Line "&amp;A34&amp;""</f>
        <v>Line 20</v>
      </c>
      <c r="J55" s="48">
        <f>J34</f>
        <v>460955433.28532946</v>
      </c>
      <c r="L55" s="43"/>
      <c r="N55" s="45"/>
    </row>
    <row r="56" spans="1:14" ht="13" x14ac:dyDescent="0.3">
      <c r="A56" s="39">
        <f t="shared" si="0"/>
        <v>35</v>
      </c>
      <c r="B56" s="41"/>
      <c r="C56" s="36" t="s">
        <v>89</v>
      </c>
      <c r="H56" s="36" t="str">
        <f>"Line "&amp;A38&amp;""</f>
        <v>Line 21</v>
      </c>
      <c r="J56" s="48">
        <f>J38</f>
        <v>91513875.697135955</v>
      </c>
      <c r="L56" s="43"/>
      <c r="N56" s="45"/>
    </row>
    <row r="57" spans="1:14" ht="13" x14ac:dyDescent="0.3">
      <c r="A57" s="39">
        <f t="shared" si="0"/>
        <v>36</v>
      </c>
      <c r="B57" s="41"/>
      <c r="C57" s="36" t="s">
        <v>90</v>
      </c>
      <c r="H57" s="36" t="s">
        <v>369</v>
      </c>
      <c r="J57" s="45">
        <v>0</v>
      </c>
      <c r="L57" s="43"/>
      <c r="N57" s="45"/>
    </row>
    <row r="58" spans="1:14" ht="13" x14ac:dyDescent="0.3">
      <c r="A58" s="39">
        <f t="shared" si="0"/>
        <v>37</v>
      </c>
      <c r="B58" s="41"/>
      <c r="C58" s="54" t="s">
        <v>91</v>
      </c>
      <c r="D58" s="54"/>
      <c r="H58" s="36" t="s">
        <v>370</v>
      </c>
      <c r="J58" s="51">
        <v>0</v>
      </c>
      <c r="L58" s="43"/>
      <c r="N58" s="45"/>
    </row>
    <row r="59" spans="1:14" ht="13" x14ac:dyDescent="0.3">
      <c r="A59" s="39">
        <f t="shared" si="0"/>
        <v>38</v>
      </c>
      <c r="B59" s="41"/>
      <c r="C59" s="36" t="s">
        <v>92</v>
      </c>
      <c r="H59" s="36" t="str">
        <f>"Sum Line "&amp;A48&amp;" to Line "&amp;A58&amp;""</f>
        <v>Sum Line 27 to Line 37</v>
      </c>
      <c r="J59" s="48">
        <f>SUM(J48:J58)</f>
        <v>1024489260.119105</v>
      </c>
      <c r="L59" s="43"/>
      <c r="N59" s="45"/>
    </row>
    <row r="60" spans="1:14" ht="13" x14ac:dyDescent="0.3">
      <c r="A60" s="39"/>
      <c r="B60" s="41"/>
      <c r="J60" s="45"/>
      <c r="L60" s="43"/>
      <c r="N60" s="45"/>
    </row>
    <row r="61" spans="1:14" ht="12.75" customHeight="1" x14ac:dyDescent="0.3">
      <c r="A61" s="39">
        <f>A59+1</f>
        <v>39</v>
      </c>
      <c r="B61" s="41"/>
      <c r="C61" s="36" t="s">
        <v>93</v>
      </c>
      <c r="H61" s="36" t="s">
        <v>382</v>
      </c>
      <c r="J61" s="45">
        <v>25263750.677767433</v>
      </c>
      <c r="L61" s="43"/>
      <c r="N61" s="45"/>
    </row>
    <row r="62" spans="1:14" ht="12.75" customHeight="1" x14ac:dyDescent="0.3">
      <c r="A62" s="39" t="s">
        <v>153</v>
      </c>
      <c r="C62" s="36" t="s">
        <v>154</v>
      </c>
      <c r="H62" s="36" t="s">
        <v>155</v>
      </c>
      <c r="J62" s="45">
        <f>-J61</f>
        <v>-25263750.677767433</v>
      </c>
      <c r="L62" s="43"/>
      <c r="N62" s="45"/>
    </row>
    <row r="63" spans="1:14" ht="13" x14ac:dyDescent="0.3">
      <c r="A63" s="39"/>
      <c r="B63" s="41"/>
      <c r="J63" s="45"/>
      <c r="L63" s="43"/>
      <c r="N63" s="45"/>
    </row>
    <row r="64" spans="1:14" ht="13" x14ac:dyDescent="0.3">
      <c r="A64" s="39">
        <f>A61+1</f>
        <v>40</v>
      </c>
      <c r="B64" s="41"/>
      <c r="C64" s="36" t="s">
        <v>94</v>
      </c>
      <c r="H64" s="36" t="s">
        <v>156</v>
      </c>
      <c r="J64" s="48">
        <f>J59+J61+J62</f>
        <v>1024489260.119105</v>
      </c>
      <c r="L64" s="43"/>
      <c r="N64" s="45"/>
    </row>
    <row r="65" spans="1:14" ht="13" x14ac:dyDescent="0.3">
      <c r="A65" s="39"/>
      <c r="B65" s="41"/>
      <c r="J65" s="45"/>
    </row>
    <row r="66" spans="1:14" ht="13" x14ac:dyDescent="0.3">
      <c r="A66" s="39"/>
      <c r="B66" s="37" t="s">
        <v>95</v>
      </c>
      <c r="J66" s="45"/>
      <c r="N66" s="39"/>
    </row>
    <row r="67" spans="1:14" ht="13.5" thickBot="1" x14ac:dyDescent="0.35">
      <c r="A67" s="40" t="s">
        <v>39</v>
      </c>
      <c r="B67" s="44"/>
      <c r="G67" s="42" t="s">
        <v>96</v>
      </c>
      <c r="N67" s="43"/>
    </row>
    <row r="68" spans="1:14" ht="13" x14ac:dyDescent="0.3">
      <c r="A68" s="39">
        <f>A64+1</f>
        <v>41</v>
      </c>
      <c r="B68" s="44"/>
      <c r="D68" s="55" t="s">
        <v>97</v>
      </c>
      <c r="E68" s="48">
        <f>J64</f>
        <v>1024489260.119105</v>
      </c>
      <c r="G68" s="36" t="str">
        <f>"Line "&amp;A64&amp;""</f>
        <v>Line 40</v>
      </c>
      <c r="J68" s="56" t="s">
        <v>98</v>
      </c>
      <c r="L68" s="45"/>
      <c r="N68" s="45"/>
    </row>
    <row r="69" spans="1:14" ht="13" x14ac:dyDescent="0.3">
      <c r="A69" s="39">
        <f>A68+1</f>
        <v>42</v>
      </c>
      <c r="B69" s="44"/>
      <c r="D69" s="55" t="s">
        <v>99</v>
      </c>
      <c r="E69" s="57">
        <v>9.2480778683301894E-3</v>
      </c>
      <c r="G69" s="36" t="s">
        <v>383</v>
      </c>
      <c r="J69" s="58" t="s">
        <v>185</v>
      </c>
      <c r="L69" s="53"/>
      <c r="N69" s="53"/>
    </row>
    <row r="70" spans="1:14" ht="13" x14ac:dyDescent="0.3">
      <c r="A70" s="39">
        <f>A69+1</f>
        <v>43</v>
      </c>
      <c r="B70" s="44"/>
      <c r="D70" s="55" t="s">
        <v>100</v>
      </c>
      <c r="E70" s="48">
        <v>9474556.4528494645</v>
      </c>
      <c r="G70" s="36" t="str">
        <f>"Line "&amp;A68&amp;" * Line "&amp;A69&amp;""</f>
        <v>Line 41 * Line 42</v>
      </c>
      <c r="J70" s="59">
        <f>E73</f>
        <v>1036150084.424143</v>
      </c>
      <c r="L70" s="45"/>
      <c r="N70" s="45"/>
    </row>
    <row r="71" spans="1:14" ht="27.65" customHeight="1" x14ac:dyDescent="0.3">
      <c r="A71" s="39">
        <f>A70+1</f>
        <v>44</v>
      </c>
      <c r="B71" s="44"/>
      <c r="D71" s="55" t="s">
        <v>101</v>
      </c>
      <c r="E71" s="57">
        <v>2.134007585335019E-3</v>
      </c>
      <c r="G71" s="36" t="s">
        <v>383</v>
      </c>
      <c r="J71" s="60">
        <v>1031044751.7302366</v>
      </c>
      <c r="K71" s="248" t="s">
        <v>186</v>
      </c>
      <c r="L71" s="249"/>
      <c r="M71" s="249"/>
      <c r="N71" s="53"/>
    </row>
    <row r="72" spans="1:14" ht="13.5" thickBot="1" x14ac:dyDescent="0.35">
      <c r="A72" s="39">
        <f>A71+1</f>
        <v>45</v>
      </c>
      <c r="B72" s="44"/>
      <c r="D72" s="55" t="s">
        <v>102</v>
      </c>
      <c r="E72" s="48">
        <v>2186267.8521884312</v>
      </c>
      <c r="G72" s="36" t="str">
        <f>"Line "&amp;A70&amp;" * Line "&amp;A71&amp;""</f>
        <v>Line 43 * Line 44</v>
      </c>
      <c r="J72" s="61">
        <f>J70-J71</f>
        <v>5105332.6939063072</v>
      </c>
      <c r="L72" s="45"/>
      <c r="N72" s="45"/>
    </row>
    <row r="73" spans="1:14" ht="13" x14ac:dyDescent="0.3">
      <c r="A73" s="39">
        <f>A72+1</f>
        <v>46</v>
      </c>
      <c r="B73" s="44"/>
      <c r="D73" s="55" t="s">
        <v>103</v>
      </c>
      <c r="E73" s="48">
        <f>E68+E70+E72</f>
        <v>1036150084.424143</v>
      </c>
      <c r="G73" s="36" t="str">
        <f>"L "&amp;A68&amp;" + L "&amp;A70&amp;" + L "&amp;A72&amp;""</f>
        <v>L 41 + L 43 + L 45</v>
      </c>
      <c r="L73" s="45"/>
      <c r="N73" s="45"/>
    </row>
    <row r="74" spans="1:14" ht="13" x14ac:dyDescent="0.3">
      <c r="B74" s="37" t="s">
        <v>104</v>
      </c>
      <c r="D74" s="55"/>
      <c r="E74" s="45"/>
      <c r="H74" s="63"/>
      <c r="L74" s="45"/>
    </row>
    <row r="75" spans="1:14" ht="13" x14ac:dyDescent="0.3">
      <c r="A75" s="39"/>
      <c r="B75" s="36" t="s">
        <v>150</v>
      </c>
      <c r="C75" s="37"/>
      <c r="D75" s="55"/>
      <c r="E75" s="45"/>
      <c r="L75" s="45">
        <v>5264935.1130290031</v>
      </c>
      <c r="M75" s="36" t="s">
        <v>329</v>
      </c>
    </row>
    <row r="76" spans="1:14" ht="13" x14ac:dyDescent="0.3">
      <c r="A76" s="39"/>
      <c r="B76" s="36" t="s">
        <v>151</v>
      </c>
      <c r="C76" s="37"/>
      <c r="D76" s="55"/>
      <c r="E76" s="45"/>
      <c r="L76" s="45">
        <v>-32.368134737014771</v>
      </c>
      <c r="M76" s="36" t="s">
        <v>317</v>
      </c>
    </row>
    <row r="77" spans="1:14" ht="13" x14ac:dyDescent="0.3">
      <c r="A77" s="39"/>
      <c r="B77" s="44" t="s">
        <v>105</v>
      </c>
      <c r="D77" s="55"/>
      <c r="E77" s="45"/>
      <c r="L77" s="45">
        <v>-136838.44684648514</v>
      </c>
      <c r="M77" s="36" t="s">
        <v>330</v>
      </c>
    </row>
    <row r="78" spans="1:14" ht="13" x14ac:dyDescent="0.3">
      <c r="A78" s="39"/>
      <c r="B78" s="44" t="s">
        <v>106</v>
      </c>
      <c r="D78" s="55"/>
      <c r="E78" s="45"/>
      <c r="L78" s="51">
        <v>-22731.60414147377</v>
      </c>
      <c r="M78" s="36" t="s">
        <v>319</v>
      </c>
    </row>
    <row r="79" spans="1:14" ht="13" x14ac:dyDescent="0.3">
      <c r="A79" s="39"/>
      <c r="L79" s="45">
        <f>SUM(L75:L78)</f>
        <v>5105332.6939063072</v>
      </c>
      <c r="M79" s="36" t="s">
        <v>198</v>
      </c>
    </row>
    <row r="80" spans="1:14" ht="13" x14ac:dyDescent="0.3">
      <c r="A80" s="39"/>
      <c r="B80" s="36" t="s">
        <v>107</v>
      </c>
      <c r="L80" s="45"/>
    </row>
    <row r="81" spans="1:15" ht="13" x14ac:dyDescent="0.3">
      <c r="A81" s="39"/>
      <c r="C81" s="36" t="s">
        <v>108</v>
      </c>
      <c r="L81" s="180">
        <f>315/365</f>
        <v>0.86301369863013699</v>
      </c>
      <c r="M81" s="181" t="s">
        <v>334</v>
      </c>
      <c r="N81" s="181"/>
      <c r="O81" s="181"/>
    </row>
    <row r="82" spans="1:15" ht="13" x14ac:dyDescent="0.3">
      <c r="A82" s="39"/>
      <c r="J82" s="39" t="s">
        <v>109</v>
      </c>
      <c r="L82" s="179">
        <f>L75*L81</f>
        <v>4543711.1249428382</v>
      </c>
      <c r="M82" s="36" t="s">
        <v>329</v>
      </c>
    </row>
    <row r="83" spans="1:15" ht="13" x14ac:dyDescent="0.3">
      <c r="A83" s="39"/>
      <c r="E83" s="43" t="s">
        <v>110</v>
      </c>
      <c r="F83" s="42" t="s">
        <v>96</v>
      </c>
      <c r="G83" s="43" t="s">
        <v>111</v>
      </c>
      <c r="H83" s="43" t="s">
        <v>112</v>
      </c>
      <c r="J83" s="43" t="s">
        <v>113</v>
      </c>
      <c r="L83" s="45">
        <f>L76*L81</f>
        <v>-27.934143677149734</v>
      </c>
      <c r="M83" s="36" t="s">
        <v>317</v>
      </c>
    </row>
    <row r="84" spans="1:15" ht="13" x14ac:dyDescent="0.3">
      <c r="B84" s="64" t="s">
        <v>114</v>
      </c>
      <c r="C84" s="36" t="s">
        <v>115</v>
      </c>
      <c r="E84" s="96">
        <v>0.10299999999999999</v>
      </c>
      <c r="F84" s="36" t="s">
        <v>118</v>
      </c>
      <c r="G84" s="82">
        <v>43781</v>
      </c>
      <c r="H84" s="82">
        <v>43830</v>
      </c>
      <c r="J84" s="97">
        <v>50</v>
      </c>
      <c r="L84" s="45">
        <f>L77*L81</f>
        <v>-118093.45412778854</v>
      </c>
      <c r="M84" s="36" t="s">
        <v>330</v>
      </c>
    </row>
    <row r="85" spans="1:15" ht="13" x14ac:dyDescent="0.3">
      <c r="B85" s="64" t="s">
        <v>116</v>
      </c>
      <c r="C85" s="36" t="s">
        <v>117</v>
      </c>
      <c r="E85" s="96">
        <v>0.112</v>
      </c>
      <c r="F85" s="36" t="s">
        <v>152</v>
      </c>
      <c r="G85" s="82">
        <v>43466</v>
      </c>
      <c r="H85" s="82">
        <v>43780</v>
      </c>
      <c r="J85" s="97">
        <v>315</v>
      </c>
      <c r="L85" s="51">
        <f>L78*L81</f>
        <v>-19617.685765929418</v>
      </c>
      <c r="M85" s="36" t="s">
        <v>319</v>
      </c>
    </row>
    <row r="86" spans="1:15" ht="13" x14ac:dyDescent="0.3">
      <c r="B86" s="64" t="s">
        <v>119</v>
      </c>
      <c r="E86" s="67"/>
      <c r="G86" s="68"/>
      <c r="H86" s="68"/>
      <c r="I86" s="55" t="s">
        <v>120</v>
      </c>
      <c r="J86" s="70">
        <f>SUM(J84:J85)</f>
        <v>365</v>
      </c>
      <c r="L86" s="184">
        <f>SUM(L82:L85)</f>
        <v>4405972.0509054428</v>
      </c>
      <c r="M86" s="181" t="s">
        <v>198</v>
      </c>
      <c r="N86" s="181"/>
    </row>
    <row r="87" spans="1:15" ht="13" x14ac:dyDescent="0.3">
      <c r="B87" s="64" t="s">
        <v>121</v>
      </c>
      <c r="C87" s="36" t="s">
        <v>122</v>
      </c>
      <c r="E87" s="65">
        <f>((E84*J84) + (E85* J85)) / J86</f>
        <v>0.11076712328767123</v>
      </c>
      <c r="F87" s="36" t="s">
        <v>123</v>
      </c>
    </row>
    <row r="88" spans="1:15" ht="13" x14ac:dyDescent="0.3">
      <c r="A88" s="39"/>
    </row>
    <row r="89" spans="1:15" ht="13" x14ac:dyDescent="0.3">
      <c r="A89" s="39"/>
      <c r="B89" s="36" t="s">
        <v>124</v>
      </c>
    </row>
    <row r="90" spans="1:15" ht="13" x14ac:dyDescent="0.3">
      <c r="A90" s="39"/>
      <c r="E90" s="42" t="s">
        <v>96</v>
      </c>
    </row>
    <row r="91" spans="1:15" ht="13" x14ac:dyDescent="0.3">
      <c r="B91" s="64" t="s">
        <v>125</v>
      </c>
      <c r="C91" s="36" t="s">
        <v>126</v>
      </c>
      <c r="E91" s="98" t="s">
        <v>187</v>
      </c>
      <c r="F91" s="66"/>
      <c r="G91" s="66"/>
      <c r="H91" s="66"/>
      <c r="I91" s="66"/>
      <c r="J91" s="66"/>
    </row>
    <row r="92" spans="1:15" ht="13" x14ac:dyDescent="0.3">
      <c r="B92" s="64" t="s">
        <v>127</v>
      </c>
      <c r="C92" s="36" t="s">
        <v>128</v>
      </c>
      <c r="E92" s="98" t="s">
        <v>188</v>
      </c>
      <c r="F92" s="66"/>
      <c r="G92" s="66"/>
      <c r="H92" s="66"/>
      <c r="I92" s="66"/>
      <c r="J92" s="66"/>
    </row>
    <row r="93" spans="1:15" x14ac:dyDescent="0.25">
      <c r="E93" s="68"/>
    </row>
    <row r="94" spans="1:15" ht="13" x14ac:dyDescent="0.3">
      <c r="E94" s="43" t="s">
        <v>110</v>
      </c>
      <c r="F94" s="42" t="s">
        <v>96</v>
      </c>
    </row>
    <row r="95" spans="1:15" ht="13" x14ac:dyDescent="0.3">
      <c r="B95" s="64" t="s">
        <v>129</v>
      </c>
      <c r="C95" s="36" t="s">
        <v>130</v>
      </c>
      <c r="E95" s="99">
        <v>2.1803914287979103E-2</v>
      </c>
      <c r="F95" s="36" t="s">
        <v>371</v>
      </c>
    </row>
    <row r="96" spans="1:15" ht="13" x14ac:dyDescent="0.3">
      <c r="B96" s="64" t="s">
        <v>131</v>
      </c>
      <c r="C96" s="36" t="s">
        <v>132</v>
      </c>
      <c r="E96" s="99">
        <v>4.1703636316651844E-3</v>
      </c>
      <c r="F96" s="36" t="s">
        <v>372</v>
      </c>
    </row>
    <row r="97" spans="1:10" ht="13" x14ac:dyDescent="0.3">
      <c r="B97" s="64" t="s">
        <v>133</v>
      </c>
      <c r="C97" s="36" t="s">
        <v>134</v>
      </c>
      <c r="E97" s="100">
        <v>4.975707553776932E-2</v>
      </c>
      <c r="F97" s="36" t="s">
        <v>373</v>
      </c>
    </row>
    <row r="98" spans="1:10" ht="13" x14ac:dyDescent="0.3">
      <c r="B98" s="39" t="s">
        <v>135</v>
      </c>
      <c r="C98" s="41" t="s">
        <v>68</v>
      </c>
      <c r="E98" s="99">
        <f>SUM(E95:E97)</f>
        <v>7.5731353457413608E-2</v>
      </c>
      <c r="F98" s="45" t="str">
        <f>"Sum of Lines "&amp;B95&amp;" to "&amp;B97&amp;""</f>
        <v>Sum of Lines g to i</v>
      </c>
      <c r="G98" s="70"/>
      <c r="J98" s="71"/>
    </row>
    <row r="99" spans="1:10" ht="13" x14ac:dyDescent="0.3">
      <c r="A99" s="39"/>
      <c r="C99" s="72"/>
      <c r="D99" s="73"/>
      <c r="E99" s="45"/>
      <c r="F99" s="45"/>
      <c r="G99" s="70"/>
      <c r="H99" s="45"/>
      <c r="J99" s="71"/>
    </row>
    <row r="100" spans="1:10" ht="13" x14ac:dyDescent="0.3">
      <c r="A100" s="39"/>
      <c r="B100" s="36" t="s">
        <v>136</v>
      </c>
    </row>
    <row r="101" spans="1:10" ht="13" x14ac:dyDescent="0.3">
      <c r="A101" s="39"/>
    </row>
    <row r="102" spans="1:10" ht="13" x14ac:dyDescent="0.3">
      <c r="A102" s="39"/>
      <c r="E102" s="43" t="s">
        <v>110</v>
      </c>
      <c r="F102" s="42" t="s">
        <v>96</v>
      </c>
    </row>
    <row r="103" spans="1:10" ht="13" x14ac:dyDescent="0.3">
      <c r="B103" s="64" t="s">
        <v>137</v>
      </c>
      <c r="E103" s="99">
        <f>E96+E97</f>
        <v>5.3927439169434502E-2</v>
      </c>
      <c r="F103" s="45" t="str">
        <f>"Sum of Lines "&amp;B96&amp;" to "&amp;B97&amp;""</f>
        <v>Sum of Lines h to i</v>
      </c>
    </row>
    <row r="104" spans="1:10" ht="13" x14ac:dyDescent="0.3">
      <c r="A104" s="39"/>
      <c r="E104" s="53"/>
      <c r="F104" s="45"/>
    </row>
    <row r="105" spans="1:10" ht="13" x14ac:dyDescent="0.3">
      <c r="A105" s="39"/>
      <c r="B105" s="36" t="s">
        <v>158</v>
      </c>
      <c r="E105" s="70"/>
      <c r="F105" s="70"/>
      <c r="G105" s="70"/>
      <c r="H105" s="45"/>
    </row>
    <row r="106" spans="1:10" ht="13" x14ac:dyDescent="0.3">
      <c r="A106" s="39"/>
      <c r="B106" s="36" t="s">
        <v>159</v>
      </c>
    </row>
    <row r="107" spans="1:10" ht="13" x14ac:dyDescent="0.3">
      <c r="A107" s="39"/>
      <c r="B107" s="36" t="s">
        <v>160</v>
      </c>
      <c r="D107" s="39"/>
      <c r="E107" s="39"/>
      <c r="F107" s="39"/>
      <c r="G107" s="39"/>
      <c r="H107" s="39"/>
    </row>
    <row r="108" spans="1:10" ht="13" x14ac:dyDescent="0.3">
      <c r="A108" s="39"/>
      <c r="B108" s="44"/>
      <c r="D108" s="39"/>
      <c r="E108" s="39"/>
      <c r="F108" s="39"/>
      <c r="G108" s="39"/>
      <c r="H108" s="39"/>
    </row>
    <row r="109" spans="1:10" ht="13" x14ac:dyDescent="0.3">
      <c r="A109" s="39"/>
      <c r="C109" s="74"/>
      <c r="D109" s="74"/>
      <c r="E109" s="43"/>
      <c r="F109" s="43"/>
      <c r="G109" s="43"/>
      <c r="H109" s="43"/>
    </row>
    <row r="110" spans="1:10" ht="13" x14ac:dyDescent="0.3">
      <c r="A110" s="39"/>
    </row>
    <row r="111" spans="1:10" ht="13" x14ac:dyDescent="0.3">
      <c r="A111" s="39"/>
    </row>
    <row r="112" spans="1:10" ht="13" x14ac:dyDescent="0.3">
      <c r="A112" s="39"/>
    </row>
    <row r="113" spans="1:10" ht="13" x14ac:dyDescent="0.3">
      <c r="A113" s="39"/>
      <c r="C113" s="72"/>
      <c r="E113" s="45"/>
      <c r="F113" s="45"/>
      <c r="H113" s="45"/>
      <c r="J113" s="71"/>
    </row>
    <row r="114" spans="1:10" ht="13" x14ac:dyDescent="0.3">
      <c r="A114" s="39"/>
      <c r="C114" s="72"/>
      <c r="E114" s="45"/>
      <c r="F114" s="45"/>
      <c r="H114" s="45"/>
      <c r="J114" s="71"/>
    </row>
    <row r="115" spans="1:10" ht="13" x14ac:dyDescent="0.3">
      <c r="A115" s="40"/>
      <c r="C115" s="72"/>
      <c r="E115" s="45"/>
      <c r="F115" s="45"/>
      <c r="H115" s="45"/>
      <c r="J115" s="71"/>
    </row>
    <row r="116" spans="1:10" ht="13" x14ac:dyDescent="0.3">
      <c r="A116" s="39"/>
      <c r="D116" s="75"/>
      <c r="E116" s="45"/>
      <c r="F116" s="45"/>
      <c r="H116" s="45"/>
      <c r="J116" s="71"/>
    </row>
    <row r="117" spans="1:10" ht="13" x14ac:dyDescent="0.3">
      <c r="A117" s="39"/>
      <c r="C117" s="72"/>
      <c r="D117" s="55"/>
      <c r="E117" s="51"/>
      <c r="F117" s="45"/>
      <c r="H117" s="45"/>
      <c r="J117" s="71"/>
    </row>
    <row r="118" spans="1:10" ht="13" x14ac:dyDescent="0.3">
      <c r="A118" s="39"/>
      <c r="C118" s="72"/>
      <c r="D118" s="55"/>
      <c r="E118" s="45"/>
      <c r="F118" s="45"/>
      <c r="H118" s="45"/>
      <c r="J118" s="71"/>
    </row>
    <row r="119" spans="1:10" ht="13" x14ac:dyDescent="0.3">
      <c r="A119" s="39"/>
    </row>
    <row r="120" spans="1:10" ht="13" x14ac:dyDescent="0.3">
      <c r="A120" s="39"/>
      <c r="B120" s="35"/>
    </row>
    <row r="121" spans="1:10" ht="13" x14ac:dyDescent="0.3">
      <c r="A121" s="39"/>
    </row>
    <row r="122" spans="1:10" ht="13" x14ac:dyDescent="0.3">
      <c r="A122" s="39"/>
    </row>
    <row r="123" spans="1:10" ht="13" x14ac:dyDescent="0.3">
      <c r="A123" s="39"/>
      <c r="F123" s="39"/>
    </row>
    <row r="124" spans="1:10" ht="13" x14ac:dyDescent="0.3">
      <c r="A124" s="39"/>
      <c r="F124" s="39"/>
    </row>
    <row r="125" spans="1:10" ht="13" x14ac:dyDescent="0.3">
      <c r="A125" s="39"/>
      <c r="D125" s="39"/>
      <c r="E125" s="39"/>
      <c r="F125" s="39"/>
      <c r="H125" s="39"/>
    </row>
    <row r="126" spans="1:10" ht="13" x14ac:dyDescent="0.3">
      <c r="A126" s="39"/>
      <c r="D126" s="39"/>
      <c r="E126" s="39"/>
      <c r="F126" s="39"/>
      <c r="G126" s="39"/>
      <c r="H126" s="64"/>
    </row>
    <row r="127" spans="1:10" ht="13" x14ac:dyDescent="0.3">
      <c r="A127" s="40"/>
      <c r="C127" s="74"/>
      <c r="D127" s="74"/>
      <c r="E127" s="43"/>
      <c r="F127" s="76"/>
      <c r="G127" s="43"/>
      <c r="H127" s="64"/>
    </row>
    <row r="128" spans="1:10" ht="13" x14ac:dyDescent="0.3">
      <c r="A128" s="39"/>
      <c r="C128" s="72"/>
      <c r="D128" s="73"/>
      <c r="E128" s="45"/>
      <c r="F128" s="45"/>
      <c r="G128" s="65"/>
      <c r="H128" s="45"/>
    </row>
    <row r="129" spans="1:8" ht="13" x14ac:dyDescent="0.3">
      <c r="A129" s="39"/>
      <c r="C129" s="72"/>
      <c r="D129" s="73"/>
      <c r="E129" s="45"/>
      <c r="F129" s="45"/>
      <c r="G129" s="65"/>
      <c r="H129" s="45"/>
    </row>
    <row r="130" spans="1:8" ht="13" x14ac:dyDescent="0.3">
      <c r="A130" s="39"/>
      <c r="C130" s="72"/>
      <c r="D130" s="73"/>
      <c r="E130" s="45"/>
      <c r="F130" s="45"/>
      <c r="G130" s="65"/>
      <c r="H130" s="45"/>
    </row>
    <row r="131" spans="1:8" ht="13" x14ac:dyDescent="0.3">
      <c r="A131" s="39"/>
      <c r="C131" s="72"/>
      <c r="D131" s="73"/>
      <c r="E131" s="45"/>
      <c r="F131" s="45"/>
      <c r="G131" s="65"/>
      <c r="H131" s="45"/>
    </row>
    <row r="132" spans="1:8" ht="13" x14ac:dyDescent="0.3">
      <c r="A132" s="39"/>
      <c r="C132" s="72"/>
      <c r="D132" s="73"/>
      <c r="E132" s="45"/>
      <c r="F132" s="45"/>
      <c r="G132" s="65"/>
      <c r="H132" s="45"/>
    </row>
    <row r="133" spans="1:8" ht="13" x14ac:dyDescent="0.3">
      <c r="A133" s="39"/>
      <c r="C133" s="72"/>
      <c r="D133" s="73"/>
      <c r="E133" s="45"/>
      <c r="F133" s="45"/>
      <c r="G133" s="65"/>
      <c r="H133" s="45"/>
    </row>
    <row r="134" spans="1:8" ht="13" x14ac:dyDescent="0.3">
      <c r="A134" s="39"/>
      <c r="C134" s="72"/>
      <c r="D134" s="73"/>
      <c r="E134" s="45"/>
      <c r="F134" s="45"/>
      <c r="G134" s="65"/>
      <c r="H134" s="45"/>
    </row>
    <row r="135" spans="1:8" ht="13" x14ac:dyDescent="0.3">
      <c r="A135" s="39"/>
      <c r="C135" s="72"/>
      <c r="D135" s="73"/>
      <c r="E135" s="45"/>
      <c r="F135" s="45"/>
      <c r="G135" s="65"/>
      <c r="H135" s="45"/>
    </row>
    <row r="136" spans="1:8" ht="13" x14ac:dyDescent="0.3">
      <c r="A136" s="39"/>
      <c r="C136" s="72"/>
      <c r="D136" s="73"/>
      <c r="E136" s="45"/>
      <c r="F136" s="45"/>
      <c r="G136" s="65"/>
      <c r="H136" s="45"/>
    </row>
    <row r="137" spans="1:8" ht="13" x14ac:dyDescent="0.3">
      <c r="A137" s="39"/>
      <c r="C137" s="72"/>
      <c r="D137" s="73"/>
      <c r="E137" s="45"/>
      <c r="F137" s="45"/>
      <c r="G137" s="65"/>
      <c r="H137" s="45"/>
    </row>
    <row r="138" spans="1:8" ht="13" x14ac:dyDescent="0.3">
      <c r="A138" s="39"/>
      <c r="C138" s="72"/>
      <c r="D138" s="73"/>
      <c r="E138" s="45"/>
      <c r="F138" s="45"/>
      <c r="G138" s="65"/>
      <c r="H138" s="45"/>
    </row>
    <row r="139" spans="1:8" ht="13" x14ac:dyDescent="0.3">
      <c r="A139" s="39"/>
      <c r="C139" s="72"/>
      <c r="D139" s="73"/>
      <c r="E139" s="45"/>
      <c r="F139" s="45"/>
      <c r="G139" s="65"/>
      <c r="H139" s="51"/>
    </row>
    <row r="140" spans="1:8" ht="13" x14ac:dyDescent="0.3">
      <c r="A140" s="39"/>
      <c r="H140" s="45"/>
    </row>
    <row r="141" spans="1:8" ht="13" x14ac:dyDescent="0.3">
      <c r="A141" s="39"/>
      <c r="C141" s="72"/>
      <c r="D141" s="73"/>
      <c r="F141" s="77"/>
      <c r="G141" s="65"/>
      <c r="H141" s="77"/>
    </row>
    <row r="142" spans="1:8" ht="13" x14ac:dyDescent="0.3">
      <c r="A142" s="39"/>
      <c r="B142" s="35"/>
      <c r="C142" s="72"/>
      <c r="D142" s="73"/>
      <c r="F142" s="77"/>
      <c r="G142" s="65"/>
      <c r="H142" s="77"/>
    </row>
    <row r="143" spans="1:8" ht="13" x14ac:dyDescent="0.3">
      <c r="A143" s="40"/>
      <c r="B143" s="35"/>
      <c r="C143" s="72"/>
      <c r="D143" s="73"/>
      <c r="F143" s="77"/>
      <c r="G143" s="65"/>
      <c r="H143" s="77"/>
    </row>
    <row r="144" spans="1:8" ht="13" x14ac:dyDescent="0.3">
      <c r="A144" s="39"/>
      <c r="C144" s="72"/>
      <c r="D144" s="78"/>
      <c r="E144" s="45"/>
      <c r="F144" s="79"/>
      <c r="G144" s="65"/>
      <c r="H144" s="77"/>
    </row>
    <row r="145" spans="1:8" ht="13" x14ac:dyDescent="0.3">
      <c r="A145" s="39"/>
      <c r="C145" s="72"/>
      <c r="D145" s="55"/>
      <c r="E145" s="45"/>
      <c r="F145" s="79"/>
      <c r="G145" s="65"/>
      <c r="H145" s="77"/>
    </row>
    <row r="146" spans="1:8" ht="13" x14ac:dyDescent="0.3">
      <c r="A146" s="39"/>
      <c r="C146" s="72"/>
      <c r="D146" s="55"/>
      <c r="E146" s="51"/>
      <c r="F146" s="79"/>
      <c r="G146" s="65"/>
      <c r="H146" s="77"/>
    </row>
    <row r="147" spans="1:8" ht="13" x14ac:dyDescent="0.3">
      <c r="A147" s="39"/>
      <c r="C147" s="72"/>
      <c r="D147" s="78"/>
      <c r="E147" s="45"/>
      <c r="F147" s="77"/>
      <c r="G147" s="65"/>
      <c r="H147" s="77"/>
    </row>
    <row r="148" spans="1:8" ht="13" x14ac:dyDescent="0.3">
      <c r="A148" s="39"/>
      <c r="C148" s="72"/>
      <c r="D148" s="73"/>
      <c r="F148" s="77"/>
      <c r="G148" s="65"/>
      <c r="H148" s="77"/>
    </row>
    <row r="149" spans="1:8" ht="13" x14ac:dyDescent="0.3">
      <c r="A149" s="39"/>
    </row>
    <row r="150" spans="1:8" ht="13" x14ac:dyDescent="0.3">
      <c r="A150" s="39"/>
    </row>
    <row r="151" spans="1:8" ht="13" x14ac:dyDescent="0.3">
      <c r="A151" s="39"/>
    </row>
    <row r="152" spans="1:8" ht="13" x14ac:dyDescent="0.3">
      <c r="A152" s="39"/>
      <c r="B152" s="35"/>
    </row>
    <row r="153" spans="1:8" ht="13" x14ac:dyDescent="0.3">
      <c r="A153" s="39"/>
    </row>
    <row r="154" spans="1:8" ht="13" x14ac:dyDescent="0.3">
      <c r="A154" s="39"/>
    </row>
    <row r="155" spans="1:8" ht="13" x14ac:dyDescent="0.3">
      <c r="A155" s="39"/>
    </row>
    <row r="156" spans="1:8" ht="13" x14ac:dyDescent="0.3">
      <c r="A156" s="39"/>
    </row>
    <row r="157" spans="1:8" ht="13" x14ac:dyDescent="0.3">
      <c r="A157" s="39"/>
      <c r="B157" s="35"/>
    </row>
    <row r="158" spans="1:8" ht="13" x14ac:dyDescent="0.3">
      <c r="A158" s="39"/>
    </row>
    <row r="159" spans="1:8" ht="13" x14ac:dyDescent="0.3">
      <c r="A159" s="40"/>
      <c r="C159" s="74"/>
      <c r="D159" s="43"/>
    </row>
    <row r="160" spans="1:8" ht="13" x14ac:dyDescent="0.3">
      <c r="A160" s="39"/>
      <c r="C160" s="72"/>
      <c r="D160" s="80"/>
      <c r="F160" s="53"/>
    </row>
    <row r="161" spans="1:6" ht="13" x14ac:dyDescent="0.3">
      <c r="A161" s="39"/>
      <c r="C161" s="72"/>
      <c r="D161" s="80"/>
      <c r="F161" s="53"/>
    </row>
    <row r="162" spans="1:6" ht="13" x14ac:dyDescent="0.3">
      <c r="A162" s="39"/>
      <c r="C162" s="72"/>
      <c r="D162" s="80"/>
      <c r="F162" s="53"/>
    </row>
    <row r="163" spans="1:6" ht="13" x14ac:dyDescent="0.3">
      <c r="A163" s="39"/>
      <c r="C163" s="72"/>
      <c r="D163" s="80"/>
      <c r="F163" s="53"/>
    </row>
    <row r="164" spans="1:6" ht="13" x14ac:dyDescent="0.3">
      <c r="A164" s="39"/>
      <c r="C164" s="72"/>
      <c r="D164" s="80"/>
      <c r="F164" s="53"/>
    </row>
    <row r="165" spans="1:6" ht="13" x14ac:dyDescent="0.3">
      <c r="A165" s="39"/>
      <c r="C165" s="72"/>
      <c r="D165" s="80"/>
      <c r="F165" s="53"/>
    </row>
    <row r="166" spans="1:6" ht="13" x14ac:dyDescent="0.3">
      <c r="A166" s="39"/>
      <c r="C166" s="72"/>
      <c r="D166" s="80"/>
      <c r="F166" s="53"/>
    </row>
    <row r="167" spans="1:6" ht="13" x14ac:dyDescent="0.3">
      <c r="A167" s="39"/>
      <c r="C167" s="72"/>
      <c r="D167" s="80"/>
      <c r="F167" s="53"/>
    </row>
    <row r="168" spans="1:6" ht="13" x14ac:dyDescent="0.3">
      <c r="A168" s="39"/>
      <c r="C168" s="72"/>
      <c r="D168" s="80"/>
      <c r="F168" s="53"/>
    </row>
    <row r="169" spans="1:6" ht="13" x14ac:dyDescent="0.3">
      <c r="A169" s="39"/>
      <c r="C169" s="72"/>
      <c r="D169" s="80"/>
      <c r="F169" s="53"/>
    </row>
    <row r="170" spans="1:6" ht="13" x14ac:dyDescent="0.3">
      <c r="A170" s="39"/>
      <c r="C170" s="72"/>
      <c r="D170" s="80"/>
      <c r="F170" s="53"/>
    </row>
    <row r="171" spans="1:6" ht="13" x14ac:dyDescent="0.3">
      <c r="A171" s="39"/>
      <c r="C171" s="72"/>
      <c r="D171" s="81"/>
      <c r="F171" s="69"/>
    </row>
    <row r="172" spans="1:6" ht="13" x14ac:dyDescent="0.3">
      <c r="A172" s="39"/>
      <c r="C172" s="75"/>
      <c r="D172" s="80"/>
    </row>
  </sheetData>
  <mergeCells count="1">
    <mergeCell ref="K71:M71"/>
  </mergeCells>
  <pageMargins left="0.75" right="0.75" top="1" bottom="1" header="0.5" footer="0.5"/>
  <pageSetup scale="78" orientation="landscape" cellComments="asDisplayed" r:id="rId1"/>
  <headerFooter alignWithMargins="0">
    <oddHeader>&amp;CSchedule 4
True Up TRR
(Revised 2019 
TO2018 True Up TRR)&amp;RTO2022 Draft Annual Update
Attachment 4
WP-Schedule 3-One Time Adj Prior Period
Page &amp;P of &amp;N</oddHeader>
    <oddFooter>&amp;R&amp;A</oddFooter>
  </headerFooter>
  <rowBreaks count="4" manualBreakCount="4">
    <brk id="45"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A55A8-B85F-40D8-BDF0-2D400E9E2FDB}">
  <sheetPr>
    <tabColor rgb="FF99CCFF"/>
  </sheetPr>
  <dimension ref="A1:X105"/>
  <sheetViews>
    <sheetView zoomScaleNormal="100" workbookViewId="0"/>
  </sheetViews>
  <sheetFormatPr defaultColWidth="8.7265625" defaultRowHeight="12.5" x14ac:dyDescent="0.25"/>
  <cols>
    <col min="1" max="1" width="4.54296875" style="36" customWidth="1"/>
    <col min="2" max="2" width="2.54296875" style="36" customWidth="1"/>
    <col min="3" max="3" width="8.54296875" style="36" customWidth="1"/>
    <col min="4" max="4" width="32.54296875" style="36" customWidth="1"/>
    <col min="5" max="5" width="14.54296875" style="36" customWidth="1"/>
    <col min="6" max="6" width="15.54296875" style="36" customWidth="1"/>
    <col min="7" max="8" width="14.54296875" style="36" customWidth="1"/>
    <col min="9" max="9" width="20" style="36" customWidth="1"/>
    <col min="10" max="10" width="15.54296875" style="36" customWidth="1"/>
    <col min="11" max="11" width="11" style="36" bestFit="1" customWidth="1"/>
    <col min="12" max="16384" width="8.7265625" style="36"/>
  </cols>
  <sheetData>
    <row r="1" spans="1:24" ht="13" x14ac:dyDescent="0.3">
      <c r="A1" s="35" t="s">
        <v>199</v>
      </c>
      <c r="F1" s="156" t="s">
        <v>200</v>
      </c>
      <c r="G1" s="66"/>
      <c r="H1" s="70"/>
      <c r="I1" s="70"/>
    </row>
    <row r="2" spans="1:24" ht="13" x14ac:dyDescent="0.3">
      <c r="E2" s="76" t="s">
        <v>201</v>
      </c>
      <c r="F2" s="76" t="s">
        <v>202</v>
      </c>
      <c r="G2" s="76" t="s">
        <v>203</v>
      </c>
      <c r="H2" s="76" t="s">
        <v>204</v>
      </c>
      <c r="I2" s="70"/>
    </row>
    <row r="3" spans="1:24" x14ac:dyDescent="0.25">
      <c r="G3" s="70" t="s">
        <v>205</v>
      </c>
    </row>
    <row r="4" spans="1:24" ht="13" x14ac:dyDescent="0.3">
      <c r="E4" s="39" t="s">
        <v>206</v>
      </c>
      <c r="F4" s="143" t="s">
        <v>207</v>
      </c>
      <c r="G4" s="39" t="s">
        <v>208</v>
      </c>
      <c r="I4" s="39"/>
    </row>
    <row r="5" spans="1:24" ht="13" x14ac:dyDescent="0.3">
      <c r="A5" s="40" t="s">
        <v>39</v>
      </c>
      <c r="B5" s="43"/>
      <c r="C5" s="43" t="s">
        <v>209</v>
      </c>
      <c r="D5" s="43" t="s">
        <v>31</v>
      </c>
      <c r="E5" s="43" t="s">
        <v>32</v>
      </c>
      <c r="F5" s="74" t="s">
        <v>33</v>
      </c>
      <c r="G5" s="43" t="s">
        <v>210</v>
      </c>
      <c r="H5" s="43" t="s">
        <v>82</v>
      </c>
      <c r="I5" s="43" t="s">
        <v>42</v>
      </c>
      <c r="K5" s="43"/>
      <c r="L5" s="43"/>
      <c r="M5" s="43"/>
      <c r="N5" s="43"/>
      <c r="O5" s="43"/>
      <c r="P5" s="43"/>
      <c r="Q5" s="43"/>
      <c r="R5" s="43"/>
      <c r="S5" s="43"/>
      <c r="T5" s="43"/>
      <c r="U5" s="43"/>
      <c r="V5" s="43"/>
      <c r="W5" s="43"/>
      <c r="X5" s="43"/>
    </row>
    <row r="6" spans="1:24" ht="13" x14ac:dyDescent="0.3">
      <c r="A6" s="39">
        <v>1</v>
      </c>
      <c r="C6" s="70">
        <v>920</v>
      </c>
      <c r="D6" s="36" t="s">
        <v>211</v>
      </c>
      <c r="E6" s="157">
        <v>413850310</v>
      </c>
      <c r="F6" s="70" t="s">
        <v>212</v>
      </c>
      <c r="G6" s="48">
        <f>D37</f>
        <v>136216667.90284771</v>
      </c>
      <c r="H6" s="48">
        <f t="shared" ref="H6:H19" si="0">E6-G6</f>
        <v>277633642.09715229</v>
      </c>
    </row>
    <row r="7" spans="1:24" ht="13" x14ac:dyDescent="0.3">
      <c r="A7" s="39">
        <f>A6+1</f>
        <v>2</v>
      </c>
      <c r="C7" s="70">
        <v>921</v>
      </c>
      <c r="D7" s="36" t="s">
        <v>213</v>
      </c>
      <c r="E7" s="157">
        <v>250234425</v>
      </c>
      <c r="F7" s="70" t="s">
        <v>214</v>
      </c>
      <c r="G7" s="45">
        <f t="shared" ref="G7:G19" si="1">D38</f>
        <v>2351967.084740696</v>
      </c>
      <c r="H7" s="45">
        <f t="shared" si="0"/>
        <v>247882457.9152593</v>
      </c>
    </row>
    <row r="8" spans="1:24" ht="13" x14ac:dyDescent="0.3">
      <c r="A8" s="39">
        <f>A7+1</f>
        <v>3</v>
      </c>
      <c r="C8" s="70">
        <v>922</v>
      </c>
      <c r="D8" s="36" t="s">
        <v>215</v>
      </c>
      <c r="E8" s="157">
        <v>-225318190</v>
      </c>
      <c r="F8" s="70" t="s">
        <v>216</v>
      </c>
      <c r="G8" s="45">
        <f t="shared" si="1"/>
        <v>-77722052.712449998</v>
      </c>
      <c r="H8" s="45">
        <f>E8-G8</f>
        <v>-147596137.28755</v>
      </c>
      <c r="I8" s="41" t="s">
        <v>217</v>
      </c>
    </row>
    <row r="9" spans="1:24" ht="13" x14ac:dyDescent="0.3">
      <c r="A9" s="39">
        <f t="shared" ref="A9:A20" si="2">A8+1</f>
        <v>4</v>
      </c>
      <c r="B9" s="39"/>
      <c r="C9" s="70">
        <v>923</v>
      </c>
      <c r="D9" s="36" t="s">
        <v>218</v>
      </c>
      <c r="E9" s="157">
        <v>59887693</v>
      </c>
      <c r="F9" s="70" t="s">
        <v>219</v>
      </c>
      <c r="G9" s="48">
        <f t="shared" si="1"/>
        <v>8976113.5378677826</v>
      </c>
      <c r="H9" s="48">
        <f t="shared" si="0"/>
        <v>50911579.462132215</v>
      </c>
    </row>
    <row r="10" spans="1:24" ht="13" x14ac:dyDescent="0.3">
      <c r="A10" s="39">
        <f t="shared" si="2"/>
        <v>5</v>
      </c>
      <c r="B10" s="39"/>
      <c r="C10" s="70">
        <v>924</v>
      </c>
      <c r="D10" s="36" t="s">
        <v>220</v>
      </c>
      <c r="E10" s="157">
        <v>15607270</v>
      </c>
      <c r="F10" s="70" t="s">
        <v>221</v>
      </c>
      <c r="G10" s="45">
        <f t="shared" si="1"/>
        <v>0</v>
      </c>
      <c r="H10" s="45">
        <f t="shared" si="0"/>
        <v>15607270</v>
      </c>
    </row>
    <row r="11" spans="1:24" ht="13" x14ac:dyDescent="0.3">
      <c r="A11" s="39">
        <f t="shared" si="2"/>
        <v>6</v>
      </c>
      <c r="B11" s="39"/>
      <c r="C11" s="70">
        <v>925</v>
      </c>
      <c r="D11" s="36" t="s">
        <v>222</v>
      </c>
      <c r="E11" s="157">
        <v>902073996</v>
      </c>
      <c r="F11" s="70" t="s">
        <v>223</v>
      </c>
      <c r="G11" s="45">
        <f t="shared" si="1"/>
        <v>152267277.52000001</v>
      </c>
      <c r="H11" s="45">
        <f t="shared" si="0"/>
        <v>749806718.48000002</v>
      </c>
    </row>
    <row r="12" spans="1:24" ht="13" x14ac:dyDescent="0.3">
      <c r="A12" s="39">
        <f t="shared" si="2"/>
        <v>7</v>
      </c>
      <c r="B12" s="39"/>
      <c r="C12" s="70">
        <v>926</v>
      </c>
      <c r="D12" s="36" t="s">
        <v>224</v>
      </c>
      <c r="E12" s="157">
        <v>82906034</v>
      </c>
      <c r="F12" s="70" t="s">
        <v>225</v>
      </c>
      <c r="G12" s="48">
        <f t="shared" si="1"/>
        <v>4180354.9770550355</v>
      </c>
      <c r="H12" s="48">
        <f t="shared" si="0"/>
        <v>78725679.022944957</v>
      </c>
    </row>
    <row r="13" spans="1:24" ht="13" x14ac:dyDescent="0.3">
      <c r="A13" s="39">
        <f t="shared" si="2"/>
        <v>8</v>
      </c>
      <c r="B13" s="39"/>
      <c r="C13" s="70">
        <v>927</v>
      </c>
      <c r="D13" s="36" t="s">
        <v>226</v>
      </c>
      <c r="E13" s="157">
        <v>104335318</v>
      </c>
      <c r="F13" s="70" t="s">
        <v>227</v>
      </c>
      <c r="G13" s="45">
        <f t="shared" si="1"/>
        <v>104335318</v>
      </c>
      <c r="H13" s="45">
        <f t="shared" si="0"/>
        <v>0</v>
      </c>
    </row>
    <row r="14" spans="1:24" ht="13" x14ac:dyDescent="0.3">
      <c r="A14" s="39">
        <f t="shared" si="2"/>
        <v>9</v>
      </c>
      <c r="B14" s="39"/>
      <c r="C14" s="70">
        <v>928</v>
      </c>
      <c r="D14" s="36" t="s">
        <v>228</v>
      </c>
      <c r="E14" s="157">
        <v>11713250</v>
      </c>
      <c r="F14" s="70" t="s">
        <v>229</v>
      </c>
      <c r="G14" s="45">
        <f t="shared" si="1"/>
        <v>9979027.6099999994</v>
      </c>
      <c r="H14" s="45">
        <f t="shared" si="0"/>
        <v>1734222.3900000006</v>
      </c>
    </row>
    <row r="15" spans="1:24" ht="13" x14ac:dyDescent="0.3">
      <c r="A15" s="39">
        <f t="shared" si="2"/>
        <v>10</v>
      </c>
      <c r="B15" s="39"/>
      <c r="C15" s="70">
        <v>929</v>
      </c>
      <c r="D15" s="36" t="s">
        <v>230</v>
      </c>
      <c r="E15" s="157">
        <v>0</v>
      </c>
      <c r="F15" s="70" t="s">
        <v>231</v>
      </c>
      <c r="G15" s="45">
        <f t="shared" si="1"/>
        <v>0</v>
      </c>
      <c r="H15" s="45">
        <f t="shared" si="0"/>
        <v>0</v>
      </c>
    </row>
    <row r="16" spans="1:24" ht="13" x14ac:dyDescent="0.3">
      <c r="A16" s="39">
        <f t="shared" si="2"/>
        <v>11</v>
      </c>
      <c r="B16" s="39"/>
      <c r="C16" s="70">
        <v>930.1</v>
      </c>
      <c r="D16" s="36" t="s">
        <v>232</v>
      </c>
      <c r="E16" s="157">
        <v>11245961</v>
      </c>
      <c r="F16" s="70" t="s">
        <v>233</v>
      </c>
      <c r="G16" s="45">
        <f t="shared" si="1"/>
        <v>4498348</v>
      </c>
      <c r="H16" s="45">
        <f t="shared" si="0"/>
        <v>6747613</v>
      </c>
    </row>
    <row r="17" spans="1:8" ht="13" x14ac:dyDescent="0.3">
      <c r="A17" s="39">
        <f t="shared" si="2"/>
        <v>12</v>
      </c>
      <c r="B17" s="39"/>
      <c r="C17" s="70">
        <v>930.2</v>
      </c>
      <c r="D17" s="36" t="s">
        <v>234</v>
      </c>
      <c r="E17" s="157">
        <v>14071912</v>
      </c>
      <c r="F17" s="70" t="s">
        <v>235</v>
      </c>
      <c r="G17" s="48">
        <f t="shared" si="1"/>
        <v>5999239.1899999976</v>
      </c>
      <c r="H17" s="48">
        <f t="shared" si="0"/>
        <v>8072672.8100000024</v>
      </c>
    </row>
    <row r="18" spans="1:8" ht="13" x14ac:dyDescent="0.3">
      <c r="A18" s="39">
        <f t="shared" si="2"/>
        <v>13</v>
      </c>
      <c r="B18" s="39"/>
      <c r="C18" s="70">
        <v>931</v>
      </c>
      <c r="D18" s="36" t="s">
        <v>236</v>
      </c>
      <c r="E18" s="157">
        <v>8581490</v>
      </c>
      <c r="F18" s="70" t="s">
        <v>237</v>
      </c>
      <c r="G18" s="45">
        <f t="shared" si="1"/>
        <v>12016812.699999999</v>
      </c>
      <c r="H18" s="45">
        <f t="shared" si="0"/>
        <v>-3435322.6999999993</v>
      </c>
    </row>
    <row r="19" spans="1:8" ht="13" x14ac:dyDescent="0.3">
      <c r="A19" s="39">
        <f t="shared" si="2"/>
        <v>14</v>
      </c>
      <c r="B19" s="39"/>
      <c r="C19" s="70">
        <v>935</v>
      </c>
      <c r="D19" s="36" t="s">
        <v>238</v>
      </c>
      <c r="E19" s="158">
        <v>26158179</v>
      </c>
      <c r="F19" s="70" t="s">
        <v>239</v>
      </c>
      <c r="G19" s="45">
        <f t="shared" si="1"/>
        <v>811671.73</v>
      </c>
      <c r="H19" s="51">
        <f t="shared" si="0"/>
        <v>25346507.27</v>
      </c>
    </row>
    <row r="20" spans="1:8" ht="13" x14ac:dyDescent="0.3">
      <c r="A20" s="39">
        <f t="shared" si="2"/>
        <v>15</v>
      </c>
      <c r="E20" s="45">
        <f>SUM(E6:E19)</f>
        <v>1675347648</v>
      </c>
      <c r="G20" s="55" t="s">
        <v>240</v>
      </c>
      <c r="H20" s="48">
        <f>SUM(H6:H19)</f>
        <v>1311436902.4599388</v>
      </c>
    </row>
    <row r="22" spans="1:8" ht="13" x14ac:dyDescent="0.3">
      <c r="F22" s="43" t="s">
        <v>32</v>
      </c>
      <c r="G22" s="43" t="s">
        <v>33</v>
      </c>
    </row>
    <row r="23" spans="1:8" ht="13" x14ac:dyDescent="0.3">
      <c r="A23" s="39">
        <f>A20+1</f>
        <v>16</v>
      </c>
      <c r="E23" s="55" t="s">
        <v>241</v>
      </c>
      <c r="F23" s="48">
        <f>H20</f>
        <v>1311436902.4599388</v>
      </c>
      <c r="G23" s="41" t="str">
        <f>"Line "&amp;A20&amp;""</f>
        <v>Line 15</v>
      </c>
    </row>
    <row r="24" spans="1:8" ht="13" x14ac:dyDescent="0.3">
      <c r="A24" s="39">
        <f t="shared" ref="A24:A30" si="3">A23+1</f>
        <v>17</v>
      </c>
      <c r="E24" s="55" t="s">
        <v>242</v>
      </c>
      <c r="F24" s="51">
        <f>E10</f>
        <v>15607270</v>
      </c>
      <c r="G24" s="41" t="str">
        <f>"Line "&amp;A10&amp;""</f>
        <v>Line 5</v>
      </c>
    </row>
    <row r="25" spans="1:8" ht="13" x14ac:dyDescent="0.3">
      <c r="A25" s="39">
        <f t="shared" si="3"/>
        <v>18</v>
      </c>
      <c r="E25" s="55" t="s">
        <v>243</v>
      </c>
      <c r="F25" s="48">
        <f>F23-F24</f>
        <v>1295829632.4599388</v>
      </c>
      <c r="G25" s="41" t="str">
        <f>"Line "&amp;A23&amp;" - Line "&amp;A24&amp;""</f>
        <v>Line 16 - Line 17</v>
      </c>
    </row>
    <row r="26" spans="1:8" ht="13" x14ac:dyDescent="0.3">
      <c r="A26" s="39">
        <f t="shared" si="3"/>
        <v>19</v>
      </c>
      <c r="E26" s="55" t="s">
        <v>244</v>
      </c>
      <c r="F26" s="69">
        <v>6.5693761162178274E-2</v>
      </c>
      <c r="G26" s="41" t="s">
        <v>245</v>
      </c>
    </row>
    <row r="27" spans="1:8" ht="13" x14ac:dyDescent="0.3">
      <c r="A27" s="39">
        <f t="shared" si="3"/>
        <v>20</v>
      </c>
      <c r="E27" s="55" t="s">
        <v>246</v>
      </c>
      <c r="F27" s="48">
        <f>F25*F26</f>
        <v>85127922.381696478</v>
      </c>
      <c r="G27" s="41" t="str">
        <f>"Line "&amp;A25&amp;" * Line "&amp;A26&amp;""</f>
        <v>Line 18 * Line 19</v>
      </c>
    </row>
    <row r="28" spans="1:8" ht="13" x14ac:dyDescent="0.3">
      <c r="A28" s="39">
        <f t="shared" si="3"/>
        <v>21</v>
      </c>
      <c r="E28" s="55" t="s">
        <v>247</v>
      </c>
      <c r="F28" s="53">
        <v>0.18668153702052509</v>
      </c>
      <c r="G28" s="41" t="s">
        <v>248</v>
      </c>
    </row>
    <row r="29" spans="1:8" ht="13" x14ac:dyDescent="0.3">
      <c r="A29" s="39">
        <f t="shared" si="3"/>
        <v>22</v>
      </c>
      <c r="E29" s="55" t="s">
        <v>249</v>
      </c>
      <c r="F29" s="51">
        <f>H10*F28</f>
        <v>2913589.1522943308</v>
      </c>
      <c r="G29" s="41" t="str">
        <f>"Line "&amp;A10&amp;" Col 4 * Line "&amp;A28&amp;""</f>
        <v>Line 5 Col 4 * Line 21</v>
      </c>
    </row>
    <row r="30" spans="1:8" ht="13" x14ac:dyDescent="0.3">
      <c r="A30" s="39">
        <f t="shared" si="3"/>
        <v>23</v>
      </c>
      <c r="E30" s="55" t="s">
        <v>250</v>
      </c>
      <c r="F30" s="48">
        <f>F27+F29</f>
        <v>88041511.533990815</v>
      </c>
      <c r="G30" s="41" t="str">
        <f>"Line "&amp;A27&amp;" + Line "&amp;A29&amp;""</f>
        <v>Line 20 + Line 22</v>
      </c>
    </row>
    <row r="32" spans="1:8" ht="13" x14ac:dyDescent="0.3">
      <c r="B32" s="35" t="s">
        <v>251</v>
      </c>
      <c r="E32" s="76" t="s">
        <v>201</v>
      </c>
      <c r="F32" s="76" t="s">
        <v>202</v>
      </c>
      <c r="G32" s="76" t="s">
        <v>203</v>
      </c>
      <c r="H32" s="76" t="s">
        <v>204</v>
      </c>
    </row>
    <row r="33" spans="1:11" ht="13" x14ac:dyDescent="0.3">
      <c r="B33" s="35"/>
      <c r="E33" s="39" t="s">
        <v>252</v>
      </c>
      <c r="F33" s="76"/>
      <c r="G33" s="76"/>
      <c r="H33" s="76"/>
    </row>
    <row r="34" spans="1:11" ht="13" x14ac:dyDescent="0.3">
      <c r="E34" s="39" t="s">
        <v>253</v>
      </c>
    </row>
    <row r="35" spans="1:11" ht="13" x14ac:dyDescent="0.3">
      <c r="D35" s="39" t="s">
        <v>254</v>
      </c>
      <c r="E35" s="39" t="s">
        <v>255</v>
      </c>
      <c r="F35" s="39" t="s">
        <v>256</v>
      </c>
      <c r="G35" s="39"/>
      <c r="H35" s="39"/>
    </row>
    <row r="36" spans="1:11" ht="13.5" thickBot="1" x14ac:dyDescent="0.35">
      <c r="C36" s="43" t="s">
        <v>209</v>
      </c>
      <c r="D36" s="76" t="s">
        <v>257</v>
      </c>
      <c r="E36" s="43" t="s">
        <v>258</v>
      </c>
      <c r="F36" s="43" t="s">
        <v>259</v>
      </c>
      <c r="G36" s="43" t="s">
        <v>260</v>
      </c>
      <c r="H36" s="43" t="s">
        <v>261</v>
      </c>
      <c r="I36" s="43" t="s">
        <v>42</v>
      </c>
    </row>
    <row r="37" spans="1:11" ht="13.5" thickBot="1" x14ac:dyDescent="0.35">
      <c r="A37" s="39">
        <f>A30+1</f>
        <v>24</v>
      </c>
      <c r="C37" s="70">
        <v>920</v>
      </c>
      <c r="D37" s="161">
        <f>SUM(E37:H37)</f>
        <v>136216667.90284771</v>
      </c>
      <c r="E37" s="162">
        <v>2246626.7752593011</v>
      </c>
      <c r="F37" s="163"/>
      <c r="G37" s="45">
        <f>G59</f>
        <v>133970041.12758839</v>
      </c>
      <c r="H37" s="163"/>
      <c r="I37" s="41" t="s">
        <v>262</v>
      </c>
    </row>
    <row r="38" spans="1:11" ht="13" x14ac:dyDescent="0.3">
      <c r="A38" s="39">
        <f>A37+1</f>
        <v>25</v>
      </c>
      <c r="C38" s="70">
        <v>921</v>
      </c>
      <c r="D38" s="164">
        <f t="shared" ref="D38:D50" si="4">SUM(E38:H38)</f>
        <v>2351967.084740696</v>
      </c>
      <c r="E38" s="163">
        <v>2351967.084740696</v>
      </c>
      <c r="F38" s="163"/>
      <c r="G38" s="163">
        <v>0</v>
      </c>
      <c r="H38" s="163"/>
      <c r="I38" s="41"/>
    </row>
    <row r="39" spans="1:11" ht="13.5" thickBot="1" x14ac:dyDescent="0.35">
      <c r="A39" s="39">
        <f t="shared" ref="A39:A50" si="5">A38+1</f>
        <v>26</v>
      </c>
      <c r="C39" s="70">
        <v>922</v>
      </c>
      <c r="D39" s="164">
        <f t="shared" si="4"/>
        <v>-77722052.712449998</v>
      </c>
      <c r="E39" s="163">
        <v>-10359095.712450001</v>
      </c>
      <c r="F39" s="163"/>
      <c r="G39" s="144">
        <v>-67362957</v>
      </c>
      <c r="H39" s="163"/>
      <c r="I39" s="41"/>
    </row>
    <row r="40" spans="1:11" ht="13.5" thickBot="1" x14ac:dyDescent="0.35">
      <c r="A40" s="39">
        <f t="shared" si="5"/>
        <v>27</v>
      </c>
      <c r="C40" s="70">
        <v>923</v>
      </c>
      <c r="D40" s="161">
        <f t="shared" si="4"/>
        <v>8976113.5378677826</v>
      </c>
      <c r="E40" s="162">
        <v>8976113.5378677826</v>
      </c>
      <c r="F40" s="163"/>
      <c r="G40" s="163">
        <v>0</v>
      </c>
      <c r="H40" s="163"/>
      <c r="I40" s="41"/>
      <c r="J40" s="43"/>
      <c r="K40" s="43"/>
    </row>
    <row r="41" spans="1:11" ht="13" x14ac:dyDescent="0.3">
      <c r="A41" s="39">
        <f t="shared" si="5"/>
        <v>28</v>
      </c>
      <c r="C41" s="70">
        <v>924</v>
      </c>
      <c r="D41" s="164">
        <f t="shared" si="4"/>
        <v>0</v>
      </c>
      <c r="E41" s="163">
        <v>0</v>
      </c>
      <c r="F41" s="163"/>
      <c r="G41" s="163">
        <v>0</v>
      </c>
      <c r="H41" s="163"/>
      <c r="I41" s="41"/>
      <c r="K41" s="45"/>
    </row>
    <row r="42" spans="1:11" ht="13.5" thickBot="1" x14ac:dyDescent="0.35">
      <c r="A42" s="39">
        <f t="shared" si="5"/>
        <v>29</v>
      </c>
      <c r="C42" s="70">
        <v>925</v>
      </c>
      <c r="D42" s="164">
        <f t="shared" si="4"/>
        <v>152267277.52000001</v>
      </c>
      <c r="E42" s="163">
        <v>152267277.52000001</v>
      </c>
      <c r="F42" s="163"/>
      <c r="G42" s="163">
        <v>0</v>
      </c>
      <c r="H42" s="163"/>
      <c r="I42" s="41"/>
      <c r="K42" s="45"/>
    </row>
    <row r="43" spans="1:11" ht="13.5" thickBot="1" x14ac:dyDescent="0.35">
      <c r="A43" s="39">
        <f t="shared" si="5"/>
        <v>30</v>
      </c>
      <c r="C43" s="70">
        <v>926</v>
      </c>
      <c r="D43" s="161">
        <f t="shared" si="4"/>
        <v>4180354.9770550355</v>
      </c>
      <c r="E43" s="162">
        <v>16070354.977055036</v>
      </c>
      <c r="F43" s="163"/>
      <c r="G43" s="163">
        <v>0</v>
      </c>
      <c r="H43" s="45">
        <f>E72</f>
        <v>-11890000</v>
      </c>
      <c r="I43" s="41" t="s">
        <v>263</v>
      </c>
      <c r="K43" s="45"/>
    </row>
    <row r="44" spans="1:11" ht="13" x14ac:dyDescent="0.3">
      <c r="A44" s="39">
        <f t="shared" si="5"/>
        <v>31</v>
      </c>
      <c r="C44" s="70">
        <v>927</v>
      </c>
      <c r="D44" s="164">
        <f t="shared" si="4"/>
        <v>104335318</v>
      </c>
      <c r="E44" s="45">
        <v>0</v>
      </c>
      <c r="F44" s="45">
        <f>E13</f>
        <v>104335318</v>
      </c>
      <c r="G44" s="45">
        <v>0</v>
      </c>
      <c r="H44" s="45">
        <v>0</v>
      </c>
      <c r="I44" s="41" t="s">
        <v>264</v>
      </c>
      <c r="K44" s="45"/>
    </row>
    <row r="45" spans="1:11" ht="13" x14ac:dyDescent="0.3">
      <c r="A45" s="39">
        <f t="shared" si="5"/>
        <v>32</v>
      </c>
      <c r="C45" s="70">
        <v>928</v>
      </c>
      <c r="D45" s="164">
        <f t="shared" si="4"/>
        <v>9979027.6099999994</v>
      </c>
      <c r="E45" s="163">
        <v>9979027.6099999994</v>
      </c>
      <c r="F45" s="163"/>
      <c r="G45" s="163">
        <v>0</v>
      </c>
      <c r="H45" s="163"/>
      <c r="I45" s="41"/>
      <c r="K45" s="45"/>
    </row>
    <row r="46" spans="1:11" ht="13" x14ac:dyDescent="0.3">
      <c r="A46" s="39">
        <f t="shared" si="5"/>
        <v>33</v>
      </c>
      <c r="C46" s="70">
        <v>929</v>
      </c>
      <c r="D46" s="164">
        <f t="shared" si="4"/>
        <v>0</v>
      </c>
      <c r="E46" s="163">
        <v>0</v>
      </c>
      <c r="F46" s="163"/>
      <c r="G46" s="163">
        <v>0</v>
      </c>
      <c r="H46" s="163"/>
      <c r="I46" s="41"/>
      <c r="K46" s="45"/>
    </row>
    <row r="47" spans="1:11" ht="13.5" thickBot="1" x14ac:dyDescent="0.35">
      <c r="A47" s="39">
        <f t="shared" si="5"/>
        <v>34</v>
      </c>
      <c r="C47" s="70">
        <v>930.1</v>
      </c>
      <c r="D47" s="164">
        <f t="shared" si="4"/>
        <v>4498348</v>
      </c>
      <c r="E47" s="163">
        <v>4498348</v>
      </c>
      <c r="F47" s="163"/>
      <c r="G47" s="163">
        <v>0</v>
      </c>
      <c r="H47" s="163"/>
      <c r="I47" s="41"/>
      <c r="K47" s="45"/>
    </row>
    <row r="48" spans="1:11" ht="13.5" thickBot="1" x14ac:dyDescent="0.35">
      <c r="A48" s="39">
        <f t="shared" si="5"/>
        <v>35</v>
      </c>
      <c r="C48" s="70">
        <v>930.2</v>
      </c>
      <c r="D48" s="161">
        <f t="shared" si="4"/>
        <v>5999239.1899999976</v>
      </c>
      <c r="E48" s="162">
        <v>5999239.1899999976</v>
      </c>
      <c r="F48" s="163"/>
      <c r="G48" s="163">
        <v>0</v>
      </c>
      <c r="H48" s="163"/>
      <c r="I48" s="41"/>
      <c r="J48" s="45"/>
    </row>
    <row r="49" spans="1:10" ht="13" x14ac:dyDescent="0.3">
      <c r="A49" s="39">
        <f t="shared" si="5"/>
        <v>36</v>
      </c>
      <c r="C49" s="70">
        <v>931</v>
      </c>
      <c r="D49" s="164">
        <f t="shared" si="4"/>
        <v>12016812.699999999</v>
      </c>
      <c r="E49" s="163">
        <v>12016812.699999999</v>
      </c>
      <c r="F49" s="163"/>
      <c r="G49" s="163">
        <v>0</v>
      </c>
      <c r="H49" s="163"/>
      <c r="I49" s="41"/>
      <c r="J49" s="45"/>
    </row>
    <row r="50" spans="1:10" ht="13" x14ac:dyDescent="0.3">
      <c r="A50" s="39">
        <f t="shared" si="5"/>
        <v>37</v>
      </c>
      <c r="C50" s="70">
        <v>935</v>
      </c>
      <c r="D50" s="164">
        <f t="shared" si="4"/>
        <v>811671.73</v>
      </c>
      <c r="E50" s="163">
        <v>811671.73</v>
      </c>
      <c r="F50" s="163"/>
      <c r="G50" s="163">
        <v>0</v>
      </c>
      <c r="H50" s="163"/>
      <c r="I50" s="41"/>
    </row>
    <row r="51" spans="1:10" ht="13" x14ac:dyDescent="0.3">
      <c r="A51" s="39"/>
      <c r="C51" s="70"/>
      <c r="D51" s="164"/>
      <c r="E51" s="45"/>
      <c r="F51" s="45"/>
      <c r="G51" s="45"/>
      <c r="H51" s="45"/>
      <c r="I51" s="41"/>
    </row>
    <row r="52" spans="1:10" ht="13" x14ac:dyDescent="0.3">
      <c r="A52" s="39"/>
      <c r="C52" s="70"/>
      <c r="D52" s="164"/>
      <c r="E52" s="45"/>
      <c r="F52" s="45"/>
      <c r="G52" s="45"/>
      <c r="H52" s="45"/>
      <c r="I52" s="41"/>
    </row>
    <row r="53" spans="1:10" ht="13" x14ac:dyDescent="0.3">
      <c r="B53" s="35" t="s">
        <v>265</v>
      </c>
    </row>
    <row r="54" spans="1:10" ht="13" x14ac:dyDescent="0.3">
      <c r="B54" s="35"/>
      <c r="C54" s="36" t="s">
        <v>266</v>
      </c>
      <c r="G54" s="39"/>
      <c r="H54" s="39"/>
    </row>
    <row r="55" spans="1:10" ht="13" x14ac:dyDescent="0.3">
      <c r="B55" s="35"/>
      <c r="C55" s="63" t="s">
        <v>267</v>
      </c>
      <c r="D55" s="63"/>
      <c r="E55" s="63"/>
      <c r="G55" s="39"/>
      <c r="H55" s="39"/>
    </row>
    <row r="56" spans="1:10" ht="13" x14ac:dyDescent="0.3">
      <c r="B56" s="35"/>
      <c r="G56" s="43" t="s">
        <v>32</v>
      </c>
      <c r="H56" s="43" t="s">
        <v>33</v>
      </c>
    </row>
    <row r="57" spans="1:10" ht="13" x14ac:dyDescent="0.3">
      <c r="A57" s="39"/>
      <c r="B57" s="39" t="s">
        <v>114</v>
      </c>
      <c r="F57" s="55" t="s">
        <v>268</v>
      </c>
      <c r="G57" s="163">
        <v>148050456</v>
      </c>
      <c r="H57" s="41" t="s">
        <v>269</v>
      </c>
    </row>
    <row r="58" spans="1:10" ht="13" x14ac:dyDescent="0.3">
      <c r="A58" s="39"/>
      <c r="B58" s="39" t="s">
        <v>116</v>
      </c>
      <c r="F58" s="55" t="s">
        <v>270</v>
      </c>
      <c r="G58" s="51">
        <f>E62</f>
        <v>14080414.872411605</v>
      </c>
      <c r="H58" s="41" t="str">
        <f>"Note 2, "&amp;B62&amp;""</f>
        <v>Note 2, d</v>
      </c>
    </row>
    <row r="59" spans="1:10" ht="13" x14ac:dyDescent="0.3">
      <c r="A59" s="39"/>
      <c r="B59" s="39" t="s">
        <v>119</v>
      </c>
      <c r="F59" s="55" t="s">
        <v>271</v>
      </c>
      <c r="G59" s="45">
        <f>G57-G58</f>
        <v>133970041.12758839</v>
      </c>
    </row>
    <row r="60" spans="1:10" ht="13" x14ac:dyDescent="0.3">
      <c r="A60" s="39"/>
      <c r="C60" s="63" t="s">
        <v>272</v>
      </c>
      <c r="D60" s="63"/>
      <c r="E60" s="63"/>
      <c r="G60" s="45"/>
    </row>
    <row r="61" spans="1:10" ht="13" x14ac:dyDescent="0.3">
      <c r="A61" s="39"/>
      <c r="D61" s="42" t="s">
        <v>273</v>
      </c>
      <c r="E61" s="43" t="s">
        <v>32</v>
      </c>
      <c r="F61" s="43" t="s">
        <v>33</v>
      </c>
      <c r="G61" s="45"/>
    </row>
    <row r="62" spans="1:10" ht="13" x14ac:dyDescent="0.3">
      <c r="A62" s="39"/>
      <c r="B62" s="39" t="s">
        <v>121</v>
      </c>
      <c r="D62" s="36" t="s">
        <v>274</v>
      </c>
      <c r="E62" s="144">
        <v>14080414.872411605</v>
      </c>
      <c r="F62" s="41" t="s">
        <v>275</v>
      </c>
      <c r="G62" s="45"/>
    </row>
    <row r="63" spans="1:10" ht="13" x14ac:dyDescent="0.3">
      <c r="A63" s="39"/>
      <c r="B63" s="39" t="s">
        <v>125</v>
      </c>
      <c r="D63" s="36" t="s">
        <v>276</v>
      </c>
      <c r="E63" s="144">
        <v>6519087.5034648124</v>
      </c>
      <c r="F63" s="41" t="s">
        <v>275</v>
      </c>
      <c r="G63" s="45"/>
      <c r="I63" s="145"/>
    </row>
    <row r="64" spans="1:10" ht="13" x14ac:dyDescent="0.3">
      <c r="A64" s="39"/>
      <c r="B64" s="39" t="s">
        <v>127</v>
      </c>
      <c r="D64" s="36" t="s">
        <v>277</v>
      </c>
      <c r="E64" s="146">
        <v>22710657.624123573</v>
      </c>
      <c r="F64" s="41" t="s">
        <v>275</v>
      </c>
      <c r="G64" s="45"/>
      <c r="I64" s="45"/>
    </row>
    <row r="65" spans="1:7" ht="13" x14ac:dyDescent="0.3">
      <c r="A65" s="39"/>
      <c r="B65" s="39" t="s">
        <v>129</v>
      </c>
      <c r="D65" s="55" t="s">
        <v>278</v>
      </c>
      <c r="E65" s="45">
        <f>SUM(E62:E64)</f>
        <v>43310159.999999993</v>
      </c>
      <c r="F65" s="41" t="str">
        <f>"Sum of "&amp;B62&amp;" to "&amp;B64&amp;""</f>
        <v>Sum of d to f</v>
      </c>
      <c r="G65" s="45"/>
    </row>
    <row r="67" spans="1:7" ht="13" x14ac:dyDescent="0.3">
      <c r="B67" s="35" t="s">
        <v>279</v>
      </c>
    </row>
    <row r="68" spans="1:7" ht="13" x14ac:dyDescent="0.3">
      <c r="E68" s="43" t="s">
        <v>32</v>
      </c>
      <c r="F68" s="42" t="s">
        <v>280</v>
      </c>
    </row>
    <row r="69" spans="1:7" ht="13" x14ac:dyDescent="0.3">
      <c r="A69" s="39"/>
      <c r="B69" s="39" t="s">
        <v>114</v>
      </c>
      <c r="D69" s="55" t="s">
        <v>281</v>
      </c>
      <c r="E69" s="45">
        <v>6329000</v>
      </c>
      <c r="F69" s="41" t="s">
        <v>282</v>
      </c>
      <c r="G69" s="175"/>
    </row>
    <row r="70" spans="1:7" ht="13" x14ac:dyDescent="0.3">
      <c r="A70" s="39"/>
      <c r="B70" s="39" t="s">
        <v>116</v>
      </c>
      <c r="D70" s="55" t="s">
        <v>283</v>
      </c>
      <c r="E70" s="167">
        <v>18219000</v>
      </c>
      <c r="F70" s="41" t="s">
        <v>284</v>
      </c>
    </row>
    <row r="71" spans="1:7" ht="13" x14ac:dyDescent="0.3">
      <c r="A71" s="39"/>
      <c r="B71" s="39" t="s">
        <v>119</v>
      </c>
      <c r="D71" s="55" t="s">
        <v>285</v>
      </c>
      <c r="E71" s="168">
        <v>6329000</v>
      </c>
      <c r="F71" s="41" t="s">
        <v>269</v>
      </c>
    </row>
    <row r="72" spans="1:7" ht="13" x14ac:dyDescent="0.3">
      <c r="A72" s="39"/>
      <c r="B72" s="39" t="s">
        <v>121</v>
      </c>
      <c r="D72" s="55" t="s">
        <v>286</v>
      </c>
      <c r="E72" s="45">
        <f>E71-E70</f>
        <v>-11890000</v>
      </c>
      <c r="F72" s="41" t="str">
        <f>""&amp;B71&amp;" - "&amp;B70&amp;""</f>
        <v>c - b</v>
      </c>
    </row>
    <row r="73" spans="1:7" ht="13" x14ac:dyDescent="0.3">
      <c r="A73" s="39"/>
      <c r="B73" s="35" t="s">
        <v>287</v>
      </c>
      <c r="D73" s="55"/>
      <c r="E73" s="45"/>
      <c r="F73" s="41"/>
    </row>
    <row r="74" spans="1:7" ht="13" x14ac:dyDescent="0.3">
      <c r="A74" s="39"/>
      <c r="B74" s="35"/>
      <c r="C74" s="36" t="str">
        <f>"Amount in Line "&amp;A44&amp;", column 2 equals amount in Line "&amp;A13&amp;", column 1 because all Franchise Requirements Expenses are excluded"</f>
        <v>Amount in Line 31, column 2 equals amount in Line 8, column 1 because all Franchise Requirements Expenses are excluded</v>
      </c>
      <c r="D74" s="55"/>
      <c r="E74" s="45"/>
      <c r="F74" s="41"/>
    </row>
    <row r="75" spans="1:7" ht="13" x14ac:dyDescent="0.3">
      <c r="A75" s="39"/>
      <c r="B75" s="35"/>
      <c r="C75" s="36" t="s">
        <v>288</v>
      </c>
      <c r="D75" s="55"/>
      <c r="E75" s="45"/>
      <c r="F75" s="41"/>
    </row>
    <row r="77" spans="1:7" ht="13" x14ac:dyDescent="0.3">
      <c r="B77" s="35" t="s">
        <v>104</v>
      </c>
    </row>
    <row r="78" spans="1:7" x14ac:dyDescent="0.25">
      <c r="C78" s="36" t="str">
        <f>"1) Enter amounts of A&amp;G expenses from FERC Form 1 in Lines "&amp;A6&amp;" to "&amp;A19&amp;"."</f>
        <v>1) Enter amounts of A&amp;G expenses from FERC Form 1 in Lines 1 to 14.</v>
      </c>
    </row>
    <row r="79" spans="1:7" x14ac:dyDescent="0.25">
      <c r="C79" s="36" t="s">
        <v>289</v>
      </c>
      <c r="G79" s="36" t="str">
        <f>"Column 3, Line "&amp;A37&amp;""</f>
        <v>Column 3, Line 24</v>
      </c>
    </row>
    <row r="80" spans="1:7" x14ac:dyDescent="0.25">
      <c r="C80" s="41" t="str">
        <f>"is calculated in Note 2.  The PBOPs exclusion in Column 4, Line "&amp;A43&amp;" is calculated in Note 3."</f>
        <v>is calculated in Note 2.  The PBOPs exclusion in Column 4, Line 30 is calculated in Note 3.</v>
      </c>
    </row>
    <row r="81" spans="3:7" x14ac:dyDescent="0.25">
      <c r="C81" s="41" t="s">
        <v>290</v>
      </c>
    </row>
    <row r="82" spans="3:7" x14ac:dyDescent="0.25">
      <c r="C82" s="41" t="s">
        <v>291</v>
      </c>
      <c r="D82" s="55"/>
      <c r="E82" s="45"/>
      <c r="F82" s="41"/>
    </row>
    <row r="83" spans="3:7" x14ac:dyDescent="0.25">
      <c r="C83" s="41" t="s">
        <v>292</v>
      </c>
      <c r="D83" s="55"/>
      <c r="E83" s="45"/>
      <c r="F83" s="41"/>
    </row>
    <row r="84" spans="3:7" x14ac:dyDescent="0.25">
      <c r="C84" s="41" t="s">
        <v>293</v>
      </c>
    </row>
    <row r="85" spans="3:7" x14ac:dyDescent="0.25">
      <c r="C85" s="41" t="s">
        <v>294</v>
      </c>
    </row>
    <row r="86" spans="3:7" x14ac:dyDescent="0.25">
      <c r="C86" s="41" t="s">
        <v>295</v>
      </c>
    </row>
    <row r="87" spans="3:7" x14ac:dyDescent="0.25">
      <c r="C87" s="41" t="s">
        <v>296</v>
      </c>
    </row>
    <row r="88" spans="3:7" x14ac:dyDescent="0.25">
      <c r="C88" s="41" t="s">
        <v>297</v>
      </c>
    </row>
    <row r="89" spans="3:7" x14ac:dyDescent="0.25">
      <c r="C89" s="41" t="s">
        <v>298</v>
      </c>
      <c r="E89" s="169"/>
      <c r="F89" s="169"/>
      <c r="G89" s="169"/>
    </row>
    <row r="90" spans="3:7" x14ac:dyDescent="0.25">
      <c r="C90" s="170" t="s">
        <v>299</v>
      </c>
      <c r="E90" s="169"/>
      <c r="F90" s="169"/>
      <c r="G90" s="169"/>
    </row>
    <row r="91" spans="3:7" x14ac:dyDescent="0.25">
      <c r="C91" s="170" t="s">
        <v>300</v>
      </c>
      <c r="E91" s="169"/>
      <c r="F91" s="169"/>
      <c r="G91" s="169"/>
    </row>
    <row r="92" spans="3:7" x14ac:dyDescent="0.25">
      <c r="C92" s="170" t="s">
        <v>301</v>
      </c>
      <c r="E92" s="169"/>
      <c r="F92" s="169"/>
      <c r="G92" s="169"/>
    </row>
    <row r="93" spans="3:7" x14ac:dyDescent="0.25">
      <c r="C93" s="41" t="s">
        <v>302</v>
      </c>
      <c r="E93" s="169"/>
      <c r="F93" s="169"/>
      <c r="G93" s="169"/>
    </row>
    <row r="94" spans="3:7" x14ac:dyDescent="0.25">
      <c r="C94" s="170" t="s">
        <v>303</v>
      </c>
      <c r="E94" s="169"/>
      <c r="F94" s="169"/>
      <c r="G94" s="169"/>
    </row>
    <row r="95" spans="3:7" x14ac:dyDescent="0.25">
      <c r="C95" s="170" t="s">
        <v>304</v>
      </c>
      <c r="E95" s="169"/>
      <c r="F95" s="169"/>
      <c r="G95" s="169"/>
    </row>
    <row r="96" spans="3:7" x14ac:dyDescent="0.25">
      <c r="C96" s="170" t="s">
        <v>305</v>
      </c>
      <c r="E96" s="169"/>
      <c r="F96" s="169"/>
      <c r="G96" s="169"/>
    </row>
    <row r="97" spans="3:10" x14ac:dyDescent="0.25">
      <c r="C97" s="170" t="s">
        <v>306</v>
      </c>
      <c r="E97" s="169"/>
      <c r="F97" s="169"/>
      <c r="G97" s="169"/>
    </row>
    <row r="98" spans="3:10" ht="13" x14ac:dyDescent="0.3">
      <c r="C98" s="72" t="s">
        <v>307</v>
      </c>
      <c r="D98" s="63"/>
      <c r="E98" s="63"/>
      <c r="F98" s="63"/>
      <c r="G98" s="63"/>
      <c r="H98" s="63"/>
      <c r="I98" s="63"/>
      <c r="J98" s="63"/>
    </row>
    <row r="99" spans="3:10" x14ac:dyDescent="0.25">
      <c r="C99" s="36" t="s">
        <v>308</v>
      </c>
    </row>
    <row r="100" spans="3:10" x14ac:dyDescent="0.25">
      <c r="C100" s="72" t="s">
        <v>309</v>
      </c>
      <c r="D100" s="63"/>
      <c r="E100" s="63"/>
      <c r="F100" s="63"/>
      <c r="G100" s="63"/>
      <c r="H100" s="63"/>
      <c r="I100" s="63"/>
    </row>
    <row r="101" spans="3:10" x14ac:dyDescent="0.25">
      <c r="C101" s="36" t="str">
        <f>"4) Determine the PBOPs exclusion.  The authorized amount of PBOPs expense (line "&amp;B69&amp;") may only be revised"</f>
        <v>4) Determine the PBOPs exclusion.  The authorized amount of PBOPs expense (line a) may only be revised</v>
      </c>
    </row>
    <row r="102" spans="3:10" x14ac:dyDescent="0.25">
      <c r="C102" s="36" t="s">
        <v>310</v>
      </c>
    </row>
    <row r="103" spans="3:10" x14ac:dyDescent="0.25">
      <c r="C103" s="36" t="s">
        <v>311</v>
      </c>
    </row>
    <row r="104" spans="3:10" x14ac:dyDescent="0.25">
      <c r="C104" s="36" t="s">
        <v>312</v>
      </c>
      <c r="I104" s="66" t="s">
        <v>323</v>
      </c>
      <c r="J104" s="66"/>
    </row>
    <row r="105" spans="3:10" x14ac:dyDescent="0.25">
      <c r="C105" s="36" t="s">
        <v>314</v>
      </c>
    </row>
  </sheetData>
  <pageMargins left="0.75" right="0.75" top="1" bottom="1" header="0.5" footer="0.5"/>
  <pageSetup scale="70" orientation="landscape" cellComments="asDisplayed" r:id="rId1"/>
  <headerFooter alignWithMargins="0">
    <oddHeader>&amp;CSchedule 20
Administrative and General Expenses
(Revised 2019 
TO2018 True Up TRR)&amp;RTO2022 Draft Annual Update
Attachment 4
WP-Schedule 3-One Time Adj Prior Period
Page &amp;P of &amp;N</oddHeader>
    <oddFooter>&amp;R&amp;A</oddFooter>
  </headerFooter>
  <rowBreaks count="2" manualBreakCount="2">
    <brk id="51" max="9" man="1"/>
    <brk id="76"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6D3C0-7687-477A-8AD1-9F4D1BBE0EDC}">
  <sheetPr>
    <tabColor rgb="FFCCFFCC"/>
  </sheetPr>
  <dimension ref="A1:O172"/>
  <sheetViews>
    <sheetView topLeftCell="A49" zoomScaleNormal="100" workbookViewId="0"/>
  </sheetViews>
  <sheetFormatPr defaultColWidth="8.7265625" defaultRowHeight="12.5" x14ac:dyDescent="0.25"/>
  <cols>
    <col min="1" max="2" width="4.54296875" style="36" customWidth="1"/>
    <col min="3" max="3" width="18.54296875" style="36" customWidth="1"/>
    <col min="4" max="4" width="10.453125" style="36" bestFit="1" customWidth="1"/>
    <col min="5" max="7" width="15.54296875" style="36" customWidth="1"/>
    <col min="8" max="8" width="24.54296875" style="36" customWidth="1"/>
    <col min="9" max="9" width="4.54296875" style="36" customWidth="1"/>
    <col min="10" max="10" width="15.54296875" style="36" customWidth="1"/>
    <col min="11" max="11" width="2.54296875" style="36" customWidth="1"/>
    <col min="12" max="12" width="14.453125" style="36" customWidth="1"/>
    <col min="13" max="13" width="4.453125" style="36" customWidth="1"/>
    <col min="14" max="14" width="15.453125" style="36" customWidth="1"/>
    <col min="15" max="16384" width="8.7265625" style="36"/>
  </cols>
  <sheetData>
    <row r="1" spans="1:14" ht="13" x14ac:dyDescent="0.3">
      <c r="A1" s="35" t="s">
        <v>35</v>
      </c>
    </row>
    <row r="3" spans="1:14" ht="13" x14ac:dyDescent="0.3">
      <c r="B3" s="37" t="s">
        <v>36</v>
      </c>
      <c r="L3" s="39"/>
    </row>
    <row r="4" spans="1:14" ht="13" x14ac:dyDescent="0.3">
      <c r="B4" s="38"/>
      <c r="F4" s="39" t="s">
        <v>37</v>
      </c>
      <c r="G4" s="39"/>
      <c r="H4" s="39" t="s">
        <v>38</v>
      </c>
      <c r="L4" s="39"/>
      <c r="N4" s="39"/>
    </row>
    <row r="5" spans="1:14" ht="13" x14ac:dyDescent="0.3">
      <c r="A5" s="40" t="s">
        <v>39</v>
      </c>
      <c r="B5" s="41"/>
      <c r="C5" s="42" t="s">
        <v>40</v>
      </c>
      <c r="F5" s="43" t="s">
        <v>41</v>
      </c>
      <c r="G5" s="43" t="s">
        <v>42</v>
      </c>
      <c r="H5" s="43" t="s">
        <v>43</v>
      </c>
      <c r="J5" s="43" t="s">
        <v>32</v>
      </c>
      <c r="L5" s="43"/>
      <c r="N5" s="43"/>
    </row>
    <row r="6" spans="1:14" ht="13" x14ac:dyDescent="0.3">
      <c r="A6" s="39">
        <v>1</v>
      </c>
      <c r="C6" s="44" t="s">
        <v>44</v>
      </c>
      <c r="F6" s="36" t="s">
        <v>45</v>
      </c>
      <c r="H6" s="44" t="s">
        <v>352</v>
      </c>
      <c r="J6" s="45">
        <v>8939630709.3337479</v>
      </c>
      <c r="L6" s="45"/>
      <c r="N6" s="45"/>
    </row>
    <row r="7" spans="1:14" ht="13" x14ac:dyDescent="0.3">
      <c r="A7" s="39">
        <f>A6+1</f>
        <v>2</v>
      </c>
      <c r="C7" s="44" t="s">
        <v>46</v>
      </c>
      <c r="F7" s="36" t="s">
        <v>47</v>
      </c>
      <c r="H7" s="44" t="s">
        <v>353</v>
      </c>
      <c r="J7" s="45">
        <v>288986135.3460899</v>
      </c>
      <c r="L7" s="45"/>
      <c r="N7" s="45"/>
    </row>
    <row r="8" spans="1:14" ht="13" x14ac:dyDescent="0.3">
      <c r="A8" s="39">
        <f>A7+1</f>
        <v>3</v>
      </c>
      <c r="C8" s="44" t="s">
        <v>48</v>
      </c>
      <c r="F8" s="36" t="s">
        <v>47</v>
      </c>
      <c r="H8" s="36" t="s">
        <v>354</v>
      </c>
      <c r="J8" s="45">
        <v>9942155</v>
      </c>
      <c r="L8" s="45"/>
      <c r="N8" s="45"/>
    </row>
    <row r="9" spans="1:14" ht="13" x14ac:dyDescent="0.3">
      <c r="A9" s="39">
        <f>A8+1</f>
        <v>4</v>
      </c>
      <c r="C9" s="44" t="s">
        <v>49</v>
      </c>
      <c r="F9" s="36" t="s">
        <v>47</v>
      </c>
      <c r="H9" s="36" t="s">
        <v>355</v>
      </c>
      <c r="J9" s="45">
        <v>0</v>
      </c>
      <c r="L9" s="45"/>
      <c r="N9" s="45"/>
    </row>
    <row r="10" spans="1:14" ht="13" x14ac:dyDescent="0.3">
      <c r="A10" s="39"/>
      <c r="C10" s="44"/>
      <c r="J10" s="45"/>
      <c r="L10" s="45"/>
      <c r="N10" s="45"/>
    </row>
    <row r="11" spans="1:14" ht="13" x14ac:dyDescent="0.3">
      <c r="A11" s="39"/>
      <c r="C11" s="46" t="s">
        <v>50</v>
      </c>
      <c r="J11" s="45"/>
      <c r="L11" s="45"/>
      <c r="N11" s="45"/>
    </row>
    <row r="12" spans="1:14" ht="13" x14ac:dyDescent="0.3">
      <c r="A12" s="39">
        <f>A9+1</f>
        <v>5</v>
      </c>
      <c r="C12" s="41" t="s">
        <v>51</v>
      </c>
      <c r="F12" s="36" t="s">
        <v>45</v>
      </c>
      <c r="H12" s="44" t="s">
        <v>356</v>
      </c>
      <c r="J12" s="45">
        <v>21476899.868948326</v>
      </c>
      <c r="L12" s="45"/>
      <c r="N12" s="45"/>
    </row>
    <row r="13" spans="1:14" ht="13" x14ac:dyDescent="0.3">
      <c r="A13" s="39">
        <f>A12+1</f>
        <v>6</v>
      </c>
      <c r="C13" s="41" t="s">
        <v>52</v>
      </c>
      <c r="F13" s="36" t="s">
        <v>45</v>
      </c>
      <c r="H13" s="44" t="s">
        <v>357</v>
      </c>
      <c r="J13" s="45">
        <v>21286307.043254811</v>
      </c>
      <c r="L13" s="45"/>
      <c r="N13" s="45"/>
    </row>
    <row r="14" spans="1:14" ht="13" x14ac:dyDescent="0.3">
      <c r="A14" s="39">
        <f>A13+1</f>
        <v>7</v>
      </c>
      <c r="C14" s="41" t="s">
        <v>53</v>
      </c>
      <c r="F14" s="36" t="s">
        <v>148</v>
      </c>
      <c r="H14" s="36" t="s">
        <v>358</v>
      </c>
      <c r="J14" s="47">
        <v>24704370.695105191</v>
      </c>
      <c r="L14" s="51"/>
      <c r="N14" s="45"/>
    </row>
    <row r="15" spans="1:14" ht="13" x14ac:dyDescent="0.3">
      <c r="A15" s="39">
        <f>A14+1</f>
        <v>8</v>
      </c>
      <c r="C15" s="41" t="s">
        <v>54</v>
      </c>
      <c r="H15" s="36" t="str">
        <f>"Line "&amp;A12&amp;" + Line "&amp;A13&amp;" + Line "&amp;A14&amp;""</f>
        <v>Line 5 + Line 6 + Line 7</v>
      </c>
      <c r="J15" s="48">
        <f>SUM(J12:J14)</f>
        <v>67467577.607308328</v>
      </c>
      <c r="L15" s="45"/>
      <c r="N15" s="45"/>
    </row>
    <row r="16" spans="1:14" ht="13" x14ac:dyDescent="0.3">
      <c r="A16" s="39"/>
      <c r="C16" s="41"/>
      <c r="J16" s="45"/>
      <c r="L16" s="45"/>
      <c r="N16" s="45"/>
    </row>
    <row r="17" spans="1:14" ht="13" x14ac:dyDescent="0.3">
      <c r="A17" s="39"/>
      <c r="C17" s="49" t="s">
        <v>55</v>
      </c>
      <c r="J17" s="45"/>
      <c r="L17" s="45"/>
      <c r="N17" s="45"/>
    </row>
    <row r="18" spans="1:14" ht="13" x14ac:dyDescent="0.3">
      <c r="A18" s="39">
        <f>A15+1</f>
        <v>9</v>
      </c>
      <c r="C18" s="41" t="s">
        <v>56</v>
      </c>
      <c r="F18" s="36" t="s">
        <v>45</v>
      </c>
      <c r="G18" s="36" t="s">
        <v>57</v>
      </c>
      <c r="H18" s="44" t="s">
        <v>374</v>
      </c>
      <c r="J18" s="45">
        <v>-1839774172.2805853</v>
      </c>
      <c r="L18" s="45"/>
      <c r="N18" s="45"/>
    </row>
    <row r="19" spans="1:14" ht="13" x14ac:dyDescent="0.3">
      <c r="A19" s="39">
        <f>A18+1</f>
        <v>10</v>
      </c>
      <c r="C19" s="41" t="s">
        <v>58</v>
      </c>
      <c r="F19" s="36" t="s">
        <v>47</v>
      </c>
      <c r="G19" s="36" t="s">
        <v>57</v>
      </c>
      <c r="H19" s="44" t="s">
        <v>375</v>
      </c>
      <c r="J19" s="45">
        <v>0</v>
      </c>
      <c r="L19" s="45"/>
      <c r="N19" s="45"/>
    </row>
    <row r="20" spans="1:14" ht="13" x14ac:dyDescent="0.3">
      <c r="A20" s="39">
        <f>A19+1</f>
        <v>11</v>
      </c>
      <c r="C20" s="41" t="s">
        <v>59</v>
      </c>
      <c r="D20" s="50"/>
      <c r="F20" s="36" t="s">
        <v>47</v>
      </c>
      <c r="G20" s="36" t="s">
        <v>57</v>
      </c>
      <c r="H20" s="44" t="s">
        <v>376</v>
      </c>
      <c r="J20" s="51">
        <v>-105809932.94764221</v>
      </c>
      <c r="L20" s="45"/>
      <c r="N20" s="45"/>
    </row>
    <row r="21" spans="1:14" ht="13" x14ac:dyDescent="0.3">
      <c r="A21" s="39">
        <f>A20+1</f>
        <v>12</v>
      </c>
      <c r="C21" s="52" t="s">
        <v>60</v>
      </c>
      <c r="D21" s="50"/>
      <c r="H21" s="36" t="str">
        <f>"Line "&amp;A18&amp;" + Line "&amp;A19&amp;" + Line "&amp;A20&amp;""</f>
        <v>Line 9 + Line 10 + Line 11</v>
      </c>
      <c r="J21" s="45">
        <f>SUM(J18:J20)</f>
        <v>-1945584105.2282276</v>
      </c>
      <c r="L21" s="45"/>
      <c r="N21" s="45"/>
    </row>
    <row r="22" spans="1:14" ht="13" x14ac:dyDescent="0.3">
      <c r="A22" s="39"/>
      <c r="J22" s="45"/>
      <c r="L22" s="45"/>
      <c r="N22" s="45"/>
    </row>
    <row r="23" spans="1:14" ht="13" x14ac:dyDescent="0.3">
      <c r="A23" s="39">
        <f>A21+1</f>
        <v>13</v>
      </c>
      <c r="C23" s="44" t="s">
        <v>61</v>
      </c>
      <c r="F23" s="44" t="s">
        <v>47</v>
      </c>
      <c r="H23" s="44" t="s">
        <v>384</v>
      </c>
      <c r="J23" s="45">
        <v>-1632145854.7122164</v>
      </c>
      <c r="L23" s="45"/>
      <c r="N23" s="45"/>
    </row>
    <row r="24" spans="1:14" ht="13" x14ac:dyDescent="0.3">
      <c r="A24" s="39">
        <f>A23+1</f>
        <v>14</v>
      </c>
      <c r="C24" s="44" t="s">
        <v>62</v>
      </c>
      <c r="F24" s="36" t="s">
        <v>45</v>
      </c>
      <c r="H24" s="44" t="s">
        <v>385</v>
      </c>
      <c r="J24" s="45">
        <v>602185189.09144735</v>
      </c>
      <c r="L24" s="45"/>
      <c r="N24" s="45"/>
    </row>
    <row r="25" spans="1:14" ht="13" x14ac:dyDescent="0.3">
      <c r="A25" s="39">
        <f>A24+1</f>
        <v>15</v>
      </c>
      <c r="C25" s="44" t="s">
        <v>63</v>
      </c>
      <c r="F25" s="36" t="s">
        <v>47</v>
      </c>
      <c r="G25" s="36" t="s">
        <v>57</v>
      </c>
      <c r="H25" s="44" t="s">
        <v>379</v>
      </c>
      <c r="J25" s="45">
        <v>-50661304.942000374</v>
      </c>
      <c r="L25" s="45"/>
      <c r="N25" s="45"/>
    </row>
    <row r="26" spans="1:14" ht="13" x14ac:dyDescent="0.3">
      <c r="A26" s="39">
        <f t="shared" ref="A26:A27" si="0">A25+1</f>
        <v>16</v>
      </c>
      <c r="C26" s="44" t="s">
        <v>64</v>
      </c>
      <c r="H26" s="36" t="s">
        <v>380</v>
      </c>
      <c r="J26" s="45">
        <v>-192258245.62261316</v>
      </c>
      <c r="L26" s="45"/>
      <c r="N26" s="45"/>
    </row>
    <row r="27" spans="1:14" ht="13" x14ac:dyDescent="0.3">
      <c r="A27" s="39">
        <f t="shared" si="0"/>
        <v>17</v>
      </c>
      <c r="C27" s="44" t="s">
        <v>65</v>
      </c>
      <c r="F27" s="36" t="s">
        <v>47</v>
      </c>
      <c r="H27" s="44" t="s">
        <v>381</v>
      </c>
      <c r="J27" s="45">
        <v>0</v>
      </c>
      <c r="L27" s="45"/>
      <c r="N27" s="45"/>
    </row>
    <row r="28" spans="1:14" ht="13" x14ac:dyDescent="0.3">
      <c r="A28" s="39"/>
      <c r="C28" s="44"/>
      <c r="L28" s="45"/>
      <c r="N28" s="45"/>
    </row>
    <row r="29" spans="1:14" ht="13" x14ac:dyDescent="0.3">
      <c r="A29" s="39">
        <f>A27+1</f>
        <v>18</v>
      </c>
      <c r="C29" s="36" t="s">
        <v>66</v>
      </c>
      <c r="H29" s="36" t="str">
        <f>"L"&amp;A6&amp;"+L"&amp;A7&amp;"+L"&amp;A8&amp;"+L"&amp;A9&amp;"+L"&amp;A15&amp;"+L"&amp;A21&amp;"+"</f>
        <v>L1+L2+L3+L4+L8+L12+</v>
      </c>
      <c r="J29" s="48">
        <f>J6+ J7+J8+J9+J15+J21+J23+J24+J25+J26+J27</f>
        <v>6087562255.8735352</v>
      </c>
      <c r="L29" s="45"/>
      <c r="N29" s="45"/>
    </row>
    <row r="30" spans="1:14" ht="13" x14ac:dyDescent="0.3">
      <c r="A30" s="39"/>
      <c r="H30" s="36" t="str">
        <f>"L"&amp;A23&amp;"+L"&amp;A24&amp;"+L"&amp;A25&amp;"+L"&amp;A26&amp;"+L"&amp;A27&amp;""</f>
        <v>L13+L14+L15+L16+L17</v>
      </c>
      <c r="J30" s="45"/>
      <c r="L30" s="45"/>
      <c r="N30" s="45"/>
    </row>
    <row r="31" spans="1:14" ht="13" x14ac:dyDescent="0.3">
      <c r="A31" s="39"/>
      <c r="B31" s="35" t="s">
        <v>67</v>
      </c>
      <c r="J31" s="45"/>
      <c r="L31" s="45"/>
      <c r="N31" s="45"/>
    </row>
    <row r="32" spans="1:14" ht="13" x14ac:dyDescent="0.3">
      <c r="A32" s="40" t="s">
        <v>39</v>
      </c>
      <c r="C32" s="35"/>
      <c r="J32" s="45"/>
      <c r="L32" s="45"/>
      <c r="N32" s="45"/>
    </row>
    <row r="33" spans="1:14" ht="13" x14ac:dyDescent="0.3">
      <c r="A33" s="39">
        <f>A29+1</f>
        <v>19</v>
      </c>
      <c r="C33" s="36" t="s">
        <v>68</v>
      </c>
      <c r="G33" s="36" t="s">
        <v>69</v>
      </c>
      <c r="H33" s="36" t="str">
        <f>"Instruction 1, Line "&amp;B98&amp;""</f>
        <v>Instruction 1, Line j</v>
      </c>
      <c r="J33" s="53">
        <f>E98</f>
        <v>7.7411713785852182E-2</v>
      </c>
      <c r="L33" s="53"/>
      <c r="M33" s="53"/>
      <c r="N33" s="53"/>
    </row>
    <row r="34" spans="1:14" ht="13" x14ac:dyDescent="0.3">
      <c r="A34" s="39">
        <f>A33+1</f>
        <v>20</v>
      </c>
      <c r="C34" s="36" t="s">
        <v>70</v>
      </c>
      <c r="H34" s="36" t="str">
        <f>"Line "&amp;A29&amp;" * Line "&amp;A33&amp;""</f>
        <v>Line 18 * Line 19</v>
      </c>
      <c r="J34" s="48">
        <f>J29*J33</f>
        <v>471248627.00523877</v>
      </c>
      <c r="L34" s="45"/>
      <c r="N34" s="45"/>
    </row>
    <row r="35" spans="1:14" ht="13" x14ac:dyDescent="0.3">
      <c r="A35" s="39"/>
      <c r="B35" s="41"/>
      <c r="L35" s="45"/>
      <c r="N35" s="45"/>
    </row>
    <row r="36" spans="1:14" ht="13" x14ac:dyDescent="0.3">
      <c r="A36" s="39"/>
      <c r="B36" s="35" t="s">
        <v>71</v>
      </c>
      <c r="L36" s="45"/>
      <c r="N36" s="45"/>
    </row>
    <row r="37" spans="1:14" ht="13" x14ac:dyDescent="0.3">
      <c r="A37" s="39"/>
      <c r="B37" s="41"/>
      <c r="L37" s="45"/>
      <c r="N37" s="45"/>
    </row>
    <row r="38" spans="1:14" ht="13" x14ac:dyDescent="0.3">
      <c r="A38" s="39">
        <f>A34+1</f>
        <v>21</v>
      </c>
      <c r="C38" s="36" t="s">
        <v>72</v>
      </c>
      <c r="J38" s="48">
        <f>(((J29*J42) + J45) *(J43/(1-J43)))+(J44/(1-J43))</f>
        <v>98290403.077979624</v>
      </c>
      <c r="L38" s="45"/>
      <c r="N38" s="45"/>
    </row>
    <row r="39" spans="1:14" ht="13" x14ac:dyDescent="0.3">
      <c r="A39" s="39"/>
      <c r="L39" s="45"/>
      <c r="N39" s="45"/>
    </row>
    <row r="40" spans="1:14" ht="13" x14ac:dyDescent="0.3">
      <c r="A40" s="39"/>
      <c r="D40" s="36" t="s">
        <v>73</v>
      </c>
      <c r="L40" s="45"/>
      <c r="N40" s="45"/>
    </row>
    <row r="41" spans="1:14" ht="13" x14ac:dyDescent="0.3">
      <c r="A41" s="39">
        <f>A38+1</f>
        <v>22</v>
      </c>
      <c r="D41" s="41" t="s">
        <v>74</v>
      </c>
      <c r="H41" s="36" t="str">
        <f>"Line "&amp;A29&amp;""</f>
        <v>Line 18</v>
      </c>
      <c r="J41" s="48">
        <f>J29</f>
        <v>6087562255.8735352</v>
      </c>
      <c r="L41" s="45"/>
      <c r="N41" s="45"/>
    </row>
    <row r="42" spans="1:14" ht="13" x14ac:dyDescent="0.3">
      <c r="A42" s="39">
        <f>A41+1</f>
        <v>23</v>
      </c>
      <c r="D42" s="41" t="s">
        <v>75</v>
      </c>
      <c r="G42" s="36" t="s">
        <v>76</v>
      </c>
      <c r="H42" s="36" t="str">
        <f>"Instruction 1, Line "&amp;B103&amp;""</f>
        <v>Instruction 1, Line k</v>
      </c>
      <c r="J42" s="53">
        <f>E103</f>
        <v>5.6784747193324485E-2</v>
      </c>
      <c r="L42" s="53"/>
      <c r="M42" s="53"/>
      <c r="N42" s="53"/>
    </row>
    <row r="43" spans="1:14" ht="13" x14ac:dyDescent="0.3">
      <c r="A43" s="39">
        <f>A42+1</f>
        <v>24</v>
      </c>
      <c r="D43" s="41" t="s">
        <v>77</v>
      </c>
      <c r="H43" s="36" t="s">
        <v>359</v>
      </c>
      <c r="J43" s="53">
        <v>0.27983599999999997</v>
      </c>
      <c r="L43" s="53"/>
      <c r="M43" s="53"/>
      <c r="N43" s="53"/>
    </row>
    <row r="44" spans="1:14" ht="13" x14ac:dyDescent="0.3">
      <c r="A44" s="39">
        <f>A43+1</f>
        <v>25</v>
      </c>
      <c r="D44" s="41" t="s">
        <v>78</v>
      </c>
      <c r="H44" s="36" t="s">
        <v>360</v>
      </c>
      <c r="J44" s="45">
        <v>-27044842</v>
      </c>
      <c r="L44" s="45"/>
      <c r="N44" s="45"/>
    </row>
    <row r="45" spans="1:14" ht="13" x14ac:dyDescent="0.3">
      <c r="A45" s="39">
        <f>A44+1</f>
        <v>26</v>
      </c>
      <c r="D45" s="41" t="s">
        <v>79</v>
      </c>
      <c r="H45" s="36" t="s">
        <v>361</v>
      </c>
      <c r="J45" s="45">
        <v>3917123</v>
      </c>
      <c r="L45" s="45"/>
      <c r="N45" s="45"/>
    </row>
    <row r="46" spans="1:14" ht="13" x14ac:dyDescent="0.3">
      <c r="A46" s="39"/>
      <c r="B46" s="41"/>
      <c r="L46" s="45"/>
      <c r="N46" s="45"/>
    </row>
    <row r="47" spans="1:14" ht="13" x14ac:dyDescent="0.3">
      <c r="A47" s="39"/>
      <c r="B47" s="35" t="s">
        <v>80</v>
      </c>
      <c r="L47" s="45"/>
      <c r="N47" s="45"/>
    </row>
    <row r="48" spans="1:14" ht="13" x14ac:dyDescent="0.3">
      <c r="A48" s="39">
        <f>A45+1</f>
        <v>27</v>
      </c>
      <c r="B48" s="41"/>
      <c r="C48" s="36" t="s">
        <v>81</v>
      </c>
      <c r="H48" s="36" t="s">
        <v>362</v>
      </c>
      <c r="J48" s="45">
        <v>110879588.38578117</v>
      </c>
      <c r="L48" s="45"/>
      <c r="N48" s="45"/>
    </row>
    <row r="49" spans="1:14" ht="13" x14ac:dyDescent="0.3">
      <c r="A49" s="39">
        <f t="shared" ref="A49:A59" si="1">A48+1</f>
        <v>28</v>
      </c>
      <c r="B49" s="41"/>
      <c r="C49" s="36" t="s">
        <v>82</v>
      </c>
      <c r="H49" s="36" t="s">
        <v>363</v>
      </c>
      <c r="J49" s="48">
        <v>86755377.175060362</v>
      </c>
      <c r="L49" s="45"/>
      <c r="N49" s="45"/>
    </row>
    <row r="50" spans="1:14" ht="13" x14ac:dyDescent="0.3">
      <c r="A50" s="39">
        <f>A49+1</f>
        <v>29</v>
      </c>
      <c r="B50" s="41"/>
      <c r="C50" s="36" t="s">
        <v>83</v>
      </c>
      <c r="H50" s="36" t="s">
        <v>364</v>
      </c>
      <c r="J50" s="45">
        <v>4075483.5901751588</v>
      </c>
      <c r="L50" s="45"/>
      <c r="N50" s="45"/>
    </row>
    <row r="51" spans="1:14" ht="13" x14ac:dyDescent="0.3">
      <c r="A51" s="39">
        <f t="shared" si="1"/>
        <v>30</v>
      </c>
      <c r="B51" s="41"/>
      <c r="C51" s="36" t="s">
        <v>84</v>
      </c>
      <c r="H51" s="36" t="s">
        <v>365</v>
      </c>
      <c r="J51" s="45">
        <v>255151988.45508885</v>
      </c>
      <c r="L51" s="45"/>
      <c r="N51" s="45"/>
    </row>
    <row r="52" spans="1:14" ht="13" x14ac:dyDescent="0.3">
      <c r="A52" s="39">
        <f t="shared" si="1"/>
        <v>31</v>
      </c>
      <c r="B52" s="41"/>
      <c r="C52" s="36" t="s">
        <v>85</v>
      </c>
      <c r="H52" s="36" t="s">
        <v>366</v>
      </c>
      <c r="J52" s="45">
        <v>0</v>
      </c>
      <c r="L52" s="45"/>
      <c r="N52" s="45"/>
    </row>
    <row r="53" spans="1:14" ht="13" x14ac:dyDescent="0.3">
      <c r="A53" s="39">
        <f t="shared" si="1"/>
        <v>32</v>
      </c>
      <c r="B53" s="41"/>
      <c r="C53" s="36" t="s">
        <v>86</v>
      </c>
      <c r="H53" s="36" t="s">
        <v>367</v>
      </c>
      <c r="J53" s="45">
        <v>66056888.527829707</v>
      </c>
      <c r="L53" s="45"/>
      <c r="N53" s="45"/>
    </row>
    <row r="54" spans="1:14" ht="13" x14ac:dyDescent="0.3">
      <c r="A54" s="39">
        <f t="shared" si="1"/>
        <v>33</v>
      </c>
      <c r="B54" s="41"/>
      <c r="C54" s="36" t="s">
        <v>87</v>
      </c>
      <c r="H54" s="36" t="s">
        <v>368</v>
      </c>
      <c r="J54" s="45">
        <v>-54094032.244774804</v>
      </c>
      <c r="L54" s="45"/>
      <c r="N54" s="45"/>
    </row>
    <row r="55" spans="1:14" ht="13" x14ac:dyDescent="0.3">
      <c r="A55" s="39">
        <f t="shared" si="1"/>
        <v>34</v>
      </c>
      <c r="B55" s="41"/>
      <c r="C55" s="36" t="s">
        <v>88</v>
      </c>
      <c r="H55" s="36" t="str">
        <f>"Line "&amp;A34&amp;""</f>
        <v>Line 20</v>
      </c>
      <c r="J55" s="48">
        <f>J34</f>
        <v>471248627.00523877</v>
      </c>
      <c r="L55" s="45"/>
      <c r="N55" s="45"/>
    </row>
    <row r="56" spans="1:14" ht="13" x14ac:dyDescent="0.3">
      <c r="A56" s="39">
        <f t="shared" si="1"/>
        <v>35</v>
      </c>
      <c r="B56" s="41"/>
      <c r="C56" s="36" t="s">
        <v>89</v>
      </c>
      <c r="H56" s="36" t="str">
        <f>"Line "&amp;A38&amp;""</f>
        <v>Line 21</v>
      </c>
      <c r="J56" s="48">
        <f>J38</f>
        <v>98290403.077979624</v>
      </c>
      <c r="L56" s="45"/>
      <c r="N56" s="45"/>
    </row>
    <row r="57" spans="1:14" ht="13" x14ac:dyDescent="0.3">
      <c r="A57" s="39">
        <f t="shared" si="1"/>
        <v>36</v>
      </c>
      <c r="B57" s="41"/>
      <c r="C57" s="36" t="s">
        <v>90</v>
      </c>
      <c r="H57" s="36" t="s">
        <v>369</v>
      </c>
      <c r="J57" s="45">
        <v>0</v>
      </c>
      <c r="L57" s="45"/>
      <c r="N57" s="45"/>
    </row>
    <row r="58" spans="1:14" ht="13" x14ac:dyDescent="0.3">
      <c r="A58" s="39">
        <f t="shared" si="1"/>
        <v>37</v>
      </c>
      <c r="B58" s="41"/>
      <c r="C58" s="54" t="s">
        <v>91</v>
      </c>
      <c r="D58" s="54"/>
      <c r="H58" s="36" t="s">
        <v>370</v>
      </c>
      <c r="J58" s="51">
        <v>0</v>
      </c>
      <c r="L58" s="45"/>
      <c r="N58" s="45"/>
    </row>
    <row r="59" spans="1:14" ht="13" x14ac:dyDescent="0.3">
      <c r="A59" s="39">
        <f t="shared" si="1"/>
        <v>38</v>
      </c>
      <c r="B59" s="41"/>
      <c r="C59" s="36" t="s">
        <v>92</v>
      </c>
      <c r="H59" s="36" t="str">
        <f>"Sum Line "&amp;A48&amp;" to Line "&amp;A58&amp;""</f>
        <v>Sum Line 27 to Line 37</v>
      </c>
      <c r="J59" s="48">
        <f>SUM(J48:J58)</f>
        <v>1038364323.9723787</v>
      </c>
      <c r="L59" s="45"/>
      <c r="N59" s="45"/>
    </row>
    <row r="60" spans="1:14" ht="13" x14ac:dyDescent="0.3">
      <c r="A60" s="39"/>
      <c r="B60" s="41"/>
      <c r="J60" s="45"/>
      <c r="L60" s="45"/>
      <c r="N60" s="45"/>
    </row>
    <row r="61" spans="1:14" ht="12.75" customHeight="1" x14ac:dyDescent="0.3">
      <c r="A61" s="39">
        <f>A59+1</f>
        <v>39</v>
      </c>
      <c r="B61" s="41"/>
      <c r="C61" s="36" t="s">
        <v>93</v>
      </c>
      <c r="H61" s="36" t="s">
        <v>382</v>
      </c>
      <c r="J61" s="45">
        <v>26714525.602631234</v>
      </c>
      <c r="L61" s="45"/>
      <c r="N61" s="45"/>
    </row>
    <row r="62" spans="1:14" ht="12.75" customHeight="1" x14ac:dyDescent="0.3">
      <c r="A62" s="39" t="s">
        <v>153</v>
      </c>
      <c r="B62" s="41"/>
      <c r="C62" s="36" t="s">
        <v>154</v>
      </c>
      <c r="H62" s="36" t="s">
        <v>155</v>
      </c>
      <c r="J62" s="45">
        <f>-J61</f>
        <v>-26714525.602631234</v>
      </c>
      <c r="L62" s="45"/>
      <c r="N62" s="45"/>
    </row>
    <row r="63" spans="1:14" ht="13" x14ac:dyDescent="0.3">
      <c r="A63" s="39"/>
      <c r="B63" s="41"/>
      <c r="J63" s="45"/>
      <c r="L63" s="45"/>
      <c r="N63" s="45"/>
    </row>
    <row r="64" spans="1:14" ht="13" x14ac:dyDescent="0.3">
      <c r="A64" s="39">
        <f>A61+1</f>
        <v>40</v>
      </c>
      <c r="B64" s="41"/>
      <c r="C64" s="36" t="s">
        <v>94</v>
      </c>
      <c r="H64" s="36" t="str">
        <f>"Sum of Lines "&amp;A59&amp;" to "&amp;A62&amp;""</f>
        <v>Sum of Lines 38 to 39a</v>
      </c>
      <c r="J64" s="48">
        <f>J59+J61+J62</f>
        <v>1038364323.9723787</v>
      </c>
      <c r="L64" s="45"/>
      <c r="N64" s="45"/>
    </row>
    <row r="65" spans="1:15" ht="13" x14ac:dyDescent="0.3">
      <c r="A65" s="39"/>
      <c r="B65" s="41"/>
      <c r="J65" s="45"/>
    </row>
    <row r="66" spans="1:15" ht="13" x14ac:dyDescent="0.3">
      <c r="A66" s="39"/>
      <c r="B66" s="37" t="s">
        <v>95</v>
      </c>
      <c r="J66" s="45"/>
      <c r="N66" s="39"/>
    </row>
    <row r="67" spans="1:15" ht="13.5" thickBot="1" x14ac:dyDescent="0.35">
      <c r="A67" s="40" t="s">
        <v>39</v>
      </c>
      <c r="B67" s="44"/>
      <c r="G67" s="42" t="s">
        <v>96</v>
      </c>
      <c r="N67" s="43"/>
    </row>
    <row r="68" spans="1:15" ht="13" x14ac:dyDescent="0.3">
      <c r="A68" s="39">
        <f>A64+1</f>
        <v>41</v>
      </c>
      <c r="B68" s="44"/>
      <c r="D68" s="55" t="s">
        <v>97</v>
      </c>
      <c r="E68" s="48">
        <f>J64</f>
        <v>1038364323.9723787</v>
      </c>
      <c r="G68" s="36" t="str">
        <f>"Line "&amp;A64&amp;""</f>
        <v>Line 40</v>
      </c>
      <c r="J68" s="56" t="s">
        <v>98</v>
      </c>
      <c r="N68" s="45"/>
    </row>
    <row r="69" spans="1:15" ht="13" x14ac:dyDescent="0.3">
      <c r="A69" s="39">
        <f>A68+1</f>
        <v>42</v>
      </c>
      <c r="B69" s="44"/>
      <c r="D69" s="55" t="s">
        <v>99</v>
      </c>
      <c r="E69" s="57">
        <v>9.2480778683301876E-3</v>
      </c>
      <c r="G69" s="36" t="s">
        <v>383</v>
      </c>
      <c r="J69" s="58" t="s">
        <v>185</v>
      </c>
      <c r="N69" s="53"/>
    </row>
    <row r="70" spans="1:15" ht="13" x14ac:dyDescent="0.3">
      <c r="A70" s="39">
        <f>A69+1</f>
        <v>43</v>
      </c>
      <c r="B70" s="44"/>
      <c r="D70" s="55" t="s">
        <v>100</v>
      </c>
      <c r="E70" s="45">
        <f>E68*E69</f>
        <v>9602874.1237925924</v>
      </c>
      <c r="G70" s="36" t="str">
        <f>"Line "&amp;A68&amp;" * Line "&amp;A69&amp;""</f>
        <v>Line 41 * Line 42</v>
      </c>
      <c r="J70" s="59">
        <f>E73</f>
        <v>1050183075.4398698</v>
      </c>
      <c r="N70" s="45"/>
    </row>
    <row r="71" spans="1:15" ht="33.65" customHeight="1" x14ac:dyDescent="0.3">
      <c r="A71" s="39">
        <f>A70+1</f>
        <v>44</v>
      </c>
      <c r="B71" s="44"/>
      <c r="D71" s="55" t="s">
        <v>101</v>
      </c>
      <c r="E71" s="57">
        <v>2.1340075853350199E-3</v>
      </c>
      <c r="G71" s="36" t="s">
        <v>383</v>
      </c>
      <c r="J71" s="60">
        <v>1045077006.6261117</v>
      </c>
      <c r="K71" s="248" t="s">
        <v>189</v>
      </c>
      <c r="L71" s="249"/>
      <c r="M71" s="249"/>
      <c r="N71" s="53"/>
    </row>
    <row r="72" spans="1:15" ht="13.5" thickBot="1" x14ac:dyDescent="0.35">
      <c r="A72" s="39">
        <f>A71+1</f>
        <v>45</v>
      </c>
      <c r="B72" s="44"/>
      <c r="D72" s="55" t="s">
        <v>102</v>
      </c>
      <c r="E72" s="45">
        <f>E68*E71</f>
        <v>2215877.343698326</v>
      </c>
      <c r="G72" s="36" t="str">
        <f>"Line "&amp;A68&amp;" * Line "&amp;A71&amp;""</f>
        <v>Line 41 * Line 44</v>
      </c>
      <c r="J72" s="61">
        <f>J70-J71</f>
        <v>5106068.8137580156</v>
      </c>
      <c r="K72" s="83"/>
      <c r="L72" s="84"/>
      <c r="N72" s="45"/>
    </row>
    <row r="73" spans="1:15" ht="13" x14ac:dyDescent="0.3">
      <c r="A73" s="39">
        <f>A72+1</f>
        <v>46</v>
      </c>
      <c r="B73" s="44"/>
      <c r="D73" s="55" t="s">
        <v>103</v>
      </c>
      <c r="E73" s="48">
        <f>E68+E70+E72</f>
        <v>1050183075.4398698</v>
      </c>
      <c r="G73" s="36" t="str">
        <f>"L "&amp;A68&amp;" + L "&amp;A70&amp;" + L "&amp;A72&amp;""</f>
        <v>L 41 + L 43 + L 45</v>
      </c>
      <c r="L73" s="45"/>
      <c r="N73" s="45"/>
    </row>
    <row r="74" spans="1:15" ht="13" x14ac:dyDescent="0.3">
      <c r="B74" s="37" t="s">
        <v>104</v>
      </c>
      <c r="D74" s="55"/>
      <c r="E74" s="45"/>
      <c r="H74" s="63"/>
      <c r="L74" s="45">
        <v>5265694.2453887463</v>
      </c>
      <c r="M74" s="36" t="s">
        <v>316</v>
      </c>
    </row>
    <row r="75" spans="1:15" ht="13" x14ac:dyDescent="0.3">
      <c r="A75" s="39"/>
      <c r="B75" s="36" t="s">
        <v>150</v>
      </c>
      <c r="C75" s="37"/>
      <c r="D75" s="55"/>
      <c r="E75" s="45"/>
      <c r="L75" s="95">
        <v>-32.372801899909902</v>
      </c>
      <c r="M75" s="36" t="s">
        <v>317</v>
      </c>
    </row>
    <row r="76" spans="1:15" ht="13" x14ac:dyDescent="0.3">
      <c r="A76" s="39"/>
      <c r="B76" s="36" t="s">
        <v>151</v>
      </c>
      <c r="C76" s="37"/>
      <c r="D76" s="55"/>
      <c r="E76" s="45"/>
      <c r="L76" s="95">
        <v>-136858.17709779739</v>
      </c>
      <c r="M76" s="36" t="s">
        <v>318</v>
      </c>
    </row>
    <row r="77" spans="1:15" ht="13" x14ac:dyDescent="0.3">
      <c r="A77" s="39"/>
      <c r="B77" s="44" t="s">
        <v>105</v>
      </c>
      <c r="D77" s="55"/>
      <c r="E77" s="45"/>
      <c r="L77" s="155">
        <v>-22734.881731033325</v>
      </c>
      <c r="M77" s="36" t="s">
        <v>319</v>
      </c>
      <c r="O77" s="46"/>
    </row>
    <row r="78" spans="1:15" ht="13" x14ac:dyDescent="0.3">
      <c r="A78" s="39"/>
      <c r="B78" s="44" t="s">
        <v>106</v>
      </c>
      <c r="D78" s="55"/>
      <c r="E78" s="45"/>
      <c r="L78" s="101">
        <f>SUM(L74:L77)</f>
        <v>5106068.8137580156</v>
      </c>
      <c r="M78" s="36" t="s">
        <v>198</v>
      </c>
    </row>
    <row r="79" spans="1:15" ht="13" x14ac:dyDescent="0.3">
      <c r="A79" s="39"/>
      <c r="L79" s="51"/>
      <c r="M79" s="46"/>
      <c r="N79" s="46"/>
    </row>
    <row r="80" spans="1:15" ht="13" x14ac:dyDescent="0.3">
      <c r="A80" s="39"/>
      <c r="B80" s="36" t="s">
        <v>107</v>
      </c>
      <c r="L80" s="182">
        <f>50/365</f>
        <v>0.13698630136986301</v>
      </c>
      <c r="M80" s="183" t="s">
        <v>335</v>
      </c>
      <c r="N80" s="183"/>
    </row>
    <row r="81" spans="1:14" ht="13" x14ac:dyDescent="0.3">
      <c r="A81" s="39"/>
      <c r="C81" s="36" t="s">
        <v>108</v>
      </c>
      <c r="L81" s="45">
        <f>L74*L80</f>
        <v>721327.97882037621</v>
      </c>
      <c r="M81" s="36" t="s">
        <v>316</v>
      </c>
    </row>
    <row r="82" spans="1:14" ht="13" x14ac:dyDescent="0.3">
      <c r="A82" s="39"/>
      <c r="J82" s="39" t="s">
        <v>109</v>
      </c>
      <c r="L82" s="45">
        <f>L75*L80</f>
        <v>-4.4346303972479317</v>
      </c>
      <c r="M82" s="36" t="s">
        <v>317</v>
      </c>
    </row>
    <row r="83" spans="1:14" ht="13" x14ac:dyDescent="0.3">
      <c r="A83" s="39"/>
      <c r="E83" s="43" t="s">
        <v>110</v>
      </c>
      <c r="F83" s="42" t="s">
        <v>96</v>
      </c>
      <c r="G83" s="43" t="s">
        <v>111</v>
      </c>
      <c r="H83" s="43" t="s">
        <v>112</v>
      </c>
      <c r="J83" s="43" t="s">
        <v>113</v>
      </c>
      <c r="L83" s="45">
        <f>L76*L80</f>
        <v>-18747.695492848958</v>
      </c>
      <c r="M83" s="36" t="s">
        <v>318</v>
      </c>
    </row>
    <row r="84" spans="1:14" ht="13" x14ac:dyDescent="0.3">
      <c r="B84" s="64" t="s">
        <v>114</v>
      </c>
      <c r="C84" s="36" t="s">
        <v>115</v>
      </c>
      <c r="E84" s="96">
        <v>0.10299999999999999</v>
      </c>
      <c r="F84" s="36" t="s">
        <v>118</v>
      </c>
      <c r="G84" s="82">
        <v>43781</v>
      </c>
      <c r="H84" s="82">
        <v>43830</v>
      </c>
      <c r="J84" s="97">
        <v>50</v>
      </c>
      <c r="L84" s="51">
        <f>L77*L80</f>
        <v>-3114.3673604155238</v>
      </c>
      <c r="M84" s="36" t="s">
        <v>319</v>
      </c>
    </row>
    <row r="85" spans="1:14" ht="13" x14ac:dyDescent="0.3">
      <c r="B85" s="64" t="s">
        <v>116</v>
      </c>
      <c r="C85" s="36" t="s">
        <v>117</v>
      </c>
      <c r="E85" s="96">
        <v>0.112</v>
      </c>
      <c r="F85" s="36" t="s">
        <v>152</v>
      </c>
      <c r="G85" s="82">
        <v>43466</v>
      </c>
      <c r="H85" s="82">
        <v>43780</v>
      </c>
      <c r="J85" s="97">
        <v>315</v>
      </c>
      <c r="L85" s="185">
        <f>SUM(L81:L84)</f>
        <v>699461.48133671447</v>
      </c>
      <c r="M85" s="183" t="s">
        <v>198</v>
      </c>
      <c r="N85" s="183"/>
    </row>
    <row r="86" spans="1:14" ht="13" x14ac:dyDescent="0.3">
      <c r="B86" s="64" t="s">
        <v>119</v>
      </c>
      <c r="E86" s="67"/>
      <c r="G86" s="68"/>
      <c r="H86" s="68"/>
      <c r="I86" s="55" t="s">
        <v>120</v>
      </c>
      <c r="J86" s="70">
        <f>SUM(J84:J85)</f>
        <v>365</v>
      </c>
    </row>
    <row r="87" spans="1:14" ht="13" x14ac:dyDescent="0.3">
      <c r="B87" s="64" t="s">
        <v>121</v>
      </c>
      <c r="C87" s="36" t="s">
        <v>122</v>
      </c>
      <c r="E87" s="65">
        <f>((E84*J84) + (E85* J85)) / J86</f>
        <v>0.11076712328767123</v>
      </c>
      <c r="F87" s="36" t="s">
        <v>123</v>
      </c>
    </row>
    <row r="88" spans="1:14" ht="13" x14ac:dyDescent="0.3">
      <c r="A88" s="39"/>
    </row>
    <row r="89" spans="1:14" ht="13" x14ac:dyDescent="0.3">
      <c r="A89" s="39"/>
      <c r="B89" s="36" t="s">
        <v>124</v>
      </c>
    </row>
    <row r="90" spans="1:14" ht="13" x14ac:dyDescent="0.3">
      <c r="A90" s="39"/>
      <c r="E90" s="42" t="s">
        <v>96</v>
      </c>
    </row>
    <row r="91" spans="1:14" ht="13" x14ac:dyDescent="0.3">
      <c r="B91" s="64" t="s">
        <v>125</v>
      </c>
      <c r="C91" s="36" t="s">
        <v>126</v>
      </c>
      <c r="E91" s="98" t="s">
        <v>187</v>
      </c>
      <c r="F91" s="66"/>
      <c r="G91" s="66"/>
      <c r="H91" s="66"/>
      <c r="I91" s="66"/>
      <c r="J91" s="66"/>
    </row>
    <row r="92" spans="1:14" ht="13" x14ac:dyDescent="0.3">
      <c r="B92" s="64" t="s">
        <v>127</v>
      </c>
      <c r="C92" s="36" t="s">
        <v>128</v>
      </c>
      <c r="E92" s="98" t="s">
        <v>188</v>
      </c>
      <c r="F92" s="66"/>
      <c r="G92" s="66"/>
      <c r="H92" s="66"/>
      <c r="I92" s="66"/>
      <c r="J92" s="66"/>
    </row>
    <row r="93" spans="1:14" x14ac:dyDescent="0.25">
      <c r="E93" s="68"/>
    </row>
    <row r="94" spans="1:14" ht="13" x14ac:dyDescent="0.3">
      <c r="E94" s="43" t="s">
        <v>110</v>
      </c>
      <c r="F94" s="42" t="s">
        <v>96</v>
      </c>
    </row>
    <row r="95" spans="1:14" ht="13" x14ac:dyDescent="0.3">
      <c r="B95" s="64" t="s">
        <v>129</v>
      </c>
      <c r="C95" s="36" t="s">
        <v>130</v>
      </c>
      <c r="E95" s="99">
        <v>2.0626966592527701E-2</v>
      </c>
      <c r="F95" s="36" t="s">
        <v>371</v>
      </c>
    </row>
    <row r="96" spans="1:14" ht="13" x14ac:dyDescent="0.3">
      <c r="B96" s="64" t="s">
        <v>131</v>
      </c>
      <c r="C96" s="36" t="s">
        <v>132</v>
      </c>
      <c r="E96" s="99">
        <v>4.1703636316806555E-3</v>
      </c>
      <c r="F96" s="36" t="s">
        <v>372</v>
      </c>
    </row>
    <row r="97" spans="1:10" ht="13" x14ac:dyDescent="0.3">
      <c r="B97" s="64" t="s">
        <v>133</v>
      </c>
      <c r="C97" s="36" t="s">
        <v>134</v>
      </c>
      <c r="E97" s="100">
        <v>5.2614383561643829E-2</v>
      </c>
      <c r="F97" s="36" t="s">
        <v>373</v>
      </c>
    </row>
    <row r="98" spans="1:10" ht="13" x14ac:dyDescent="0.3">
      <c r="B98" s="39" t="s">
        <v>135</v>
      </c>
      <c r="C98" s="41" t="s">
        <v>68</v>
      </c>
      <c r="E98" s="99">
        <f>SUM(E95:E97)</f>
        <v>7.7411713785852182E-2</v>
      </c>
      <c r="F98" s="45" t="str">
        <f>"Sum of Lines "&amp;B95&amp;" to "&amp;B97&amp;""</f>
        <v>Sum of Lines g to i</v>
      </c>
      <c r="G98" s="70"/>
      <c r="J98" s="71"/>
    </row>
    <row r="99" spans="1:10" ht="13" x14ac:dyDescent="0.3">
      <c r="A99" s="39"/>
      <c r="C99" s="72"/>
      <c r="D99" s="73"/>
      <c r="E99" s="45"/>
      <c r="F99" s="45"/>
      <c r="G99" s="70"/>
      <c r="H99" s="45"/>
      <c r="J99" s="71"/>
    </row>
    <row r="100" spans="1:10" ht="13" x14ac:dyDescent="0.3">
      <c r="A100" s="39"/>
      <c r="B100" s="36" t="s">
        <v>136</v>
      </c>
    </row>
    <row r="101" spans="1:10" ht="13" x14ac:dyDescent="0.3">
      <c r="A101" s="39"/>
    </row>
    <row r="102" spans="1:10" ht="13" x14ac:dyDescent="0.3">
      <c r="A102" s="39"/>
      <c r="E102" s="43" t="s">
        <v>110</v>
      </c>
      <c r="F102" s="42" t="s">
        <v>96</v>
      </c>
    </row>
    <row r="103" spans="1:10" ht="13" x14ac:dyDescent="0.3">
      <c r="B103" s="64" t="s">
        <v>137</v>
      </c>
      <c r="E103" s="99">
        <f>E96+E97</f>
        <v>5.6784747193324485E-2</v>
      </c>
      <c r="F103" s="45" t="str">
        <f>"Sum of Lines "&amp;B96&amp;" to "&amp;B97&amp;""</f>
        <v>Sum of Lines h to i</v>
      </c>
    </row>
    <row r="104" spans="1:10" ht="13" x14ac:dyDescent="0.3">
      <c r="A104" s="39"/>
      <c r="E104" s="53"/>
      <c r="F104" s="45"/>
    </row>
    <row r="105" spans="1:10" ht="13" x14ac:dyDescent="0.3">
      <c r="A105" s="39"/>
      <c r="B105" s="40" t="s">
        <v>158</v>
      </c>
      <c r="E105" s="70"/>
      <c r="F105" s="70"/>
      <c r="G105" s="70"/>
      <c r="H105" s="45"/>
    </row>
    <row r="106" spans="1:10" ht="13" x14ac:dyDescent="0.3">
      <c r="A106" s="39"/>
      <c r="B106" s="36" t="s">
        <v>159</v>
      </c>
    </row>
    <row r="107" spans="1:10" ht="13" x14ac:dyDescent="0.3">
      <c r="A107" s="39"/>
      <c r="B107" s="41" t="s">
        <v>190</v>
      </c>
      <c r="D107" s="39"/>
      <c r="E107" s="39"/>
      <c r="F107" s="39"/>
      <c r="G107" s="39"/>
      <c r="H107" s="39"/>
    </row>
    <row r="108" spans="1:10" ht="13" x14ac:dyDescent="0.3">
      <c r="A108" s="39"/>
      <c r="B108" s="44"/>
      <c r="D108" s="39"/>
      <c r="E108" s="39"/>
      <c r="F108" s="39"/>
      <c r="G108" s="39"/>
      <c r="H108" s="39"/>
    </row>
    <row r="109" spans="1:10" ht="13" x14ac:dyDescent="0.3">
      <c r="A109" s="39"/>
      <c r="C109" s="74"/>
      <c r="D109" s="74"/>
      <c r="E109" s="43"/>
      <c r="F109" s="43"/>
      <c r="G109" s="43"/>
      <c r="H109" s="43"/>
    </row>
    <row r="110" spans="1:10" ht="13" x14ac:dyDescent="0.3">
      <c r="A110" s="39"/>
    </row>
    <row r="111" spans="1:10" ht="13" x14ac:dyDescent="0.3">
      <c r="A111" s="39"/>
    </row>
    <row r="112" spans="1:10" ht="13" x14ac:dyDescent="0.3">
      <c r="A112" s="39"/>
    </row>
    <row r="113" spans="1:10" ht="13" x14ac:dyDescent="0.3">
      <c r="A113" s="39"/>
      <c r="C113" s="72"/>
      <c r="E113" s="45"/>
      <c r="F113" s="45"/>
      <c r="H113" s="45"/>
      <c r="J113" s="71"/>
    </row>
    <row r="114" spans="1:10" ht="13" x14ac:dyDescent="0.3">
      <c r="A114" s="39"/>
      <c r="C114" s="72"/>
      <c r="E114" s="45"/>
      <c r="F114" s="45"/>
      <c r="H114" s="45"/>
      <c r="J114" s="71"/>
    </row>
    <row r="115" spans="1:10" ht="13" x14ac:dyDescent="0.3">
      <c r="A115" s="40"/>
      <c r="C115" s="72"/>
      <c r="E115" s="45"/>
      <c r="F115" s="45"/>
      <c r="H115" s="45"/>
      <c r="J115" s="71"/>
    </row>
    <row r="116" spans="1:10" ht="13" x14ac:dyDescent="0.3">
      <c r="A116" s="39"/>
      <c r="D116" s="75"/>
      <c r="E116" s="45"/>
      <c r="F116" s="45"/>
      <c r="H116" s="45"/>
      <c r="J116" s="71"/>
    </row>
    <row r="117" spans="1:10" ht="13" x14ac:dyDescent="0.3">
      <c r="A117" s="39"/>
      <c r="C117" s="72"/>
      <c r="D117" s="55"/>
      <c r="E117" s="51"/>
      <c r="F117" s="45"/>
      <c r="H117" s="45"/>
      <c r="J117" s="71"/>
    </row>
    <row r="118" spans="1:10" ht="13" x14ac:dyDescent="0.3">
      <c r="A118" s="39"/>
      <c r="C118" s="72"/>
      <c r="D118" s="55"/>
      <c r="E118" s="45"/>
      <c r="F118" s="45"/>
      <c r="H118" s="45"/>
      <c r="J118" s="71"/>
    </row>
    <row r="119" spans="1:10" ht="13" x14ac:dyDescent="0.3">
      <c r="A119" s="39"/>
    </row>
    <row r="120" spans="1:10" ht="13" x14ac:dyDescent="0.3">
      <c r="A120" s="39"/>
      <c r="B120" s="35"/>
    </row>
    <row r="121" spans="1:10" ht="13" x14ac:dyDescent="0.3">
      <c r="A121" s="39"/>
    </row>
    <row r="122" spans="1:10" ht="13" x14ac:dyDescent="0.3">
      <c r="A122" s="39"/>
    </row>
    <row r="123" spans="1:10" ht="13" x14ac:dyDescent="0.3">
      <c r="A123" s="39"/>
      <c r="F123" s="39"/>
    </row>
    <row r="124" spans="1:10" ht="13" x14ac:dyDescent="0.3">
      <c r="A124" s="39"/>
      <c r="F124" s="39"/>
    </row>
    <row r="125" spans="1:10" ht="13" x14ac:dyDescent="0.3">
      <c r="A125" s="39"/>
      <c r="D125" s="39"/>
      <c r="E125" s="39"/>
      <c r="F125" s="39"/>
      <c r="H125" s="39"/>
    </row>
    <row r="126" spans="1:10" ht="13" x14ac:dyDescent="0.3">
      <c r="A126" s="39"/>
      <c r="D126" s="39"/>
      <c r="E126" s="39"/>
      <c r="F126" s="39"/>
      <c r="G126" s="39"/>
      <c r="H126" s="64"/>
    </row>
    <row r="127" spans="1:10" ht="13" x14ac:dyDescent="0.3">
      <c r="A127" s="40"/>
      <c r="C127" s="74"/>
      <c r="D127" s="74"/>
      <c r="E127" s="43"/>
      <c r="F127" s="76"/>
      <c r="G127" s="43"/>
      <c r="H127" s="64"/>
    </row>
    <row r="128" spans="1:10" ht="13" x14ac:dyDescent="0.3">
      <c r="A128" s="39"/>
      <c r="C128" s="72"/>
      <c r="D128" s="73"/>
      <c r="E128" s="45"/>
      <c r="F128" s="45"/>
      <c r="G128" s="65"/>
      <c r="H128" s="45"/>
    </row>
    <row r="129" spans="1:8" ht="13" x14ac:dyDescent="0.3">
      <c r="A129" s="39"/>
      <c r="C129" s="72"/>
      <c r="D129" s="73"/>
      <c r="E129" s="45"/>
      <c r="F129" s="45"/>
      <c r="G129" s="65"/>
      <c r="H129" s="45"/>
    </row>
    <row r="130" spans="1:8" ht="13" x14ac:dyDescent="0.3">
      <c r="A130" s="39"/>
      <c r="C130" s="72"/>
      <c r="D130" s="73"/>
      <c r="E130" s="45"/>
      <c r="F130" s="45"/>
      <c r="G130" s="65"/>
      <c r="H130" s="45"/>
    </row>
    <row r="131" spans="1:8" ht="13" x14ac:dyDescent="0.3">
      <c r="A131" s="39"/>
      <c r="C131" s="72"/>
      <c r="D131" s="73"/>
      <c r="E131" s="45"/>
      <c r="F131" s="45"/>
      <c r="G131" s="65"/>
      <c r="H131" s="45"/>
    </row>
    <row r="132" spans="1:8" ht="13" x14ac:dyDescent="0.3">
      <c r="A132" s="39"/>
      <c r="C132" s="72"/>
      <c r="D132" s="73"/>
      <c r="E132" s="45"/>
      <c r="F132" s="45"/>
      <c r="G132" s="65"/>
      <c r="H132" s="45"/>
    </row>
    <row r="133" spans="1:8" ht="13" x14ac:dyDescent="0.3">
      <c r="A133" s="39"/>
      <c r="C133" s="72"/>
      <c r="D133" s="73"/>
      <c r="E133" s="45"/>
      <c r="F133" s="45"/>
      <c r="G133" s="65"/>
      <c r="H133" s="45"/>
    </row>
    <row r="134" spans="1:8" ht="13" x14ac:dyDescent="0.3">
      <c r="A134" s="39"/>
      <c r="C134" s="72"/>
      <c r="D134" s="73"/>
      <c r="E134" s="45"/>
      <c r="F134" s="45"/>
      <c r="G134" s="65"/>
      <c r="H134" s="45"/>
    </row>
    <row r="135" spans="1:8" ht="13" x14ac:dyDescent="0.3">
      <c r="A135" s="39"/>
      <c r="C135" s="72"/>
      <c r="D135" s="73"/>
      <c r="E135" s="45"/>
      <c r="F135" s="45"/>
      <c r="G135" s="65"/>
      <c r="H135" s="45"/>
    </row>
    <row r="136" spans="1:8" ht="13" x14ac:dyDescent="0.3">
      <c r="A136" s="39"/>
      <c r="C136" s="72"/>
      <c r="D136" s="73"/>
      <c r="E136" s="45"/>
      <c r="F136" s="45"/>
      <c r="G136" s="65"/>
      <c r="H136" s="45"/>
    </row>
    <row r="137" spans="1:8" ht="13" x14ac:dyDescent="0.3">
      <c r="A137" s="39"/>
      <c r="C137" s="72"/>
      <c r="D137" s="73"/>
      <c r="E137" s="45"/>
      <c r="F137" s="45"/>
      <c r="G137" s="65"/>
      <c r="H137" s="45"/>
    </row>
    <row r="138" spans="1:8" ht="13" x14ac:dyDescent="0.3">
      <c r="A138" s="39"/>
      <c r="C138" s="72"/>
      <c r="D138" s="73"/>
      <c r="E138" s="45"/>
      <c r="F138" s="45"/>
      <c r="G138" s="65"/>
      <c r="H138" s="45"/>
    </row>
    <row r="139" spans="1:8" ht="13" x14ac:dyDescent="0.3">
      <c r="A139" s="39"/>
      <c r="C139" s="72"/>
      <c r="D139" s="73"/>
      <c r="E139" s="45"/>
      <c r="F139" s="45"/>
      <c r="G139" s="65"/>
      <c r="H139" s="51"/>
    </row>
    <row r="140" spans="1:8" ht="13" x14ac:dyDescent="0.3">
      <c r="A140" s="39"/>
      <c r="H140" s="45"/>
    </row>
    <row r="141" spans="1:8" ht="13" x14ac:dyDescent="0.3">
      <c r="A141" s="39"/>
      <c r="C141" s="72"/>
      <c r="D141" s="73"/>
      <c r="F141" s="77"/>
      <c r="G141" s="65"/>
      <c r="H141" s="77"/>
    </row>
    <row r="142" spans="1:8" ht="13" x14ac:dyDescent="0.3">
      <c r="A142" s="39"/>
      <c r="B142" s="35"/>
      <c r="C142" s="72"/>
      <c r="D142" s="73"/>
      <c r="F142" s="77"/>
      <c r="G142" s="65"/>
      <c r="H142" s="77"/>
    </row>
    <row r="143" spans="1:8" ht="13" x14ac:dyDescent="0.3">
      <c r="A143" s="40"/>
      <c r="B143" s="35"/>
      <c r="C143" s="72"/>
      <c r="D143" s="73"/>
      <c r="F143" s="77"/>
      <c r="G143" s="65"/>
      <c r="H143" s="77"/>
    </row>
    <row r="144" spans="1:8" ht="13" x14ac:dyDescent="0.3">
      <c r="A144" s="39"/>
      <c r="C144" s="72"/>
      <c r="D144" s="78"/>
      <c r="E144" s="45"/>
      <c r="F144" s="79"/>
      <c r="G144" s="65"/>
      <c r="H144" s="77"/>
    </row>
    <row r="145" spans="1:8" ht="13" x14ac:dyDescent="0.3">
      <c r="A145" s="39"/>
      <c r="C145" s="72"/>
      <c r="D145" s="55"/>
      <c r="E145" s="45"/>
      <c r="F145" s="79"/>
      <c r="G145" s="65"/>
      <c r="H145" s="77"/>
    </row>
    <row r="146" spans="1:8" ht="13" x14ac:dyDescent="0.3">
      <c r="A146" s="39"/>
      <c r="C146" s="72"/>
      <c r="D146" s="55"/>
      <c r="E146" s="51"/>
      <c r="F146" s="79"/>
      <c r="G146" s="65"/>
      <c r="H146" s="77"/>
    </row>
    <row r="147" spans="1:8" ht="13" x14ac:dyDescent="0.3">
      <c r="A147" s="39"/>
      <c r="C147" s="72"/>
      <c r="D147" s="78"/>
      <c r="E147" s="45"/>
      <c r="F147" s="77"/>
      <c r="G147" s="65"/>
      <c r="H147" s="77"/>
    </row>
    <row r="148" spans="1:8" ht="13" x14ac:dyDescent="0.3">
      <c r="A148" s="39"/>
      <c r="C148" s="72"/>
      <c r="D148" s="73"/>
      <c r="F148" s="77"/>
      <c r="G148" s="65"/>
      <c r="H148" s="77"/>
    </row>
    <row r="149" spans="1:8" ht="13" x14ac:dyDescent="0.3">
      <c r="A149" s="39"/>
    </row>
    <row r="150" spans="1:8" ht="13" x14ac:dyDescent="0.3">
      <c r="A150" s="39"/>
    </row>
    <row r="151" spans="1:8" ht="13" x14ac:dyDescent="0.3">
      <c r="A151" s="39"/>
    </row>
    <row r="152" spans="1:8" ht="13" x14ac:dyDescent="0.3">
      <c r="A152" s="39"/>
      <c r="B152" s="35"/>
    </row>
    <row r="153" spans="1:8" ht="13" x14ac:dyDescent="0.3">
      <c r="A153" s="39"/>
    </row>
    <row r="154" spans="1:8" ht="13" x14ac:dyDescent="0.3">
      <c r="A154" s="39"/>
    </row>
    <row r="155" spans="1:8" ht="13" x14ac:dyDescent="0.3">
      <c r="A155" s="39"/>
    </row>
    <row r="156" spans="1:8" ht="13" x14ac:dyDescent="0.3">
      <c r="A156" s="39"/>
    </row>
    <row r="157" spans="1:8" ht="13" x14ac:dyDescent="0.3">
      <c r="A157" s="39"/>
      <c r="B157" s="35"/>
    </row>
    <row r="158" spans="1:8" ht="13" x14ac:dyDescent="0.3">
      <c r="A158" s="39"/>
    </row>
    <row r="159" spans="1:8" ht="13" x14ac:dyDescent="0.3">
      <c r="A159" s="40"/>
      <c r="C159" s="74"/>
      <c r="D159" s="43"/>
    </row>
    <row r="160" spans="1:8" ht="13" x14ac:dyDescent="0.3">
      <c r="A160" s="39"/>
      <c r="C160" s="72"/>
      <c r="D160" s="80"/>
      <c r="F160" s="53"/>
    </row>
    <row r="161" spans="1:6" ht="13" x14ac:dyDescent="0.3">
      <c r="A161" s="39"/>
      <c r="C161" s="72"/>
      <c r="D161" s="80"/>
      <c r="F161" s="53"/>
    </row>
    <row r="162" spans="1:6" ht="13" x14ac:dyDescent="0.3">
      <c r="A162" s="39"/>
      <c r="C162" s="72"/>
      <c r="D162" s="80"/>
      <c r="F162" s="53"/>
    </row>
    <row r="163" spans="1:6" ht="13" x14ac:dyDescent="0.3">
      <c r="A163" s="39"/>
      <c r="C163" s="72"/>
      <c r="D163" s="80"/>
      <c r="F163" s="53"/>
    </row>
    <row r="164" spans="1:6" ht="13" x14ac:dyDescent="0.3">
      <c r="A164" s="39"/>
      <c r="C164" s="72"/>
      <c r="D164" s="80"/>
      <c r="F164" s="53"/>
    </row>
    <row r="165" spans="1:6" ht="13" x14ac:dyDescent="0.3">
      <c r="A165" s="39"/>
      <c r="C165" s="72"/>
      <c r="D165" s="80"/>
      <c r="F165" s="53"/>
    </row>
    <row r="166" spans="1:6" ht="13" x14ac:dyDescent="0.3">
      <c r="A166" s="39"/>
      <c r="C166" s="72"/>
      <c r="D166" s="80"/>
      <c r="F166" s="53"/>
    </row>
    <row r="167" spans="1:6" ht="13" x14ac:dyDescent="0.3">
      <c r="A167" s="39"/>
      <c r="C167" s="72"/>
      <c r="D167" s="80"/>
      <c r="F167" s="53"/>
    </row>
    <row r="168" spans="1:6" ht="13" x14ac:dyDescent="0.3">
      <c r="A168" s="39"/>
      <c r="C168" s="72"/>
      <c r="D168" s="80"/>
      <c r="F168" s="53"/>
    </row>
    <row r="169" spans="1:6" ht="13" x14ac:dyDescent="0.3">
      <c r="A169" s="39"/>
      <c r="C169" s="72"/>
      <c r="D169" s="80"/>
      <c r="F169" s="53"/>
    </row>
    <row r="170" spans="1:6" ht="13" x14ac:dyDescent="0.3">
      <c r="A170" s="39"/>
      <c r="C170" s="72"/>
      <c r="D170" s="80"/>
      <c r="F170" s="53"/>
    </row>
    <row r="171" spans="1:6" ht="13" x14ac:dyDescent="0.3">
      <c r="A171" s="39"/>
      <c r="C171" s="72"/>
      <c r="D171" s="81"/>
      <c r="F171" s="69"/>
    </row>
    <row r="172" spans="1:6" ht="13" x14ac:dyDescent="0.3">
      <c r="A172" s="39"/>
      <c r="C172" s="75"/>
      <c r="D172" s="80"/>
    </row>
  </sheetData>
  <mergeCells count="1">
    <mergeCell ref="K71:M71"/>
  </mergeCells>
  <pageMargins left="0.75" right="0.75" top="1" bottom="1" header="0.5" footer="0.5"/>
  <pageSetup scale="80" orientation="landscape" cellComments="asDisplayed" r:id="rId1"/>
  <headerFooter alignWithMargins="0">
    <oddHeader>&amp;CSchedule 4
True Up TRR
(Revised 2019 
TO2021 True Up TRR)&amp;RTO2022 Draft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One Time Adj Explanation</vt:lpstr>
      <vt:lpstr>WP-Total Adj with Int</vt:lpstr>
      <vt:lpstr>WP-2018 True Up TRR Adj</vt:lpstr>
      <vt:lpstr>WP-2018 Sch4-TUTRR</vt:lpstr>
      <vt:lpstr>WP-2018 Sch20-AandG</vt:lpstr>
      <vt:lpstr>WP-2019 True Up TRR Adj</vt:lpstr>
      <vt:lpstr>WP-2019 TO2018 Sch4-TUTRR</vt:lpstr>
      <vt:lpstr>WP-2019 TO2018 Sch20-AandG</vt:lpstr>
      <vt:lpstr>WP-2019 TO2021 Sch4-TUTRR</vt:lpstr>
      <vt:lpstr>WP-2019 TO2021 Sch20-AandG</vt:lpstr>
      <vt:lpstr>'One Time Adj Explanation'!Print_Area</vt:lpstr>
      <vt:lpstr>'WP-2018 Sch20-AandG'!Print_Area</vt:lpstr>
      <vt:lpstr>'WP-2018 Sch4-TUTRR'!Print_Area</vt:lpstr>
      <vt:lpstr>'WP-2018 True Up TRR Adj'!Print_Area</vt:lpstr>
      <vt:lpstr>'WP-2019 TO2018 Sch20-AandG'!Print_Area</vt:lpstr>
      <vt:lpstr>'WP-2019 TO2018 Sch4-TUTRR'!Print_Area</vt:lpstr>
      <vt:lpstr>'WP-2019 TO2021 Sch20-AandG'!Print_Area</vt:lpstr>
      <vt:lpstr>'WP-2019 TO2021 Sch4-TUTRR'!Print_Area</vt:lpstr>
      <vt:lpstr>'WP-2019 True Up TRR Adj'!Print_Area</vt:lpstr>
      <vt:lpstr>'WP-Total Adj with Int'!Print_Area</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2019-06-28T23:07:48Z</cp:lastPrinted>
  <dcterms:created xsi:type="dcterms:W3CDTF">2009-02-27T16:01:11Z</dcterms:created>
  <dcterms:modified xsi:type="dcterms:W3CDTF">2021-06-15T17:25:30Z</dcterms:modified>
</cp:coreProperties>
</file>