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ce\workgroup\RPA\REG OPS\FERC-REG\FERC\FERC Contract &amp; Cost Analysis\2023 FERC Rate Case TO2023\6-Jun 15 Draft Informational Posting\Schedule 3\Morongo One Time Adjustment Backup File\"/>
    </mc:Choice>
  </mc:AlternateContent>
  <xr:revisionPtr revIDLastSave="0" documentId="13_ncr:1_{C43E6AC9-ACF5-4CA9-9FBD-231AE7A8D246}" xr6:coauthVersionLast="46" xr6:coauthVersionMax="46" xr10:uidLastSave="{00000000-0000-0000-0000-000000000000}"/>
  <bookViews>
    <workbookView xWindow="-110" yWindow="-110" windowWidth="19420" windowHeight="10420" xr2:uid="{2885FBF2-B1A4-4611-9AB6-050D760D0D5D}"/>
  </bookViews>
  <sheets>
    <sheet name="Summary" sheetId="1" r:id="rId1"/>
    <sheet name="MorongoRev Sch4-TUTRR" sheetId="3" r:id="rId2"/>
    <sheet name="MorongoRev Sch19-OandM" sheetId="2" r:id="rId3"/>
  </sheets>
  <definedNames>
    <definedName name="_xlnm.Print_Area" localSheetId="2">'MorongoRev Sch19-OandM'!$A$1:$M$155</definedName>
    <definedName name="_xlnm.Print_Area" localSheetId="1">'MorongoRev Sch4-TUTRR'!$A$1:$J$108</definedName>
    <definedName name="_xlnm.Print_Area" localSheetId="0">Summary!$A$1:$R$21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4" i="3" l="1"/>
  <c r="F99" i="3"/>
  <c r="J87" i="3"/>
  <c r="E88" i="3" s="1"/>
  <c r="J62" i="3"/>
  <c r="H42" i="3"/>
  <c r="H33" i="3"/>
  <c r="A7" i="3"/>
  <c r="A8" i="3" s="1"/>
  <c r="D99" i="2"/>
  <c r="H99" i="2" s="1"/>
  <c r="D98" i="2"/>
  <c r="H98" i="2" s="1"/>
  <c r="D97" i="2"/>
  <c r="H97" i="2" s="1"/>
  <c r="E88" i="2"/>
  <c r="I88" i="2" s="1"/>
  <c r="D86" i="2"/>
  <c r="H86" i="2" s="1"/>
  <c r="D85" i="2"/>
  <c r="H85" i="2" s="1"/>
  <c r="I60" i="2"/>
  <c r="I58" i="2"/>
  <c r="E58" i="2"/>
  <c r="E60" i="2" s="1"/>
  <c r="D58" i="2"/>
  <c r="L57" i="2"/>
  <c r="E120" i="2" s="1"/>
  <c r="I120" i="2" s="1"/>
  <c r="L56" i="2"/>
  <c r="E119" i="2" s="1"/>
  <c r="I119" i="2" s="1"/>
  <c r="K56" i="2"/>
  <c r="J56" i="2" s="1"/>
  <c r="C119" i="2" s="1"/>
  <c r="G56" i="2"/>
  <c r="C56" i="2"/>
  <c r="L55" i="2"/>
  <c r="E118" i="2" s="1"/>
  <c r="I118" i="2" s="1"/>
  <c r="K55" i="2"/>
  <c r="D118" i="2" s="1"/>
  <c r="H118" i="2" s="1"/>
  <c r="G118" i="2" s="1"/>
  <c r="J55" i="2"/>
  <c r="C118" i="2" s="1"/>
  <c r="G55" i="2"/>
  <c r="C55" i="2"/>
  <c r="L54" i="2"/>
  <c r="E117" i="2" s="1"/>
  <c r="I117" i="2" s="1"/>
  <c r="K54" i="2"/>
  <c r="D117" i="2" s="1"/>
  <c r="H117" i="2" s="1"/>
  <c r="G54" i="2"/>
  <c r="C54" i="2"/>
  <c r="C58" i="2" s="1"/>
  <c r="L53" i="2"/>
  <c r="E116" i="2" s="1"/>
  <c r="I116" i="2" s="1"/>
  <c r="K53" i="2"/>
  <c r="D116" i="2" s="1"/>
  <c r="H116" i="2" s="1"/>
  <c r="J53" i="2"/>
  <c r="C116" i="2" s="1"/>
  <c r="G53" i="2"/>
  <c r="C53" i="2"/>
  <c r="L52" i="2"/>
  <c r="E115" i="2" s="1"/>
  <c r="K52" i="2"/>
  <c r="J52" i="2" s="1"/>
  <c r="G52" i="2"/>
  <c r="C52" i="2"/>
  <c r="I43" i="2"/>
  <c r="E43" i="2"/>
  <c r="D43" i="2"/>
  <c r="M42" i="2"/>
  <c r="E105" i="2" s="1"/>
  <c r="G41" i="2"/>
  <c r="L40" i="2"/>
  <c r="D103" i="2" s="1"/>
  <c r="H103" i="2" s="1"/>
  <c r="M40" i="2"/>
  <c r="G40" i="2"/>
  <c r="C40" i="2"/>
  <c r="L39" i="2"/>
  <c r="D102" i="2" s="1"/>
  <c r="H102" i="2" s="1"/>
  <c r="M39" i="2"/>
  <c r="G39" i="2"/>
  <c r="C39" i="2"/>
  <c r="M38" i="2"/>
  <c r="K38" i="2" s="1"/>
  <c r="C101" i="2" s="1"/>
  <c r="L38" i="2"/>
  <c r="D101" i="2" s="1"/>
  <c r="H101" i="2" s="1"/>
  <c r="G38" i="2"/>
  <c r="C38" i="2"/>
  <c r="M37" i="2"/>
  <c r="E100" i="2" s="1"/>
  <c r="I100" i="2" s="1"/>
  <c r="L37" i="2"/>
  <c r="K37" i="2" s="1"/>
  <c r="C100" i="2" s="1"/>
  <c r="G37" i="2"/>
  <c r="C37" i="2"/>
  <c r="L36" i="2"/>
  <c r="M36" i="2"/>
  <c r="G36" i="2"/>
  <c r="C36" i="2"/>
  <c r="L35" i="2"/>
  <c r="M35" i="2"/>
  <c r="G35" i="2"/>
  <c r="C35" i="2"/>
  <c r="L34" i="2"/>
  <c r="K34" i="2" s="1"/>
  <c r="C97" i="2" s="1"/>
  <c r="M34" i="2"/>
  <c r="E97" i="2" s="1"/>
  <c r="I97" i="2" s="1"/>
  <c r="G34" i="2"/>
  <c r="C34" i="2"/>
  <c r="M33" i="2"/>
  <c r="E96" i="2" s="1"/>
  <c r="I96" i="2" s="1"/>
  <c r="L33" i="2"/>
  <c r="K33" i="2" s="1"/>
  <c r="C96" i="2" s="1"/>
  <c r="G33" i="2"/>
  <c r="C33" i="2"/>
  <c r="L32" i="2"/>
  <c r="D95" i="2" s="1"/>
  <c r="H95" i="2" s="1"/>
  <c r="M32" i="2"/>
  <c r="G32" i="2"/>
  <c r="C32" i="2"/>
  <c r="L31" i="2"/>
  <c r="D94" i="2" s="1"/>
  <c r="H94" i="2" s="1"/>
  <c r="M31" i="2"/>
  <c r="G31" i="2"/>
  <c r="C31" i="2"/>
  <c r="M30" i="2"/>
  <c r="K30" i="2" s="1"/>
  <c r="C93" i="2" s="1"/>
  <c r="L30" i="2"/>
  <c r="D93" i="2" s="1"/>
  <c r="H93" i="2" s="1"/>
  <c r="G30" i="2"/>
  <c r="C30" i="2"/>
  <c r="M29" i="2"/>
  <c r="E92" i="2" s="1"/>
  <c r="I92" i="2" s="1"/>
  <c r="L29" i="2"/>
  <c r="K29" i="2" s="1"/>
  <c r="C92" i="2" s="1"/>
  <c r="G29" i="2"/>
  <c r="C29" i="2"/>
  <c r="L28" i="2"/>
  <c r="D91" i="2" s="1"/>
  <c r="H91" i="2" s="1"/>
  <c r="M28" i="2"/>
  <c r="G28" i="2"/>
  <c r="C28" i="2"/>
  <c r="L27" i="2"/>
  <c r="D90" i="2" s="1"/>
  <c r="H90" i="2" s="1"/>
  <c r="M27" i="2"/>
  <c r="G27" i="2"/>
  <c r="C27" i="2"/>
  <c r="L26" i="2"/>
  <c r="D89" i="2" s="1"/>
  <c r="H89" i="2" s="1"/>
  <c r="M26" i="2"/>
  <c r="E89" i="2" s="1"/>
  <c r="I89" i="2" s="1"/>
  <c r="G26" i="2"/>
  <c r="C26" i="2"/>
  <c r="M25" i="2"/>
  <c r="L25" i="2"/>
  <c r="D88" i="2" s="1"/>
  <c r="H88" i="2" s="1"/>
  <c r="G88" i="2" s="1"/>
  <c r="G25" i="2"/>
  <c r="C25" i="2"/>
  <c r="L24" i="2"/>
  <c r="D87" i="2" s="1"/>
  <c r="H87" i="2" s="1"/>
  <c r="M24" i="2"/>
  <c r="G24" i="2"/>
  <c r="C24" i="2"/>
  <c r="L23" i="2"/>
  <c r="M23" i="2"/>
  <c r="G23" i="2"/>
  <c r="C23" i="2"/>
  <c r="M22" i="2"/>
  <c r="L22" i="2"/>
  <c r="G22" i="2"/>
  <c r="C22" i="2"/>
  <c r="M21" i="2"/>
  <c r="E84" i="2" s="1"/>
  <c r="I84" i="2" s="1"/>
  <c r="L21" i="2"/>
  <c r="G21" i="2"/>
  <c r="C21" i="2"/>
  <c r="L20" i="2"/>
  <c r="D83" i="2" s="1"/>
  <c r="H83" i="2" s="1"/>
  <c r="M20" i="2"/>
  <c r="E83" i="2" s="1"/>
  <c r="I83" i="2" s="1"/>
  <c r="G20" i="2"/>
  <c r="C20" i="2"/>
  <c r="L19" i="2"/>
  <c r="D82" i="2" s="1"/>
  <c r="H82" i="2" s="1"/>
  <c r="M19" i="2"/>
  <c r="G19" i="2"/>
  <c r="C19" i="2"/>
  <c r="L18" i="2"/>
  <c r="D81" i="2" s="1"/>
  <c r="H81" i="2" s="1"/>
  <c r="M18" i="2"/>
  <c r="E81" i="2" s="1"/>
  <c r="I81" i="2" s="1"/>
  <c r="G18" i="2"/>
  <c r="C18" i="2"/>
  <c r="M17" i="2"/>
  <c r="E80" i="2" s="1"/>
  <c r="I80" i="2" s="1"/>
  <c r="L17" i="2"/>
  <c r="D80" i="2" s="1"/>
  <c r="H80" i="2" s="1"/>
  <c r="G80" i="2" s="1"/>
  <c r="G17" i="2"/>
  <c r="C17" i="2"/>
  <c r="L16" i="2"/>
  <c r="D79" i="2" s="1"/>
  <c r="H79" i="2" s="1"/>
  <c r="M16" i="2"/>
  <c r="G16" i="2"/>
  <c r="C16" i="2"/>
  <c r="C43" i="2" s="1"/>
  <c r="C60" i="2" s="1"/>
  <c r="A16" i="2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L15" i="2"/>
  <c r="D78" i="2" s="1"/>
  <c r="H78" i="2" s="1"/>
  <c r="M15" i="2"/>
  <c r="G15" i="2"/>
  <c r="C15" i="2"/>
  <c r="M14" i="2"/>
  <c r="L14" i="2"/>
  <c r="D77" i="2" s="1"/>
  <c r="H77" i="2" s="1"/>
  <c r="G14" i="2"/>
  <c r="C14" i="2"/>
  <c r="M13" i="2"/>
  <c r="E76" i="2" s="1"/>
  <c r="I76" i="2" s="1"/>
  <c r="L13" i="2"/>
  <c r="G13" i="2"/>
  <c r="C13" i="2"/>
  <c r="L12" i="2"/>
  <c r="D75" i="2" s="1"/>
  <c r="H75" i="2" s="1"/>
  <c r="G75" i="2" s="1"/>
  <c r="K12" i="2"/>
  <c r="C75" i="2" s="1"/>
  <c r="M12" i="2"/>
  <c r="E75" i="2" s="1"/>
  <c r="I75" i="2" s="1"/>
  <c r="G12" i="2"/>
  <c r="C12" i="2"/>
  <c r="A12" i="2"/>
  <c r="A13" i="2" s="1"/>
  <c r="A14" i="2" s="1"/>
  <c r="A15" i="2" s="1"/>
  <c r="L11" i="2"/>
  <c r="D74" i="2" s="1"/>
  <c r="G11" i="2"/>
  <c r="C11" i="2"/>
  <c r="G19" i="1"/>
  <c r="E104" i="3" l="1"/>
  <c r="J42" i="3" s="1"/>
  <c r="J21" i="3"/>
  <c r="E99" i="3"/>
  <c r="J33" i="3" s="1"/>
  <c r="A9" i="3"/>
  <c r="A12" i="3" s="1"/>
  <c r="J15" i="3"/>
  <c r="K22" i="2"/>
  <c r="C85" i="2" s="1"/>
  <c r="E85" i="2"/>
  <c r="I85" i="2" s="1"/>
  <c r="J43" i="2"/>
  <c r="M11" i="2"/>
  <c r="G77" i="2"/>
  <c r="K21" i="2"/>
  <c r="C84" i="2" s="1"/>
  <c r="D84" i="2"/>
  <c r="H84" i="2" s="1"/>
  <c r="G84" i="2" s="1"/>
  <c r="K32" i="2"/>
  <c r="C95" i="2" s="1"/>
  <c r="E95" i="2"/>
  <c r="I95" i="2" s="1"/>
  <c r="E62" i="2"/>
  <c r="A44" i="2"/>
  <c r="A52" i="2" s="1"/>
  <c r="A53" i="2" s="1"/>
  <c r="A54" i="2" s="1"/>
  <c r="A55" i="2" s="1"/>
  <c r="A56" i="2" s="1"/>
  <c r="A57" i="2" s="1"/>
  <c r="A58" i="2" s="1"/>
  <c r="G89" i="2"/>
  <c r="K39" i="2"/>
  <c r="C102" i="2" s="1"/>
  <c r="E102" i="2"/>
  <c r="I102" i="2" s="1"/>
  <c r="G102" i="2" s="1"/>
  <c r="C144" i="2"/>
  <c r="H42" i="2" s="1"/>
  <c r="H74" i="2"/>
  <c r="E77" i="2"/>
  <c r="I77" i="2" s="1"/>
  <c r="K14" i="2"/>
  <c r="C77" i="2" s="1"/>
  <c r="E79" i="2"/>
  <c r="I79" i="2" s="1"/>
  <c r="K16" i="2"/>
  <c r="C79" i="2" s="1"/>
  <c r="K23" i="2"/>
  <c r="C86" i="2" s="1"/>
  <c r="E86" i="2"/>
  <c r="I86" i="2" s="1"/>
  <c r="G95" i="2"/>
  <c r="E99" i="2"/>
  <c r="I99" i="2" s="1"/>
  <c r="G99" i="2" s="1"/>
  <c r="K36" i="2"/>
  <c r="C99" i="2" s="1"/>
  <c r="G116" i="2"/>
  <c r="K19" i="2"/>
  <c r="C82" i="2" s="1"/>
  <c r="E82" i="2"/>
  <c r="I82" i="2" s="1"/>
  <c r="G82" i="2" s="1"/>
  <c r="E91" i="2"/>
  <c r="I91" i="2" s="1"/>
  <c r="G91" i="2" s="1"/>
  <c r="K28" i="2"/>
  <c r="C91" i="2" s="1"/>
  <c r="G81" i="2"/>
  <c r="G97" i="2"/>
  <c r="E78" i="2"/>
  <c r="I78" i="2" s="1"/>
  <c r="K15" i="2"/>
  <c r="C78" i="2" s="1"/>
  <c r="G83" i="2"/>
  <c r="K31" i="2"/>
  <c r="C94" i="2" s="1"/>
  <c r="E94" i="2"/>
  <c r="I94" i="2" s="1"/>
  <c r="G94" i="2" s="1"/>
  <c r="C115" i="2"/>
  <c r="G85" i="2"/>
  <c r="G79" i="2"/>
  <c r="K27" i="2"/>
  <c r="C90" i="2" s="1"/>
  <c r="E90" i="2"/>
  <c r="I90" i="2" s="1"/>
  <c r="G90" i="2" s="1"/>
  <c r="K13" i="2"/>
  <c r="C76" i="2" s="1"/>
  <c r="D76" i="2"/>
  <c r="H76" i="2" s="1"/>
  <c r="G76" i="2" s="1"/>
  <c r="K20" i="2"/>
  <c r="C83" i="2" s="1"/>
  <c r="E103" i="2"/>
  <c r="I103" i="2" s="1"/>
  <c r="G103" i="2" s="1"/>
  <c r="K40" i="2"/>
  <c r="C103" i="2" s="1"/>
  <c r="G78" i="2"/>
  <c r="K24" i="2"/>
  <c r="C87" i="2" s="1"/>
  <c r="E87" i="2"/>
  <c r="I87" i="2" s="1"/>
  <c r="G87" i="2" s="1"/>
  <c r="E98" i="2"/>
  <c r="I98" i="2" s="1"/>
  <c r="G98" i="2" s="1"/>
  <c r="K35" i="2"/>
  <c r="C98" i="2" s="1"/>
  <c r="E121" i="2"/>
  <c r="I115" i="2"/>
  <c r="I121" i="2" s="1"/>
  <c r="G117" i="2"/>
  <c r="G86" i="2"/>
  <c r="K18" i="2"/>
  <c r="C81" i="2" s="1"/>
  <c r="K26" i="2"/>
  <c r="C89" i="2" s="1"/>
  <c r="D96" i="2"/>
  <c r="H96" i="2" s="1"/>
  <c r="G96" i="2" s="1"/>
  <c r="L58" i="2"/>
  <c r="K17" i="2"/>
  <c r="C80" i="2" s="1"/>
  <c r="K25" i="2"/>
  <c r="C88" i="2" s="1"/>
  <c r="J54" i="2"/>
  <c r="C117" i="2" s="1"/>
  <c r="D92" i="2"/>
  <c r="H92" i="2" s="1"/>
  <c r="G92" i="2" s="1"/>
  <c r="E93" i="2"/>
  <c r="I93" i="2" s="1"/>
  <c r="G93" i="2" s="1"/>
  <c r="D100" i="2"/>
  <c r="H100" i="2" s="1"/>
  <c r="G100" i="2" s="1"/>
  <c r="D60" i="2"/>
  <c r="C145" i="2" s="1"/>
  <c r="H57" i="2" s="1"/>
  <c r="D115" i="2"/>
  <c r="D119" i="2"/>
  <c r="H119" i="2" s="1"/>
  <c r="G119" i="2" s="1"/>
  <c r="E101" i="2"/>
  <c r="I101" i="2" s="1"/>
  <c r="G101" i="2" s="1"/>
  <c r="G21" i="1"/>
  <c r="J29" i="3" l="1"/>
  <c r="A13" i="3"/>
  <c r="A14" i="3" s="1"/>
  <c r="A15" i="3" s="1"/>
  <c r="A18" i="3" s="1"/>
  <c r="H15" i="3"/>
  <c r="K57" i="2"/>
  <c r="H58" i="2"/>
  <c r="G57" i="2"/>
  <c r="G58" i="2" s="1"/>
  <c r="H115" i="2"/>
  <c r="L60" i="2"/>
  <c r="L42" i="2"/>
  <c r="H43" i="2"/>
  <c r="G42" i="2"/>
  <c r="G43" i="2" s="1"/>
  <c r="E63" i="2"/>
  <c r="A59" i="2"/>
  <c r="A60" i="2" s="1"/>
  <c r="D145" i="2" s="1"/>
  <c r="C149" i="2"/>
  <c r="E74" i="2"/>
  <c r="M43" i="2"/>
  <c r="K11" i="2"/>
  <c r="J41" i="3" l="1"/>
  <c r="J34" i="3"/>
  <c r="J38" i="3"/>
  <c r="A19" i="3"/>
  <c r="A20" i="3" s="1"/>
  <c r="A21" i="3" s="1"/>
  <c r="A23" i="3" s="1"/>
  <c r="H21" i="3"/>
  <c r="H29" i="3"/>
  <c r="D105" i="2"/>
  <c r="K42" i="2"/>
  <c r="C105" i="2" s="1"/>
  <c r="L43" i="2"/>
  <c r="G115" i="2"/>
  <c r="K43" i="2"/>
  <c r="C74" i="2"/>
  <c r="C106" i="2" s="1"/>
  <c r="A61" i="2"/>
  <c r="A62" i="2" s="1"/>
  <c r="A63" i="2" s="1"/>
  <c r="A64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D144" i="2"/>
  <c r="H60" i="2"/>
  <c r="E106" i="2"/>
  <c r="E124" i="2" s="1"/>
  <c r="I74" i="2"/>
  <c r="G60" i="2"/>
  <c r="J57" i="2"/>
  <c r="D120" i="2"/>
  <c r="K58" i="2"/>
  <c r="K60" i="2" s="1"/>
  <c r="J56" i="3" l="1"/>
  <c r="J55" i="3"/>
  <c r="A24" i="3"/>
  <c r="A25" i="3" s="1"/>
  <c r="A26" i="3" s="1"/>
  <c r="A27" i="3" s="1"/>
  <c r="A29" i="3" s="1"/>
  <c r="H30" i="3"/>
  <c r="H120" i="2"/>
  <c r="D121" i="2"/>
  <c r="C120" i="2"/>
  <c r="C121" i="2" s="1"/>
  <c r="C124" i="2" s="1"/>
  <c r="J58" i="2"/>
  <c r="J60" i="2" s="1"/>
  <c r="I106" i="2"/>
  <c r="I124" i="2" s="1"/>
  <c r="G74" i="2"/>
  <c r="B125" i="2"/>
  <c r="A107" i="2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H105" i="2"/>
  <c r="D106" i="2"/>
  <c r="D124" i="2" s="1"/>
  <c r="A33" i="3" l="1"/>
  <c r="A34" i="3" s="1"/>
  <c r="H41" i="3"/>
  <c r="H34" i="3"/>
  <c r="J59" i="3"/>
  <c r="G105" i="2"/>
  <c r="G106" i="2" s="1"/>
  <c r="G124" i="2" s="1"/>
  <c r="H106" i="2"/>
  <c r="H124" i="2" s="1"/>
  <c r="G120" i="2"/>
  <c r="G121" i="2" s="1"/>
  <c r="H121" i="2"/>
  <c r="J64" i="3" l="1"/>
  <c r="H55" i="3"/>
  <c r="A38" i="3"/>
  <c r="A41" i="3" l="1"/>
  <c r="A42" i="3" s="1"/>
  <c r="A43" i="3" s="1"/>
  <c r="A44" i="3" s="1"/>
  <c r="A45" i="3" s="1"/>
  <c r="A48" i="3" s="1"/>
  <c r="H56" i="3"/>
  <c r="E68" i="3"/>
  <c r="E72" i="3" l="1"/>
  <c r="E70" i="3"/>
  <c r="A49" i="3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H64" i="3" l="1"/>
  <c r="A61" i="3"/>
  <c r="A64" i="3" s="1"/>
  <c r="H59" i="3"/>
  <c r="E74" i="3"/>
  <c r="G68" i="3" l="1"/>
  <c r="A68" i="3"/>
  <c r="A69" i="3" l="1"/>
  <c r="A70" i="3" s="1"/>
  <c r="A71" i="3" s="1"/>
  <c r="A72" i="3" s="1"/>
  <c r="A74" i="3" s="1"/>
  <c r="G74" i="3" l="1"/>
  <c r="G70" i="3"/>
  <c r="G7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Berton Hansen</author>
  </authors>
  <commentList>
    <comment ref="E74" authorId="0" shapeId="0" xr:uid="{8FD4F590-DAF0-4D41-938E-D476806B43FC}">
      <text>
        <r>
          <rPr>
            <b/>
            <sz val="9"/>
            <color indexed="81"/>
            <rFont val="Tahoma"/>
            <family val="2"/>
          </rPr>
          <t>Revised TU TRR reflecting removal of Morongo Revenue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SCE Comment</author>
    <author>Berton Hansen</author>
  </authors>
  <commentList>
    <comment ref="C26" authorId="0" shapeId="0" xr:uid="{44076067-11BC-4843-BEC8-67F9BAA77FDC}">
      <text>
        <r>
          <rPr>
            <b/>
            <sz val="9"/>
            <color indexed="81"/>
            <rFont val="Tahoma"/>
            <family val="2"/>
          </rPr>
          <t>Recorded total of negative $277,792 already includes a $2,115,635 credit associated with payments received from Morongo (See WP Schedule 19 O&amp;M Cost Detail)</t>
        </r>
      </text>
    </comment>
    <comment ref="I26" authorId="1" shapeId="0" xr:uid="{76E08043-E331-4419-AC3B-07A83F617F82}">
      <text>
        <r>
          <rPr>
            <b/>
            <sz val="9"/>
            <color indexed="81"/>
            <rFont val="Tahoma"/>
            <family val="2"/>
          </rPr>
          <t xml:space="preserve">Add $2,115,635 to remove Morongo Revenue credit </t>
        </r>
      </text>
    </comment>
  </commentList>
</comments>
</file>

<file path=xl/sharedStrings.xml><?xml version="1.0" encoding="utf-8"?>
<sst xmlns="http://schemas.openxmlformats.org/spreadsheetml/2006/main" count="505" uniqueCount="310">
  <si>
    <t xml:space="preserve">In the event that SCE determines that there is a need to make an adjustment to the True Up TRR calculated pursuant to Appendix IX to ensure </t>
  </si>
  <si>
    <t xml:space="preserve">that the revenue received from Morongo pursuant to this Appendix XIV is accurately credited to transmission customers,  SCE will provide a </t>
  </si>
  <si>
    <t>workpaper,  which will accompany the Annual Update developed pursuant to Appendix IX,  that will support a One Time Adjustment</t>
  </si>
  <si>
    <t xml:space="preserve"> to ensure rate consistency between Appendix XIV and Appendix IX."</t>
  </si>
  <si>
    <t>One-Time Adjustment to Ensure Morongo Rate Consistency</t>
  </si>
  <si>
    <t xml:space="preserve">from Morongo pursuant to this Appendix XIV is accurately credited to transmission customers" (see Section 5 below).  Accurate crediting of revenues </t>
  </si>
  <si>
    <t>"Morongo WOD Formula Rate".</t>
  </si>
  <si>
    <t xml:space="preserve">Pursuant to Section 5 of Attachment 1 to Appendix XIV of SCE's TO Tariff, SCE is to include a One-Time Adjustment "to ensure that the revenue received </t>
  </si>
  <si>
    <t>Calculation of One Time Adjustment:</t>
  </si>
  <si>
    <t>True Up TRR of TO2023 Annual Update:</t>
  </si>
  <si>
    <t>True Up TRR without Morongo Revenue:</t>
  </si>
  <si>
    <t>Difference</t>
  </si>
  <si>
    <t>Line</t>
  </si>
  <si>
    <t>Morongo Revenue:</t>
  </si>
  <si>
    <t>Amount</t>
  </si>
  <si>
    <t>Reference</t>
  </si>
  <si>
    <t>One Time Adjustment</t>
  </si>
  <si>
    <t>TO2023 Annual Update, Schedule 4, Line 46</t>
  </si>
  <si>
    <t>Line 3 - Line 4</t>
  </si>
  <si>
    <t>"5. RATE CONSISTENCY WITH SCE’S APPENDIX IX FORMULA RATE</t>
  </si>
  <si>
    <t xml:space="preserve">means that the True Up TRR calculated pursuant to this Formula Rate is lower by an amount equal to the amount of revenue received through the </t>
  </si>
  <si>
    <t>Line 2 - Line 1</t>
  </si>
  <si>
    <t>WP Sch 19 O&amp;M Cost Detail</t>
  </si>
  <si>
    <t>Operations and Maintenance Expenses</t>
  </si>
  <si>
    <t>Workpaper:</t>
  </si>
  <si>
    <t>WP Schedule 19 O&amp;M Cost Detail</t>
  </si>
  <si>
    <t>Cells shaded yellow are input cells</t>
  </si>
  <si>
    <t>1) Determination of Adjusted Operations and Maintenance Expenses for each account (Note 1)</t>
  </si>
  <si>
    <t>Col 1</t>
  </si>
  <si>
    <t>Col 2</t>
  </si>
  <si>
    <t>Col 3</t>
  </si>
  <si>
    <t>Col 4</t>
  </si>
  <si>
    <t>Col 5</t>
  </si>
  <si>
    <t>Col 6</t>
  </si>
  <si>
    <t>Col 7</t>
  </si>
  <si>
    <t>Col 8</t>
  </si>
  <si>
    <t>Col 8a</t>
  </si>
  <si>
    <t>Col 9</t>
  </si>
  <si>
    <t>Col 10</t>
  </si>
  <si>
    <t>Col 11</t>
  </si>
  <si>
    <t>= C3 + C4</t>
  </si>
  <si>
    <t>Note 2</t>
  </si>
  <si>
    <t>= C7 + C8</t>
  </si>
  <si>
    <t>Schedule 35,</t>
  </si>
  <si>
    <t>= C10 + C11</t>
  </si>
  <si>
    <t>= C3 + C7</t>
  </si>
  <si>
    <t>= C4 + C8 + C8a</t>
  </si>
  <si>
    <t>Rows 5-36</t>
  </si>
  <si>
    <t>Account/Work Activity  Rev</t>
  </si>
  <si>
    <t>Total Recorded O&amp;M Expenses</t>
  </si>
  <si>
    <t>Adjustments</t>
  </si>
  <si>
    <t>Adjusted Recorded O&amp;M Expenses</t>
  </si>
  <si>
    <t>Total</t>
  </si>
  <si>
    <t>Labor</t>
  </si>
  <si>
    <t>Non-Labor</t>
  </si>
  <si>
    <t>Reason</t>
  </si>
  <si>
    <t>O&amp;M Services (See Note 8)</t>
  </si>
  <si>
    <t>Transmission Accounts</t>
  </si>
  <si>
    <t>560 - Operations Supervision and Engineering - Allocated</t>
  </si>
  <si>
    <t>560 - Sylmar/Palo Verde</t>
  </si>
  <si>
    <t>561 Load Dispatch - Allocated</t>
  </si>
  <si>
    <t>561.400 Scheduling, System Control and Dispatch Services</t>
  </si>
  <si>
    <t>A</t>
  </si>
  <si>
    <t>561.500 Reliability Planning and Standards Development</t>
  </si>
  <si>
    <t>562 - Station Expenses - Allocated</t>
  </si>
  <si>
    <t>562 - MOGS Station Expense</t>
  </si>
  <si>
    <t>B</t>
  </si>
  <si>
    <t>562 - Sylmar/Palo Verde</t>
  </si>
  <si>
    <t>563 - Overhead Line Expenses - Allocated</t>
  </si>
  <si>
    <t>564 - Underground Line Expenses - Allocated</t>
  </si>
  <si>
    <t>565 - Transmission of Electricity by Others</t>
  </si>
  <si>
    <t>565 - Wheeling Costs</t>
  </si>
  <si>
    <t>C</t>
  </si>
  <si>
    <t>565 - WAPA Transmission for Remote Service</t>
  </si>
  <si>
    <t>566 - Miscellaneous Transmission Expenses - Allocated</t>
  </si>
  <si>
    <t>F</t>
  </si>
  <si>
    <t>566 - ISO/RSBA/TSP Balancing Accounts</t>
  </si>
  <si>
    <t>D</t>
  </si>
  <si>
    <t>566 - Sylmar/Palo Verde/Other General Functions</t>
  </si>
  <si>
    <t>567 - Line Rents - Allocated</t>
  </si>
  <si>
    <t>567 - Eldorado</t>
  </si>
  <si>
    <t>567 - Sylmar/Palo Verde</t>
  </si>
  <si>
    <t>568 - Maintenance Supervision and Engineering - Allocated</t>
  </si>
  <si>
    <t>568 - Sylmar/Palo Verde</t>
  </si>
  <si>
    <t>569 - Maintenance of Structures - Allocated</t>
  </si>
  <si>
    <t>E</t>
  </si>
  <si>
    <t>569 - Sylmar/Palo Verde</t>
  </si>
  <si>
    <t xml:space="preserve">570 - Maintenance of Station Equipment - Allocated </t>
  </si>
  <si>
    <t>570 - Sylmar/Palo Verde</t>
  </si>
  <si>
    <t xml:space="preserve">571 - Maintenance of Overhead Lines - Allocated </t>
  </si>
  <si>
    <t>571 - Sylmar/Palo Verde</t>
  </si>
  <si>
    <t>572 - Maintenance of Underground Lines - Allocated</t>
  </si>
  <si>
    <t>572 - Sylmar/Palo Verde</t>
  </si>
  <si>
    <t xml:space="preserve">573 - Maintenance of Miscellaneous Trans. Plant - Allocated </t>
  </si>
  <si>
    <t>…</t>
  </si>
  <si>
    <t>---</t>
  </si>
  <si>
    <t>Transmission NOIC (Note 3)</t>
  </si>
  <si>
    <t>Total Transmission O&amp;M</t>
  </si>
  <si>
    <t>= C4 + C8</t>
  </si>
  <si>
    <t>Distribution Accounts</t>
  </si>
  <si>
    <r>
      <t xml:space="preserve">582 - Station Expenses </t>
    </r>
    <r>
      <rPr>
        <strike/>
        <sz val="10"/>
        <color rgb="FFFF0000"/>
        <rFont val="Arial"/>
        <family val="2"/>
      </rPr>
      <t/>
    </r>
  </si>
  <si>
    <t>590 - Maintenance Supervision and Engineering</t>
  </si>
  <si>
    <t>591 - Maintenance of Structures</t>
  </si>
  <si>
    <t xml:space="preserve">592 - Maintenance of Station Equipment </t>
  </si>
  <si>
    <t>Accounts with no ISO Distribution Costs</t>
  </si>
  <si>
    <t>Distribution NOIC (Note 3)</t>
  </si>
  <si>
    <t>Total Distribution O&amp;M</t>
  </si>
  <si>
    <t>Total Transmission and Distribution O&amp;M</t>
  </si>
  <si>
    <t>Total Transmission O&amp;M Expenses in FERC Form 1:</t>
  </si>
  <si>
    <t>FF1 321.112b</t>
  </si>
  <si>
    <t>Total Distribution O&amp;M Expenses in FERC Form 1:</t>
  </si>
  <si>
    <t>FF1 322.156b</t>
  </si>
  <si>
    <t>Total TDBU NOIC</t>
  </si>
  <si>
    <t>2) Determination of ISO Operations and Maintenance Expenses for each account (Note 5).</t>
  </si>
  <si>
    <t>From C9 above</t>
  </si>
  <si>
    <t>From C10 above</t>
  </si>
  <si>
    <t>From C11 above</t>
  </si>
  <si>
    <t>Note 6</t>
  </si>
  <si>
    <t>= C3 * C5</t>
  </si>
  <si>
    <t>= C4 * C5</t>
  </si>
  <si>
    <t>Percent</t>
  </si>
  <si>
    <t>ISO O&amp;M Expenses</t>
  </si>
  <si>
    <t>Percent ISO</t>
  </si>
  <si>
    <t>ISO</t>
  </si>
  <si>
    <t>27-Allocators Line 42</t>
  </si>
  <si>
    <t>100%</t>
  </si>
  <si>
    <t>0%</t>
  </si>
  <si>
    <t>27-Allocators Line 30</t>
  </si>
  <si>
    <t>27-Allocators Line 36</t>
  </si>
  <si>
    <t>Transmission NOIC (Note 4)</t>
  </si>
  <si>
    <t>Total Transmission - ISO O&amp;M</t>
  </si>
  <si>
    <t>27-Allocators Line 48</t>
  </si>
  <si>
    <t>Distribution NOIC (Note 4)</t>
  </si>
  <si>
    <t>Total Distribution - ISO O&amp;M</t>
  </si>
  <si>
    <t>Total ISO O&amp;M Expenses (in Column 6)</t>
  </si>
  <si>
    <t>Notes:</t>
  </si>
  <si>
    <t>1) "Adjusted Operations and Maintenance Expenses for each account" are the total amounts of O&amp;M costs booked to each Transmission or Distribution account, less adjustments as noted.</t>
  </si>
  <si>
    <t>2) Reasons for excluded amounts:</t>
  </si>
  <si>
    <t>A: Exclude entire amount, all attributable to CAISO costs recovered in Energy Resource Recovery Account.</t>
  </si>
  <si>
    <t>B: Exclude amount related to MOGS Station Expense.</t>
  </si>
  <si>
    <t>C: Exclude amount attributable to CAISO costs recovered in Energy Resource Recovery Account.</t>
  </si>
  <si>
    <t>D: Exclude amount recovered through to Reliability Services Balancing Account, the Transmission Access Charge Balancing Account Adjustment,</t>
  </si>
  <si>
    <t xml:space="preserve"> and the American Reinvestment Recovery Act for the Tehachapi Wind Energy Storage Project.</t>
  </si>
  <si>
    <t>E: Exclude amount of costs transfered to account from A&amp;G Account 920 pursuant to Order 668.</t>
  </si>
  <si>
    <t>F: Excludes shareholder funded costs.</t>
  </si>
  <si>
    <t>3) Total TDBU NOIC is allocated to Transmission and Distribution in proportion to labor in the respective functions.  Transmission NOIC ("Non-Officer Incentive Compensation") equals Total TDBU NOIC times</t>
  </si>
  <si>
    <t>the Transmission NOIC Percentage calculated below.  Distribution NOIC equals Total TDBU NOIC times the Distribution NOIC Percentage below.</t>
  </si>
  <si>
    <t>Total TDBU NOIC is on Line:</t>
  </si>
  <si>
    <t>Percentage</t>
  </si>
  <si>
    <t>Calculation</t>
  </si>
  <si>
    <t>Transmission NOIC Percentage:</t>
  </si>
  <si>
    <t>Distribution NOIC Percentage:</t>
  </si>
  <si>
    <t xml:space="preserve">4) NOIC attributable to ISO Transmission (Column 7) is calculated utilizing a percentage equal to the ratio of total ISO O&amp;M Labor Expenses in column 7 (exclusive of NOIC) to </t>
  </si>
  <si>
    <t>the total labor expenses in column 3 (exclusive of NOIC).  That allocator, which is identified below, is then applied to the value in Column 3 to arrive at the NOIC attributable to ISO Transmission in Column 7.</t>
  </si>
  <si>
    <t>Resulting Percentage is:</t>
  </si>
  <si>
    <t>5) "ISO Operations and Maintenance Expenses" is the amount of costs in each Transmission or Distribution account related to ISO Transmission Facilities.</t>
  </si>
  <si>
    <t>6)  See Column 9 for references to source of each  Percent ISO.</t>
  </si>
  <si>
    <t>7) SCE shall make no adjustments to recorded labor amounts related to non-labor labor and/or Indirect labor in Schedule 19.</t>
  </si>
  <si>
    <t xml:space="preserve">8) Each O&amp;M Account contributing to the calculation of "Total ISO O&amp;M Expense" (Line 91, Column 6) may include revenue associated with a </t>
  </si>
  <si>
    <t>Commission-approved O&amp;M Services Formula assessing other entities for O&amp;M Services provided by SCE.  See Schedule 35, Notes 1-3.</t>
  </si>
  <si>
    <t>All O&amp;M Services Formula Revenue is "non-labor", and entered in Column 8a, Lines 1-32.</t>
  </si>
  <si>
    <t>Calculation of True Up TRR</t>
  </si>
  <si>
    <t>A) Rate Base for True Up TRR</t>
  </si>
  <si>
    <t xml:space="preserve">FERC Form 1 Reference </t>
  </si>
  <si>
    <t>Revised</t>
  </si>
  <si>
    <t xml:space="preserve">Line </t>
  </si>
  <si>
    <t>Rate Base Item</t>
  </si>
  <si>
    <t>Method</t>
  </si>
  <si>
    <t>Notes</t>
  </si>
  <si>
    <t>or Instruction</t>
  </si>
  <si>
    <t>ISO Transmission Plant</t>
  </si>
  <si>
    <t>13-Month Avg.</t>
  </si>
  <si>
    <t>General + Elec. Misc. Intangible Plant</t>
  </si>
  <si>
    <t>BOY/EOY Avg.</t>
  </si>
  <si>
    <t>Transmission Plant Held for Future Use</t>
  </si>
  <si>
    <t>Abandoned Plant</t>
  </si>
  <si>
    <t>Working Capital Amounts</t>
  </si>
  <si>
    <t>Materials and Supplies</t>
  </si>
  <si>
    <t>Prepayments</t>
  </si>
  <si>
    <t>Cash Working Capital</t>
  </si>
  <si>
    <t>1/8 (O&amp;M + A&amp;G)</t>
  </si>
  <si>
    <t>Working Capital</t>
  </si>
  <si>
    <t>Accumulated Depreciation Reserve Amounts</t>
  </si>
  <si>
    <t>Transmission Depreciation Reserve - ISO</t>
  </si>
  <si>
    <t>Negative amount</t>
  </si>
  <si>
    <t>Distribution Depreciation Reserve - ISO</t>
  </si>
  <si>
    <t>G + I Depreciation Reserve</t>
  </si>
  <si>
    <t>Accumulated Depreciation Reserve</t>
  </si>
  <si>
    <t>Accumulated Deferred Income Taxes</t>
  </si>
  <si>
    <t>CWIP Plant</t>
  </si>
  <si>
    <t>Network Upgrade Credits</t>
  </si>
  <si>
    <t>Unfunded Reserves</t>
  </si>
  <si>
    <t>Other Regulatory Assets/Liabilities</t>
  </si>
  <si>
    <t>Rate Base</t>
  </si>
  <si>
    <t>B) Return on Capital</t>
  </si>
  <si>
    <t>Cost of Capital Rate</t>
  </si>
  <si>
    <t>See Instruction 1</t>
  </si>
  <si>
    <t>Return on Capital: Rate Base times Cost of Capital Rate</t>
  </si>
  <si>
    <t>C) Income Taxes</t>
  </si>
  <si>
    <t>Income Taxes = [((RB * ER) + D) * (CTR/(1 – CTR))]  + CO/(1 – CTR)</t>
  </si>
  <si>
    <t>Where:</t>
  </si>
  <si>
    <t>RB = Rate Base</t>
  </si>
  <si>
    <t>ER = Equity ROR inc. Com. and Pref. Stock</t>
  </si>
  <si>
    <t>Instruction 1</t>
  </si>
  <si>
    <t>CTR = Composite Tax Rate</t>
  </si>
  <si>
    <t>CO = Credits and Other</t>
  </si>
  <si>
    <t>D = Book Depreciation of AFUDC Equity Book Basis</t>
  </si>
  <si>
    <t>D) True Up TRR Calculation</t>
  </si>
  <si>
    <t>O&amp;M Expense</t>
  </si>
  <si>
    <t>A&amp;G Expense</t>
  </si>
  <si>
    <t>Network Upgrade Interest Expense</t>
  </si>
  <si>
    <t>Depreciation Expense</t>
  </si>
  <si>
    <t>Abandoned Plant Amortization Expense</t>
  </si>
  <si>
    <t>Other Taxes</t>
  </si>
  <si>
    <t>Revenue Credits</t>
  </si>
  <si>
    <t>Return on Capital</t>
  </si>
  <si>
    <t>Income Taxes</t>
  </si>
  <si>
    <t>Gains and Losses on Transmission Plant Held for Future Use -- Land</t>
  </si>
  <si>
    <t>Amortization and Regulatory Debits/Credits</t>
  </si>
  <si>
    <t>Total without True Up Incentive Adder</t>
  </si>
  <si>
    <t>True Up Incentive Adder</t>
  </si>
  <si>
    <t>39a</t>
  </si>
  <si>
    <t>True Up Incentive Adder Reversal</t>
  </si>
  <si>
    <t>Negative of Line 39, Note 1</t>
  </si>
  <si>
    <t>True Up TRR without Franchise Fees and Uncollectibles Expense included:</t>
  </si>
  <si>
    <t>E) Calculation of final True Up TRR with Franchise Fees and Uncollectibles Expenses</t>
  </si>
  <si>
    <t>Reference:</t>
  </si>
  <si>
    <t>True Up TRR wo FF:</t>
  </si>
  <si>
    <t>Franchise Fee Factor:</t>
  </si>
  <si>
    <t>Franchise Fee Expense:</t>
  </si>
  <si>
    <t>Uncollectibles Expense Factor:</t>
  </si>
  <si>
    <t>Uncollectibles Expense:</t>
  </si>
  <si>
    <t>45a</t>
  </si>
  <si>
    <t>O&amp;M Services Formula Revenues</t>
  </si>
  <si>
    <t>True Up TRR:</t>
  </si>
  <si>
    <t>Instructions:</t>
  </si>
  <si>
    <t>1) Use weighted average (by time) of the Return on Equity in effect during the Prior Year in determining the "Cost of Capital Rate" on Line 19</t>
  </si>
  <si>
    <t>and the "Equity Rate of Return Including Preferred Stock" on Line 23 in the event that the ROE is revised during the Prior Year.  In this event,</t>
  </si>
  <si>
    <t>the ROE used in Schedule 1 will differ from the ROE used in this Schedule 4, because the Schedule 1 ROE will be the most recent ROE,</t>
  </si>
  <si>
    <t>whereas the Schedule 4 Cost of Capital Rate and Equity Rate of Return including Com. + Pref. Stock will be based on the weighted-average ROE.</t>
  </si>
  <si>
    <t>Calculation of weighted average Cost of Capital Rate in Prior Year:</t>
  </si>
  <si>
    <t>If ROE does not change during year, then attribute all days to Line a "ROE at end of Prior Year" and none to "ROE at start of PY"</t>
  </si>
  <si>
    <t xml:space="preserve">Days ROE </t>
  </si>
  <si>
    <t>From</t>
  </si>
  <si>
    <t>To</t>
  </si>
  <si>
    <t>In Effect</t>
  </si>
  <si>
    <t>a</t>
  </si>
  <si>
    <t>ROE at end of Prior Year</t>
  </si>
  <si>
    <t>See Line e below</t>
  </si>
  <si>
    <t>b</t>
  </si>
  <si>
    <t>ROE start of Prior Year</t>
  </si>
  <si>
    <t>See Line f below</t>
  </si>
  <si>
    <t>c</t>
  </si>
  <si>
    <t>Total days in year:</t>
  </si>
  <si>
    <t>d</t>
  </si>
  <si>
    <t>Wtd. Avg. ROE in Prior Year</t>
  </si>
  <si>
    <t>((Line a ROE * Line a days) + (Line b ROE * Line b days)) / Total Days in Year</t>
  </si>
  <si>
    <t>Commission Decisions approving ROE:</t>
  </si>
  <si>
    <t>e</t>
  </si>
  <si>
    <t>End of Prior Year</t>
  </si>
  <si>
    <t>Settlement of TO2019A (ER19-1553)</t>
  </si>
  <si>
    <t>f</t>
  </si>
  <si>
    <t>Beginning of Prior Year</t>
  </si>
  <si>
    <t>169 FERC ¶ 61,177</t>
  </si>
  <si>
    <t>g</t>
  </si>
  <si>
    <t>Wtd. Cost of Long Term Debt</t>
  </si>
  <si>
    <t>h</t>
  </si>
  <si>
    <t>Wtd.Cost of Preferred Stock</t>
  </si>
  <si>
    <t>i</t>
  </si>
  <si>
    <t>Wtd.Cost of Common Stock</t>
  </si>
  <si>
    <t>j</t>
  </si>
  <si>
    <t>Calculation of Equity Rate of Return Including Common and Preferred Stock:</t>
  </si>
  <si>
    <t>k</t>
  </si>
  <si>
    <t>1) True Up TRR Incentive Adder Reversal backs out the revenue requirement associated with any project-specific Incentive Adders</t>
  </si>
  <si>
    <t>(Line 39) for True Up Years during the term of the settlement of ER19-1553.</t>
  </si>
  <si>
    <t>WP Schedule 3 One Time Adj Morongo Rate Consistency, Page 3, Line 46</t>
  </si>
  <si>
    <t>6-PlantInService, Line 18</t>
  </si>
  <si>
    <t>6-PlantInService, Line 24</t>
  </si>
  <si>
    <t>11-PHFU, Line 9</t>
  </si>
  <si>
    <t>12-AbandonedPlant Line 4</t>
  </si>
  <si>
    <t>13-WorkCap, Line 17</t>
  </si>
  <si>
    <t>13-WorkCap, Line 33</t>
  </si>
  <si>
    <t>1-Base TRR Line 7</t>
  </si>
  <si>
    <t>1-Base TRR L 59</t>
  </si>
  <si>
    <t>1-Base TRR L 63</t>
  </si>
  <si>
    <t>1-Base TRR L 65</t>
  </si>
  <si>
    <t>1-Base TRR L 66</t>
  </si>
  <si>
    <t>1-Base TRR L 67</t>
  </si>
  <si>
    <t>1-Base TRR L 68</t>
  </si>
  <si>
    <t>1-Base TRR L 69</t>
  </si>
  <si>
    <t>1-Base TRR L 70</t>
  </si>
  <si>
    <t>1-Base TRR L 71</t>
  </si>
  <si>
    <t>1-Base TRR L 72</t>
  </si>
  <si>
    <t>1-Base TRR L 75</t>
  </si>
  <si>
    <t>1-Base TRR L 76</t>
  </si>
  <si>
    <t>1-Base TRR L 51</t>
  </si>
  <si>
    <t>1-Base TRR L 52</t>
  </si>
  <si>
    <t>1-Base TRR L 47 * Line d</t>
  </si>
  <si>
    <t>8-AccDep, Line 14, Col. 12</t>
  </si>
  <si>
    <t>8-AccDep, Line 17, Col. 5</t>
  </si>
  <si>
    <t>8-AccDep, Line 23</t>
  </si>
  <si>
    <t>9-ADIT-1, Line 15</t>
  </si>
  <si>
    <t>14-IncentivePlant, L 13, C2</t>
  </si>
  <si>
    <t>22-NUCs, Line 7</t>
  </si>
  <si>
    <t>34-UnfundedReserves, Line 7</t>
  </si>
  <si>
    <t>23-RegAssets, Line 15</t>
  </si>
  <si>
    <t>15-IncentiveAdder L 20</t>
  </si>
  <si>
    <t>28-FFU, L 5</t>
  </si>
  <si>
    <t>Negative of 35-Other Formula Revenue, L 80</t>
  </si>
  <si>
    <t>20-AandG, Note 2, 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</si>
</sst>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5" formatCode="&quot;$&quot;#,##0_);\(&quot;$&quot;#,##0\)"/>
    <numFmt numFmtId="43" formatCode="_(* #,##0.00_);_(* \(#,##0.00\);_(* &quot;-&quot;??_);_(@_)"/>
    <numFmt numFmtId="164" formatCode="&quot;$&quot;#,##0"/>
    <numFmt numFmtId="165" formatCode="_(* #,##0_);_(* \(#,##0\);_(* &quot;-&quot;??_);_(@_)"/>
    <numFmt numFmtId="166" formatCode="_-* #,##0.00\ _D_M_-;\-* #,##0.00\ _D_M_-;_-* &quot;-&quot;??\ _D_M_-;_-@_-"/>
    <numFmt numFmtId="167" formatCode="0.0%"/>
    <numFmt numFmtId="168" formatCode="0.0000%"/>
    <numFmt numFmtId="169" formatCode="0.000%"/>
    <numFmt numFmtId="170" formatCode="mmm\ d\,\ yyyy"/>
    <numFmt numFmtId="171" formatCode="&quot;$&quot;#,##0.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10"/>
      <color rgb="FF00B050"/>
      <name val="Arial"/>
      <family val="2"/>
    </font>
    <font>
      <strike/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9"/>
      <color indexed="81"/>
      <name val="Tahoma"/>
      <family val="2"/>
    </font>
    <font>
      <u/>
      <sz val="10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u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10">
    <xf numFmtId="0" fontId="0" fillId="0" borderId="0"/>
    <xf numFmtId="0" fontId="5" fillId="0" borderId="0"/>
    <xf numFmtId="0" fontId="8" fillId="0" borderId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</cellStyleXfs>
  <cellXfs count="163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Alignment="1"/>
    <xf numFmtId="0" fontId="3" fillId="0" borderId="0" xfId="0" applyFont="1" applyAlignment="1">
      <alignment horizontal="left" vertical="center"/>
    </xf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0" fillId="2" borderId="0" xfId="0" applyNumberFormat="1" applyFill="1"/>
    <xf numFmtId="164" fontId="0" fillId="0" borderId="0" xfId="0" applyNumberFormat="1"/>
    <xf numFmtId="0" fontId="6" fillId="0" borderId="0" xfId="1" applyFont="1" applyAlignment="1">
      <alignment horizontal="left" vertical="center"/>
    </xf>
    <xf numFmtId="0" fontId="5" fillId="0" borderId="0" xfId="1"/>
    <xf numFmtId="0" fontId="7" fillId="0" borderId="0" xfId="1" applyFont="1" applyAlignment="1">
      <alignment horizontal="left"/>
    </xf>
    <xf numFmtId="0" fontId="7" fillId="0" borderId="0" xfId="1" applyFont="1" applyAlignment="1">
      <alignment horizontal="center"/>
    </xf>
    <xf numFmtId="0" fontId="5" fillId="0" borderId="0" xfId="2" applyFont="1"/>
    <xf numFmtId="0" fontId="6" fillId="0" borderId="0" xfId="1" applyFont="1" applyAlignment="1">
      <alignment horizontal="left"/>
    </xf>
    <xf numFmtId="0" fontId="6" fillId="0" borderId="0" xfId="2" applyFont="1" applyAlignment="1">
      <alignment horizontal="right" indent="1"/>
    </xf>
    <xf numFmtId="0" fontId="5" fillId="2" borderId="0" xfId="2" applyFont="1" applyFill="1" applyAlignment="1">
      <alignment horizontal="left"/>
    </xf>
    <xf numFmtId="0" fontId="7" fillId="2" borderId="0" xfId="1" applyFont="1" applyFill="1" applyAlignment="1">
      <alignment horizontal="center"/>
    </xf>
    <xf numFmtId="0" fontId="5" fillId="2" borderId="0" xfId="2" applyFont="1" applyFill="1" applyAlignment="1">
      <alignment horizontal="center"/>
    </xf>
    <xf numFmtId="0" fontId="5" fillId="2" borderId="0" xfId="2" applyFont="1" applyFill="1"/>
    <xf numFmtId="0" fontId="6" fillId="0" borderId="0" xfId="1" applyFont="1" applyAlignment="1">
      <alignment vertical="top"/>
    </xf>
    <xf numFmtId="0" fontId="6" fillId="0" borderId="0" xfId="1" applyFont="1" applyAlignment="1">
      <alignment horizontal="left" vertical="top"/>
    </xf>
    <xf numFmtId="0" fontId="6" fillId="0" borderId="0" xfId="1" applyFont="1" applyAlignment="1">
      <alignment horizontal="center" vertical="top"/>
    </xf>
    <xf numFmtId="0" fontId="7" fillId="0" borderId="0" xfId="1" applyFont="1" applyAlignment="1">
      <alignment horizontal="center" vertical="top"/>
    </xf>
    <xf numFmtId="0" fontId="6" fillId="0" borderId="0" xfId="1" applyFont="1"/>
    <xf numFmtId="0" fontId="6" fillId="0" borderId="0" xfId="1" applyFont="1" applyAlignment="1">
      <alignment horizontal="center"/>
    </xf>
    <xf numFmtId="0" fontId="9" fillId="0" borderId="0" xfId="2" quotePrefix="1" applyFont="1" applyAlignment="1">
      <alignment horizontal="center" vertical="top"/>
    </xf>
    <xf numFmtId="0" fontId="5" fillId="0" borderId="0" xfId="1" quotePrefix="1" applyAlignment="1">
      <alignment horizontal="center" vertical="center"/>
    </xf>
    <xf numFmtId="0" fontId="5" fillId="0" borderId="0" xfId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5" fillId="0" borderId="0" xfId="1" quotePrefix="1" applyAlignment="1">
      <alignment horizontal="center"/>
    </xf>
    <xf numFmtId="165" fontId="10" fillId="0" borderId="0" xfId="1" applyNumberFormat="1" applyFont="1"/>
    <xf numFmtId="43" fontId="5" fillId="0" borderId="0" xfId="2" applyNumberFormat="1" applyFont="1"/>
    <xf numFmtId="0" fontId="5" fillId="0" borderId="0" xfId="1" applyAlignment="1">
      <alignment horizontal="center"/>
    </xf>
    <xf numFmtId="165" fontId="5" fillId="0" borderId="0" xfId="3" applyNumberFormat="1" applyFont="1"/>
    <xf numFmtId="165" fontId="5" fillId="0" borderId="0" xfId="1" applyNumberFormat="1" applyAlignment="1">
      <alignment horizontal="center"/>
    </xf>
    <xf numFmtId="0" fontId="6" fillId="0" borderId="3" xfId="1" applyFont="1" applyBorder="1" applyAlignment="1">
      <alignment horizontal="center"/>
    </xf>
    <xf numFmtId="165" fontId="5" fillId="0" borderId="5" xfId="1" applyNumberFormat="1" applyBorder="1"/>
    <xf numFmtId="0" fontId="6" fillId="0" borderId="3" xfId="1" applyFont="1" applyBorder="1"/>
    <xf numFmtId="0" fontId="6" fillId="0" borderId="4" xfId="2" applyFont="1" applyBorder="1" applyAlignment="1">
      <alignment horizontal="center"/>
    </xf>
    <xf numFmtId="0" fontId="6" fillId="0" borderId="5" xfId="2" applyFont="1" applyBorder="1"/>
    <xf numFmtId="0" fontId="9" fillId="0" borderId="0" xfId="2" applyFont="1"/>
    <xf numFmtId="0" fontId="6" fillId="0" borderId="2" xfId="1" applyFont="1" applyBorder="1" applyAlignment="1">
      <alignment horizontal="center"/>
    </xf>
    <xf numFmtId="0" fontId="6" fillId="0" borderId="2" xfId="1" applyFont="1" applyBorder="1" applyAlignment="1">
      <alignment horizontal="center" wrapText="1"/>
    </xf>
    <xf numFmtId="0" fontId="9" fillId="0" borderId="0" xfId="1" applyFont="1"/>
    <xf numFmtId="0" fontId="6" fillId="0" borderId="0" xfId="2" applyFont="1" applyAlignment="1">
      <alignment horizontal="center"/>
    </xf>
    <xf numFmtId="0" fontId="5" fillId="0" borderId="0" xfId="2" quotePrefix="1" applyFont="1"/>
    <xf numFmtId="164" fontId="5" fillId="0" borderId="0" xfId="1" applyNumberFormat="1"/>
    <xf numFmtId="5" fontId="5" fillId="2" borderId="0" xfId="4" applyNumberFormat="1" applyFont="1" applyFill="1" applyBorder="1"/>
    <xf numFmtId="5" fontId="5" fillId="2" borderId="0" xfId="4" applyNumberFormat="1" applyFont="1" applyFill="1" applyBorder="1" applyAlignment="1">
      <alignment horizontal="center"/>
    </xf>
    <xf numFmtId="164" fontId="5" fillId="0" borderId="0" xfId="1" applyNumberFormat="1" applyAlignment="1">
      <alignment horizontal="center"/>
    </xf>
    <xf numFmtId="0" fontId="5" fillId="2" borderId="0" xfId="2" quotePrefix="1" applyFont="1" applyFill="1"/>
    <xf numFmtId="165" fontId="5" fillId="2" borderId="0" xfId="1" quotePrefix="1" applyNumberFormat="1" applyFill="1" applyAlignment="1">
      <alignment horizontal="center"/>
    </xf>
    <xf numFmtId="164" fontId="5" fillId="0" borderId="0" xfId="1" quotePrefix="1" applyNumberFormat="1" applyAlignment="1">
      <alignment horizontal="right"/>
    </xf>
    <xf numFmtId="165" fontId="5" fillId="0" borderId="7" xfId="1" applyNumberFormat="1" applyBorder="1" applyAlignment="1">
      <alignment horizontal="center"/>
    </xf>
    <xf numFmtId="165" fontId="5" fillId="0" borderId="7" xfId="1" quotePrefix="1" applyNumberFormat="1" applyBorder="1" applyAlignment="1">
      <alignment horizontal="center"/>
    </xf>
    <xf numFmtId="164" fontId="5" fillId="0" borderId="7" xfId="1" applyNumberFormat="1" applyBorder="1" applyAlignment="1">
      <alignment horizontal="center"/>
    </xf>
    <xf numFmtId="5" fontId="5" fillId="0" borderId="7" xfId="1" quotePrefix="1" applyNumberFormat="1" applyBorder="1" applyAlignment="1">
      <alignment horizontal="right"/>
    </xf>
    <xf numFmtId="164" fontId="5" fillId="0" borderId="7" xfId="1" applyNumberFormat="1" applyBorder="1"/>
    <xf numFmtId="164" fontId="5" fillId="0" borderId="0" xfId="3" applyNumberFormat="1" applyFont="1" applyFill="1" applyBorder="1"/>
    <xf numFmtId="164" fontId="5" fillId="0" borderId="0" xfId="3" applyNumberFormat="1" applyFont="1" applyFill="1" applyBorder="1" applyAlignment="1">
      <alignment horizontal="center"/>
    </xf>
    <xf numFmtId="164" fontId="5" fillId="0" borderId="0" xfId="3" applyNumberFormat="1" applyFont="1" applyBorder="1"/>
    <xf numFmtId="165" fontId="5" fillId="0" borderId="0" xfId="3" applyNumberFormat="1" applyFont="1" applyFill="1" applyBorder="1"/>
    <xf numFmtId="0" fontId="5" fillId="0" borderId="0" xfId="3" applyNumberFormat="1" applyFont="1" applyFill="1" applyBorder="1" applyAlignment="1">
      <alignment horizontal="center"/>
    </xf>
    <xf numFmtId="165" fontId="5" fillId="0" borderId="0" xfId="3" applyNumberFormat="1" applyFont="1" applyBorder="1"/>
    <xf numFmtId="165" fontId="5" fillId="0" borderId="0" xfId="1" applyNumberFormat="1"/>
    <xf numFmtId="165" fontId="5" fillId="0" borderId="0" xfId="3" applyNumberFormat="1" applyFont="1" applyFill="1" applyBorder="1" applyAlignment="1">
      <alignment horizontal="center"/>
    </xf>
    <xf numFmtId="5" fontId="5" fillId="2" borderId="0" xfId="3" applyNumberFormat="1" applyFont="1" applyFill="1" applyBorder="1"/>
    <xf numFmtId="165" fontId="5" fillId="0" borderId="7" xfId="1" applyNumberFormat="1" applyBorder="1"/>
    <xf numFmtId="0" fontId="5" fillId="0" borderId="0" xfId="3" applyNumberFormat="1" applyFont="1" applyFill="1" applyBorder="1"/>
    <xf numFmtId="164" fontId="5" fillId="2" borderId="0" xfId="5" applyNumberFormat="1" applyFill="1" applyAlignment="1">
      <alignment vertical="top" wrapText="1"/>
    </xf>
    <xf numFmtId="165" fontId="6" fillId="0" borderId="0" xfId="1" applyNumberFormat="1" applyFont="1" applyAlignment="1">
      <alignment horizontal="center"/>
    </xf>
    <xf numFmtId="165" fontId="6" fillId="0" borderId="0" xfId="1" applyNumberFormat="1" applyFont="1"/>
    <xf numFmtId="164" fontId="5" fillId="0" borderId="0" xfId="1" applyNumberFormat="1" applyAlignment="1">
      <alignment vertical="top" wrapText="1"/>
    </xf>
    <xf numFmtId="0" fontId="6" fillId="0" borderId="0" xfId="1" applyFont="1" applyAlignment="1">
      <alignment horizontal="right"/>
    </xf>
    <xf numFmtId="0" fontId="9" fillId="0" borderId="0" xfId="2" quotePrefix="1" applyFont="1" applyAlignment="1">
      <alignment horizontal="center"/>
    </xf>
    <xf numFmtId="165" fontId="6" fillId="0" borderId="2" xfId="3" applyNumberFormat="1" applyFont="1" applyFill="1" applyBorder="1" applyAlignment="1">
      <alignment horizontal="center" wrapText="1"/>
    </xf>
    <xf numFmtId="0" fontId="6" fillId="0" borderId="1" xfId="1" applyFont="1" applyBorder="1" applyAlignment="1">
      <alignment horizontal="center"/>
    </xf>
    <xf numFmtId="167" fontId="6" fillId="0" borderId="0" xfId="6" applyNumberFormat="1" applyFont="1" applyFill="1" applyBorder="1" applyAlignment="1">
      <alignment horizontal="center" wrapText="1"/>
    </xf>
    <xf numFmtId="167" fontId="5" fillId="0" borderId="0" xfId="7" applyNumberFormat="1" applyFont="1" applyFill="1" applyBorder="1" applyAlignment="1">
      <alignment horizontal="center" wrapText="1"/>
    </xf>
    <xf numFmtId="165" fontId="5" fillId="0" borderId="0" xfId="3" applyNumberFormat="1" applyFont="1" applyFill="1" applyBorder="1" applyAlignment="1">
      <alignment horizontal="center" wrapText="1"/>
    </xf>
    <xf numFmtId="0" fontId="5" fillId="0" borderId="0" xfId="5"/>
    <xf numFmtId="0" fontId="5" fillId="0" borderId="0" xfId="5" quotePrefix="1"/>
    <xf numFmtId="165" fontId="5" fillId="0" borderId="0" xfId="3" applyNumberFormat="1" applyFont="1" applyFill="1" applyBorder="1" applyAlignment="1"/>
    <xf numFmtId="165" fontId="5" fillId="0" borderId="0" xfId="1" quotePrefix="1" applyNumberFormat="1" applyAlignment="1">
      <alignment horizontal="center"/>
    </xf>
    <xf numFmtId="167" fontId="5" fillId="0" borderId="7" xfId="6" applyNumberFormat="1" applyFont="1" applyFill="1" applyBorder="1" applyAlignment="1">
      <alignment horizontal="center" wrapText="1"/>
    </xf>
    <xf numFmtId="165" fontId="5" fillId="0" borderId="7" xfId="3" applyNumberFormat="1" applyFont="1" applyFill="1" applyBorder="1" applyAlignment="1">
      <alignment horizontal="center" wrapText="1"/>
    </xf>
    <xf numFmtId="0" fontId="5" fillId="0" borderId="0" xfId="7" applyNumberFormat="1" applyFont="1" applyFill="1" applyBorder="1" applyAlignment="1">
      <alignment horizontal="center" wrapText="1"/>
    </xf>
    <xf numFmtId="165" fontId="6" fillId="0" borderId="0" xfId="3" applyNumberFormat="1" applyFont="1" applyFill="1" applyBorder="1"/>
    <xf numFmtId="0" fontId="6" fillId="0" borderId="0" xfId="7" applyNumberFormat="1" applyFont="1" applyFill="1" applyBorder="1" applyAlignment="1">
      <alignment horizontal="center" wrapText="1"/>
    </xf>
    <xf numFmtId="167" fontId="6" fillId="0" borderId="0" xfId="7" applyNumberFormat="1" applyFont="1" applyFill="1" applyBorder="1" applyAlignment="1">
      <alignment horizontal="center" wrapText="1"/>
    </xf>
    <xf numFmtId="0" fontId="6" fillId="0" borderId="0" xfId="2" applyFont="1" applyAlignment="1">
      <alignment horizontal="center" vertical="center"/>
    </xf>
    <xf numFmtId="0" fontId="5" fillId="0" borderId="0" xfId="1" applyAlignment="1">
      <alignment vertical="justify"/>
    </xf>
    <xf numFmtId="165" fontId="5" fillId="0" borderId="0" xfId="1" applyNumberFormat="1" applyAlignment="1">
      <alignment vertical="justify"/>
    </xf>
    <xf numFmtId="165" fontId="5" fillId="0" borderId="0" xfId="1" applyNumberFormat="1" applyAlignment="1">
      <alignment vertical="center"/>
    </xf>
    <xf numFmtId="167" fontId="5" fillId="0" borderId="0" xfId="7" applyNumberFormat="1" applyFont="1" applyFill="1" applyBorder="1" applyAlignment="1">
      <alignment horizontal="center" vertical="justify" wrapText="1"/>
    </xf>
    <xf numFmtId="0" fontId="5" fillId="0" borderId="0" xfId="1" quotePrefix="1" applyAlignment="1">
      <alignment vertical="center"/>
    </xf>
    <xf numFmtId="167" fontId="5" fillId="0" borderId="7" xfId="7" applyNumberFormat="1" applyFont="1" applyFill="1" applyBorder="1" applyAlignment="1">
      <alignment horizontal="center" wrapText="1"/>
    </xf>
    <xf numFmtId="0" fontId="5" fillId="0" borderId="0" xfId="1" quotePrefix="1"/>
    <xf numFmtId="0" fontId="12" fillId="0" borderId="0" xfId="1" applyFont="1"/>
    <xf numFmtId="165" fontId="13" fillId="0" borderId="0" xfId="1" applyNumberFormat="1" applyFont="1"/>
    <xf numFmtId="0" fontId="12" fillId="0" borderId="0" xfId="7" applyNumberFormat="1" applyFont="1" applyFill="1" applyBorder="1" applyAlignment="1">
      <alignment horizontal="center" wrapText="1"/>
    </xf>
    <xf numFmtId="165" fontId="13" fillId="0" borderId="0" xfId="3" applyNumberFormat="1" applyFont="1" applyBorder="1"/>
    <xf numFmtId="165" fontId="13" fillId="0" borderId="0" xfId="3" applyNumberFormat="1" applyFont="1" applyFill="1" applyBorder="1"/>
    <xf numFmtId="0" fontId="13" fillId="0" borderId="0" xfId="1" applyFont="1"/>
    <xf numFmtId="0" fontId="9" fillId="0" borderId="0" xfId="1" applyFont="1" applyAlignment="1">
      <alignment vertical="top" wrapText="1"/>
    </xf>
    <xf numFmtId="0" fontId="5" fillId="0" borderId="0" xfId="1" applyAlignment="1">
      <alignment vertical="top"/>
    </xf>
    <xf numFmtId="165" fontId="5" fillId="0" borderId="0" xfId="3" applyNumberFormat="1" applyFont="1" applyFill="1"/>
    <xf numFmtId="0" fontId="5" fillId="0" borderId="0" xfId="1" applyAlignment="1">
      <alignment vertical="top" wrapText="1"/>
    </xf>
    <xf numFmtId="0" fontId="5" fillId="0" borderId="0" xfId="1" applyAlignment="1" applyProtection="1">
      <alignment horizontal="left" vertical="top" indent="1"/>
      <protection locked="0"/>
    </xf>
    <xf numFmtId="0" fontId="5" fillId="0" borderId="0" xfId="1" applyAlignment="1" applyProtection="1">
      <alignment horizontal="left" indent="1"/>
      <protection locked="0"/>
    </xf>
    <xf numFmtId="0" fontId="5" fillId="0" borderId="0" xfId="1" applyAlignment="1" applyProtection="1">
      <alignment horizontal="left" indent="2"/>
      <protection locked="0"/>
    </xf>
    <xf numFmtId="0" fontId="5" fillId="2" borderId="0" xfId="5" applyFill="1" applyAlignment="1" applyProtection="1">
      <alignment horizontal="left" indent="1"/>
      <protection locked="0"/>
    </xf>
    <xf numFmtId="0" fontId="5" fillId="2" borderId="0" xfId="5" applyFill="1"/>
    <xf numFmtId="0" fontId="5" fillId="2" borderId="0" xfId="1" applyFill="1"/>
    <xf numFmtId="0" fontId="5" fillId="2" borderId="0" xfId="1" applyFill="1" applyAlignment="1">
      <alignment horizontal="center"/>
    </xf>
    <xf numFmtId="165" fontId="5" fillId="2" borderId="0" xfId="3" applyNumberFormat="1" applyFont="1" applyFill="1"/>
    <xf numFmtId="0" fontId="5" fillId="0" borderId="0" xfId="1" applyAlignment="1">
      <alignment horizontal="right"/>
    </xf>
    <xf numFmtId="0" fontId="5" fillId="2" borderId="0" xfId="1" applyFill="1" applyAlignment="1">
      <alignment horizontal="left"/>
    </xf>
    <xf numFmtId="0" fontId="5" fillId="0" borderId="0" xfId="1" applyAlignment="1">
      <alignment horizontal="left" indent="1"/>
    </xf>
    <xf numFmtId="0" fontId="9" fillId="0" borderId="0" xfId="1" applyFont="1" applyAlignment="1">
      <alignment horizontal="center"/>
    </xf>
    <xf numFmtId="168" fontId="5" fillId="0" borderId="0" xfId="1" applyNumberFormat="1"/>
    <xf numFmtId="10" fontId="5" fillId="0" borderId="0" xfId="1" applyNumberFormat="1"/>
    <xf numFmtId="0" fontId="5" fillId="0" borderId="0" xfId="5" applyAlignment="1">
      <alignment horizontal="center"/>
    </xf>
    <xf numFmtId="165" fontId="5" fillId="0" borderId="0" xfId="4" applyNumberFormat="1" applyFont="1" applyFill="1"/>
    <xf numFmtId="5" fontId="5" fillId="2" borderId="8" xfId="4" applyNumberFormat="1" applyFont="1" applyFill="1" applyBorder="1"/>
    <xf numFmtId="0" fontId="6" fillId="0" borderId="0" xfId="1" applyFont="1" applyAlignment="1">
      <alignment horizontal="left" indent="1"/>
    </xf>
    <xf numFmtId="0" fontId="9" fillId="0" borderId="0" xfId="1" applyFont="1" applyAlignment="1">
      <alignment horizontal="left"/>
    </xf>
    <xf numFmtId="0" fontId="5" fillId="0" borderId="0" xfId="1" applyAlignment="1">
      <alignment horizontal="left"/>
    </xf>
    <xf numFmtId="0" fontId="15" fillId="0" borderId="0" xfId="1" applyFont="1"/>
    <xf numFmtId="164" fontId="15" fillId="0" borderId="0" xfId="1" applyNumberFormat="1" applyFont="1"/>
    <xf numFmtId="0" fontId="15" fillId="0" borderId="0" xfId="1" applyFont="1" applyAlignment="1">
      <alignment horizontal="left"/>
    </xf>
    <xf numFmtId="0" fontId="9" fillId="0" borderId="0" xfId="1" quotePrefix="1" applyFont="1" applyAlignment="1">
      <alignment horizontal="center"/>
    </xf>
    <xf numFmtId="0" fontId="5" fillId="0" borderId="0" xfId="8"/>
    <xf numFmtId="164" fontId="6" fillId="0" borderId="0" xfId="1" applyNumberFormat="1" applyFont="1" applyAlignment="1">
      <alignment horizontal="center"/>
    </xf>
    <xf numFmtId="169" fontId="5" fillId="0" borderId="0" xfId="1" applyNumberFormat="1"/>
    <xf numFmtId="164" fontId="13" fillId="0" borderId="0" xfId="1" applyNumberFormat="1" applyFont="1"/>
    <xf numFmtId="164" fontId="0" fillId="0" borderId="0" xfId="9" applyNumberFormat="1" applyFont="1"/>
    <xf numFmtId="0" fontId="6" fillId="0" borderId="0" xfId="1" quotePrefix="1" applyFont="1" applyAlignment="1">
      <alignment horizontal="center"/>
    </xf>
    <xf numFmtId="10" fontId="16" fillId="2" borderId="0" xfId="1" applyNumberFormat="1" applyFont="1" applyFill="1" applyAlignment="1">
      <alignment horizontal="center"/>
    </xf>
    <xf numFmtId="170" fontId="5" fillId="2" borderId="0" xfId="1" quotePrefix="1" applyNumberFormat="1" applyFill="1" applyAlignment="1">
      <alignment horizontal="center"/>
    </xf>
    <xf numFmtId="10" fontId="5" fillId="0" borderId="0" xfId="1" quotePrefix="1" applyNumberFormat="1" applyAlignment="1">
      <alignment horizontal="right"/>
    </xf>
    <xf numFmtId="0" fontId="16" fillId="2" borderId="0" xfId="1" applyFont="1" applyFill="1"/>
    <xf numFmtId="168" fontId="5" fillId="0" borderId="0" xfId="1" applyNumberFormat="1" applyAlignment="1">
      <alignment horizontal="center"/>
    </xf>
    <xf numFmtId="168" fontId="15" fillId="0" borderId="0" xfId="1" applyNumberFormat="1" applyFont="1" applyAlignment="1">
      <alignment horizontal="center"/>
    </xf>
    <xf numFmtId="3" fontId="5" fillId="0" borderId="0" xfId="1" applyNumberFormat="1" applyAlignment="1">
      <alignment horizontal="center"/>
    </xf>
    <xf numFmtId="1" fontId="5" fillId="0" borderId="0" xfId="1" applyNumberFormat="1" applyAlignment="1">
      <alignment horizontal="center"/>
    </xf>
    <xf numFmtId="171" fontId="5" fillId="0" borderId="0" xfId="1" applyNumberFormat="1"/>
    <xf numFmtId="1" fontId="5" fillId="0" borderId="0" xfId="1" applyNumberFormat="1" applyAlignment="1">
      <alignment horizontal="right"/>
    </xf>
    <xf numFmtId="171" fontId="5" fillId="0" borderId="0" xfId="1" applyNumberFormat="1" applyAlignment="1">
      <alignment horizontal="left" indent="1"/>
    </xf>
    <xf numFmtId="168" fontId="17" fillId="0" borderId="0" xfId="1" applyNumberFormat="1" applyFont="1"/>
    <xf numFmtId="168" fontId="18" fillId="0" borderId="0" xfId="1" applyNumberFormat="1" applyFont="1"/>
    <xf numFmtId="168" fontId="15" fillId="0" borderId="0" xfId="1" applyNumberFormat="1" applyFont="1"/>
    <xf numFmtId="164" fontId="5" fillId="3" borderId="0" xfId="1" applyNumberFormat="1" applyFill="1"/>
    <xf numFmtId="164" fontId="15" fillId="3" borderId="0" xfId="1" applyNumberFormat="1" applyFont="1" applyFill="1"/>
    <xf numFmtId="0" fontId="6" fillId="0" borderId="3" xfId="1" applyFont="1" applyBorder="1" applyAlignment="1">
      <alignment horizontal="center"/>
    </xf>
    <xf numFmtId="0" fontId="6" fillId="0" borderId="4" xfId="1" applyFont="1" applyBorder="1" applyAlignment="1">
      <alignment horizontal="center"/>
    </xf>
    <xf numFmtId="0" fontId="6" fillId="0" borderId="5" xfId="1" applyFont="1" applyBorder="1" applyAlignment="1">
      <alignment horizontal="center"/>
    </xf>
    <xf numFmtId="0" fontId="6" fillId="0" borderId="2" xfId="1" applyFont="1" applyBorder="1"/>
    <xf numFmtId="0" fontId="6" fillId="0" borderId="1" xfId="1" applyFont="1" applyBorder="1" applyAlignment="1">
      <alignment horizontal="center"/>
    </xf>
    <xf numFmtId="0" fontId="6" fillId="0" borderId="6" xfId="1" applyFont="1" applyBorder="1" applyAlignment="1">
      <alignment horizontal="center"/>
    </xf>
    <xf numFmtId="0" fontId="6" fillId="0" borderId="2" xfId="1" applyFont="1" applyBorder="1" applyAlignment="1">
      <alignment horizontal="center"/>
    </xf>
  </cellXfs>
  <cellStyles count="10">
    <cellStyle name="Comma 2" xfId="9" xr:uid="{A4469404-AB9F-4A4D-9F20-BC78667FCF55}"/>
    <cellStyle name="Comma 3" xfId="3" xr:uid="{306A5DC1-1137-48C9-B6B1-8669D82A0371}"/>
    <cellStyle name="Comma 3 2" xfId="4" xr:uid="{6B7F1EC7-C26E-439C-8CED-0A2E1BC3EE15}"/>
    <cellStyle name="Normal" xfId="0" builtinId="0"/>
    <cellStyle name="Normal 2" xfId="1" xr:uid="{38320D6B-5691-4BC4-82D3-50C9BAC335A3}"/>
    <cellStyle name="Normal 2 2 2" xfId="5" xr:uid="{7B1BA3B3-0B51-4389-AD53-EBDEE98D9891}"/>
    <cellStyle name="Normal 3" xfId="2" xr:uid="{92C71065-1B7A-480F-A5C4-6F6AD1AAF4AD}"/>
    <cellStyle name="Normal 7" xfId="8" xr:uid="{37C2A8DD-92E4-4396-82CE-77BB3B731258}"/>
    <cellStyle name="Percent 2" xfId="6" xr:uid="{5626DC63-7397-4672-97E3-9EC3F5D7B287}"/>
    <cellStyle name="Percent 3" xfId="7" xr:uid="{8F64D0CC-CA58-4969-A6EC-6FF5B2E7EB89}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015FC-B0E6-480C-9E55-87B1B7B8629F}">
  <sheetPr>
    <pageSetUpPr fitToPage="1"/>
  </sheetPr>
  <dimension ref="A1:I22"/>
  <sheetViews>
    <sheetView tabSelected="1" zoomScale="75" zoomScaleNormal="75" zoomScalePageLayoutView="85" workbookViewId="0"/>
  </sheetViews>
  <sheetFormatPr defaultRowHeight="14.5" x14ac:dyDescent="0.35"/>
  <cols>
    <col min="1" max="1" width="2.54296875" customWidth="1"/>
    <col min="2" max="2" width="4.54296875" customWidth="1"/>
    <col min="3" max="6" width="8.54296875" customWidth="1"/>
    <col min="7" max="7" width="17" customWidth="1"/>
    <col min="8" max="8" width="2.54296875" customWidth="1"/>
    <col min="9" max="16" width="8.54296875" customWidth="1"/>
    <col min="18" max="18" width="5.1796875" customWidth="1"/>
  </cols>
  <sheetData>
    <row r="1" spans="1:9" x14ac:dyDescent="0.35">
      <c r="A1" s="4" t="s">
        <v>4</v>
      </c>
    </row>
    <row r="3" spans="1:9" x14ac:dyDescent="0.35">
      <c r="B3" t="s">
        <v>7</v>
      </c>
    </row>
    <row r="4" spans="1:9" x14ac:dyDescent="0.35">
      <c r="B4" t="s">
        <v>5</v>
      </c>
    </row>
    <row r="5" spans="1:9" x14ac:dyDescent="0.35">
      <c r="B5" t="s">
        <v>20</v>
      </c>
    </row>
    <row r="6" spans="1:9" x14ac:dyDescent="0.35">
      <c r="B6" t="s">
        <v>6</v>
      </c>
    </row>
    <row r="8" spans="1:9" x14ac:dyDescent="0.35">
      <c r="C8" s="3" t="s">
        <v>19</v>
      </c>
    </row>
    <row r="9" spans="1:9" x14ac:dyDescent="0.35">
      <c r="C9" s="1" t="s">
        <v>0</v>
      </c>
    </row>
    <row r="10" spans="1:9" x14ac:dyDescent="0.35">
      <c r="C10" s="2" t="s">
        <v>1</v>
      </c>
    </row>
    <row r="11" spans="1:9" x14ac:dyDescent="0.35">
      <c r="C11" s="2" t="s">
        <v>2</v>
      </c>
    </row>
    <row r="12" spans="1:9" x14ac:dyDescent="0.35">
      <c r="C12" s="2" t="s">
        <v>3</v>
      </c>
    </row>
    <row r="14" spans="1:9" x14ac:dyDescent="0.35">
      <c r="B14" t="s">
        <v>8</v>
      </c>
    </row>
    <row r="16" spans="1:9" x14ac:dyDescent="0.35">
      <c r="B16" s="6" t="s">
        <v>12</v>
      </c>
      <c r="G16" s="6" t="s">
        <v>14</v>
      </c>
      <c r="I16" s="5" t="s">
        <v>15</v>
      </c>
    </row>
    <row r="17" spans="2:9" x14ac:dyDescent="0.35">
      <c r="B17" s="7">
        <v>1</v>
      </c>
      <c r="C17" t="s">
        <v>9</v>
      </c>
      <c r="G17" s="8">
        <v>1222175404</v>
      </c>
      <c r="I17" t="s">
        <v>17</v>
      </c>
    </row>
    <row r="18" spans="2:9" x14ac:dyDescent="0.35">
      <c r="B18" s="7">
        <v>2</v>
      </c>
      <c r="C18" t="s">
        <v>10</v>
      </c>
      <c r="G18" s="8">
        <v>1224356462</v>
      </c>
      <c r="I18" t="s">
        <v>275</v>
      </c>
    </row>
    <row r="19" spans="2:9" x14ac:dyDescent="0.35">
      <c r="B19" s="7">
        <v>3</v>
      </c>
      <c r="C19" t="s">
        <v>11</v>
      </c>
      <c r="G19" s="9">
        <f>G18-G17</f>
        <v>2181058</v>
      </c>
      <c r="I19" t="s">
        <v>21</v>
      </c>
    </row>
    <row r="20" spans="2:9" x14ac:dyDescent="0.35">
      <c r="B20" s="7">
        <v>4</v>
      </c>
      <c r="C20" t="s">
        <v>13</v>
      </c>
      <c r="G20" s="8">
        <v>2115635</v>
      </c>
      <c r="I20" t="s">
        <v>22</v>
      </c>
    </row>
    <row r="21" spans="2:9" x14ac:dyDescent="0.35">
      <c r="B21" s="7">
        <v>5</v>
      </c>
      <c r="C21" t="s">
        <v>16</v>
      </c>
      <c r="G21" s="9">
        <f>G19-G20</f>
        <v>65423</v>
      </c>
      <c r="I21" t="s">
        <v>18</v>
      </c>
    </row>
    <row r="22" spans="2:9" x14ac:dyDescent="0.35">
      <c r="B22" s="7"/>
    </row>
  </sheetData>
  <pageMargins left="0.7" right="0.7" top="0.75" bottom="0.75" header="0.3" footer="0.3"/>
  <pageSetup scale="83" orientation="landscape" horizontalDpi="4294967293" verticalDpi="4294967293" r:id="rId1"/>
  <headerFooter>
    <oddHeader>&amp;RTO2023 Draft Annual Update
Attachment 4
WP-Schedule 3-One Time Adj Morongo Rate Consistency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2FE0C-9BF5-4629-B359-6C32033DD913}">
  <dimension ref="A1:Q173"/>
  <sheetViews>
    <sheetView zoomScaleNormal="100" workbookViewId="0"/>
  </sheetViews>
  <sheetFormatPr defaultRowHeight="12.5" x14ac:dyDescent="0.25"/>
  <cols>
    <col min="1" max="2" width="4.54296875" style="11" customWidth="1"/>
    <col min="3" max="3" width="18.54296875" style="11" customWidth="1"/>
    <col min="4" max="4" width="10.453125" style="11" bestFit="1" customWidth="1"/>
    <col min="5" max="7" width="15.54296875" style="11" customWidth="1"/>
    <col min="8" max="8" width="24.54296875" style="11" customWidth="1"/>
    <col min="9" max="9" width="4.54296875" style="11" customWidth="1"/>
    <col min="10" max="10" width="15.54296875" style="11" customWidth="1"/>
    <col min="11" max="11" width="2.54296875" style="11" customWidth="1"/>
    <col min="12" max="12" width="8.453125" style="11" customWidth="1"/>
    <col min="13" max="13" width="4.453125" style="11" customWidth="1"/>
    <col min="14" max="14" width="3.453125" style="11" customWidth="1"/>
    <col min="15" max="15" width="14.81640625" style="11" customWidth="1"/>
    <col min="16" max="16384" width="8.7265625" style="11"/>
  </cols>
  <sheetData>
    <row r="1" spans="1:12" ht="13" x14ac:dyDescent="0.3">
      <c r="A1" s="25" t="s">
        <v>161</v>
      </c>
    </row>
    <row r="3" spans="1:12" ht="13" x14ac:dyDescent="0.3">
      <c r="B3" s="15" t="s">
        <v>162</v>
      </c>
      <c r="L3" s="26"/>
    </row>
    <row r="4" spans="1:12" ht="13" x14ac:dyDescent="0.3">
      <c r="B4" s="127"/>
      <c r="F4" s="26" t="s">
        <v>149</v>
      </c>
      <c r="G4" s="26"/>
      <c r="H4" s="26" t="s">
        <v>163</v>
      </c>
      <c r="J4" s="26" t="s">
        <v>164</v>
      </c>
      <c r="L4" s="26"/>
    </row>
    <row r="5" spans="1:12" ht="13" x14ac:dyDescent="0.3">
      <c r="A5" s="128" t="s">
        <v>165</v>
      </c>
      <c r="B5" s="120"/>
      <c r="C5" s="45" t="s">
        <v>166</v>
      </c>
      <c r="F5" s="121" t="s">
        <v>167</v>
      </c>
      <c r="G5" s="121" t="s">
        <v>168</v>
      </c>
      <c r="H5" s="121" t="s">
        <v>169</v>
      </c>
      <c r="J5" s="121" t="s">
        <v>14</v>
      </c>
      <c r="L5" s="121"/>
    </row>
    <row r="6" spans="1:12" ht="13" x14ac:dyDescent="0.3">
      <c r="A6" s="26">
        <v>1</v>
      </c>
      <c r="C6" s="129" t="s">
        <v>170</v>
      </c>
      <c r="F6" s="11" t="s">
        <v>171</v>
      </c>
      <c r="H6" s="129" t="s">
        <v>276</v>
      </c>
      <c r="J6" s="48">
        <v>10104561105.203291</v>
      </c>
      <c r="L6" s="48"/>
    </row>
    <row r="7" spans="1:12" ht="13" x14ac:dyDescent="0.3">
      <c r="A7" s="26">
        <f>A6+1</f>
        <v>2</v>
      </c>
      <c r="C7" s="129" t="s">
        <v>172</v>
      </c>
      <c r="F7" s="11" t="s">
        <v>173</v>
      </c>
      <c r="H7" s="129" t="s">
        <v>277</v>
      </c>
      <c r="J7" s="48">
        <v>344643757.48500198</v>
      </c>
      <c r="L7" s="48"/>
    </row>
    <row r="8" spans="1:12" ht="13" x14ac:dyDescent="0.3">
      <c r="A8" s="26">
        <f>A7+1</f>
        <v>3</v>
      </c>
      <c r="C8" s="129" t="s">
        <v>174</v>
      </c>
      <c r="F8" s="11" t="s">
        <v>173</v>
      </c>
      <c r="H8" s="11" t="s">
        <v>278</v>
      </c>
      <c r="J8" s="48">
        <v>8167171.1349999998</v>
      </c>
      <c r="L8" s="48"/>
    </row>
    <row r="9" spans="1:12" ht="13" x14ac:dyDescent="0.3">
      <c r="A9" s="26">
        <f>A8+1</f>
        <v>4</v>
      </c>
      <c r="C9" s="129" t="s">
        <v>175</v>
      </c>
      <c r="F9" s="11" t="s">
        <v>173</v>
      </c>
      <c r="H9" s="11" t="s">
        <v>279</v>
      </c>
      <c r="J9" s="48">
        <v>0</v>
      </c>
      <c r="L9" s="48"/>
    </row>
    <row r="10" spans="1:12" ht="13" x14ac:dyDescent="0.3">
      <c r="A10" s="26"/>
      <c r="C10" s="129"/>
      <c r="J10" s="48"/>
      <c r="L10" s="48"/>
    </row>
    <row r="11" spans="1:12" ht="13" x14ac:dyDescent="0.3">
      <c r="A11" s="26"/>
      <c r="C11" s="130" t="s">
        <v>176</v>
      </c>
      <c r="J11" s="48"/>
      <c r="L11" s="48"/>
    </row>
    <row r="12" spans="1:12" ht="13" x14ac:dyDescent="0.3">
      <c r="A12" s="26">
        <f>A9+1</f>
        <v>5</v>
      </c>
      <c r="C12" s="120" t="s">
        <v>177</v>
      </c>
      <c r="F12" s="11" t="s">
        <v>171</v>
      </c>
      <c r="H12" s="129" t="s">
        <v>280</v>
      </c>
      <c r="J12" s="48">
        <v>25292500.108422782</v>
      </c>
      <c r="L12" s="48"/>
    </row>
    <row r="13" spans="1:12" ht="13" x14ac:dyDescent="0.3">
      <c r="A13" s="26">
        <f>A12+1</f>
        <v>6</v>
      </c>
      <c r="C13" s="120" t="s">
        <v>178</v>
      </c>
      <c r="F13" s="11" t="s">
        <v>171</v>
      </c>
      <c r="H13" s="129" t="s">
        <v>281</v>
      </c>
      <c r="J13" s="48">
        <v>15339247.874588801</v>
      </c>
      <c r="L13" s="48"/>
    </row>
    <row r="14" spans="1:12" ht="13" x14ac:dyDescent="0.3">
      <c r="A14" s="26">
        <f>A13+1</f>
        <v>7</v>
      </c>
      <c r="C14" s="120" t="s">
        <v>179</v>
      </c>
      <c r="F14" s="11" t="s">
        <v>180</v>
      </c>
      <c r="H14" s="11" t="s">
        <v>282</v>
      </c>
      <c r="J14" s="155">
        <v>30348001.085815236</v>
      </c>
      <c r="L14" s="131"/>
    </row>
    <row r="15" spans="1:12" ht="13" x14ac:dyDescent="0.3">
      <c r="A15" s="26">
        <f>A14+1</f>
        <v>8</v>
      </c>
      <c r="C15" s="120" t="s">
        <v>181</v>
      </c>
      <c r="H15" s="11" t="str">
        <f>"Line "&amp;A12&amp;" + Line "&amp;A13&amp;" + Line "&amp;A14&amp;""</f>
        <v>Line 5 + Line 6 + Line 7</v>
      </c>
      <c r="J15" s="154">
        <f>SUM(J12:J14)</f>
        <v>70979749.068826824</v>
      </c>
      <c r="L15" s="48"/>
    </row>
    <row r="16" spans="1:12" ht="13" x14ac:dyDescent="0.3">
      <c r="A16" s="26"/>
      <c r="C16" s="120"/>
      <c r="J16" s="48"/>
      <c r="L16" s="48"/>
    </row>
    <row r="17" spans="1:12" ht="13" x14ac:dyDescent="0.3">
      <c r="A17" s="26"/>
      <c r="C17" s="132" t="s">
        <v>182</v>
      </c>
      <c r="J17" s="48"/>
      <c r="L17" s="48"/>
    </row>
    <row r="18" spans="1:12" ht="13" x14ac:dyDescent="0.3">
      <c r="A18" s="26">
        <f>A15+1</f>
        <v>9</v>
      </c>
      <c r="C18" s="120" t="s">
        <v>183</v>
      </c>
      <c r="F18" s="11" t="s">
        <v>171</v>
      </c>
      <c r="G18" s="11" t="s">
        <v>184</v>
      </c>
      <c r="H18" s="129" t="s">
        <v>298</v>
      </c>
      <c r="J18" s="48">
        <v>-2133338227.4523842</v>
      </c>
      <c r="L18" s="48"/>
    </row>
    <row r="19" spans="1:12" ht="13" x14ac:dyDescent="0.3">
      <c r="A19" s="26">
        <f>A18+1</f>
        <v>10</v>
      </c>
      <c r="C19" s="120" t="s">
        <v>185</v>
      </c>
      <c r="F19" s="11" t="s">
        <v>173</v>
      </c>
      <c r="G19" s="11" t="s">
        <v>184</v>
      </c>
      <c r="H19" s="129" t="s">
        <v>299</v>
      </c>
      <c r="J19" s="48">
        <v>0</v>
      </c>
      <c r="L19" s="48"/>
    </row>
    <row r="20" spans="1:12" ht="13" x14ac:dyDescent="0.3">
      <c r="A20" s="26">
        <f>A19+1</f>
        <v>11</v>
      </c>
      <c r="C20" s="120" t="s">
        <v>186</v>
      </c>
      <c r="D20" s="15"/>
      <c r="F20" s="11" t="s">
        <v>173</v>
      </c>
      <c r="G20" s="11" t="s">
        <v>184</v>
      </c>
      <c r="H20" s="129" t="s">
        <v>300</v>
      </c>
      <c r="J20" s="131">
        <v>-121685256.4392336</v>
      </c>
      <c r="L20" s="48"/>
    </row>
    <row r="21" spans="1:12" ht="13" x14ac:dyDescent="0.3">
      <c r="A21" s="26">
        <f>A20+1</f>
        <v>12</v>
      </c>
      <c r="C21" s="120" t="s">
        <v>187</v>
      </c>
      <c r="D21" s="15"/>
      <c r="H21" s="11" t="str">
        <f>"Line "&amp;A18&amp;" + Line "&amp;A19&amp;" + Line "&amp;A20&amp;""</f>
        <v>Line 9 + Line 10 + Line 11</v>
      </c>
      <c r="J21" s="48">
        <f>SUM(J18:J20)</f>
        <v>-2255023483.8916178</v>
      </c>
      <c r="L21" s="48"/>
    </row>
    <row r="22" spans="1:12" ht="13" x14ac:dyDescent="0.3">
      <c r="A22" s="26"/>
      <c r="J22" s="48"/>
      <c r="L22" s="48"/>
    </row>
    <row r="23" spans="1:12" ht="13" x14ac:dyDescent="0.3">
      <c r="A23" s="26">
        <f>A21+1</f>
        <v>13</v>
      </c>
      <c r="C23" s="129" t="s">
        <v>188</v>
      </c>
      <c r="F23" s="129" t="s">
        <v>173</v>
      </c>
      <c r="H23" s="129" t="s">
        <v>301</v>
      </c>
      <c r="J23" s="48">
        <v>-1489334840.996069</v>
      </c>
      <c r="L23" s="48"/>
    </row>
    <row r="24" spans="1:12" ht="13" x14ac:dyDescent="0.3">
      <c r="A24" s="26">
        <f>A23+1</f>
        <v>14</v>
      </c>
      <c r="C24" s="129" t="s">
        <v>189</v>
      </c>
      <c r="F24" s="11" t="s">
        <v>171</v>
      </c>
      <c r="H24" s="129" t="s">
        <v>302</v>
      </c>
      <c r="J24" s="48">
        <v>643095443.11000001</v>
      </c>
      <c r="L24" s="48"/>
    </row>
    <row r="25" spans="1:12" ht="13" x14ac:dyDescent="0.3">
      <c r="A25" s="26">
        <f>A24+1</f>
        <v>15</v>
      </c>
      <c r="C25" s="129" t="s">
        <v>190</v>
      </c>
      <c r="F25" s="11" t="s">
        <v>173</v>
      </c>
      <c r="G25" s="11" t="s">
        <v>184</v>
      </c>
      <c r="H25" s="129" t="s">
        <v>303</v>
      </c>
      <c r="J25" s="48">
        <v>-26617620.484999999</v>
      </c>
      <c r="L25" s="48"/>
    </row>
    <row r="26" spans="1:12" ht="13" x14ac:dyDescent="0.3">
      <c r="A26" s="26">
        <f t="shared" ref="A26:A27" si="0">A25+1</f>
        <v>16</v>
      </c>
      <c r="C26" s="129" t="s">
        <v>191</v>
      </c>
      <c r="H26" s="11" t="s">
        <v>304</v>
      </c>
      <c r="J26" s="48">
        <v>-176736728.09715599</v>
      </c>
      <c r="L26" s="48"/>
    </row>
    <row r="27" spans="1:12" ht="13" x14ac:dyDescent="0.3">
      <c r="A27" s="26">
        <f t="shared" si="0"/>
        <v>17</v>
      </c>
      <c r="C27" s="129" t="s">
        <v>192</v>
      </c>
      <c r="F27" s="11" t="s">
        <v>173</v>
      </c>
      <c r="H27" s="129" t="s">
        <v>305</v>
      </c>
      <c r="J27" s="48">
        <v>0</v>
      </c>
      <c r="L27" s="48"/>
    </row>
    <row r="28" spans="1:12" ht="13" x14ac:dyDescent="0.3">
      <c r="A28" s="26"/>
      <c r="C28" s="129"/>
      <c r="L28" s="48"/>
    </row>
    <row r="29" spans="1:12" ht="13" x14ac:dyDescent="0.3">
      <c r="A29" s="26">
        <f>A27+1</f>
        <v>18</v>
      </c>
      <c r="C29" s="11" t="s">
        <v>193</v>
      </c>
      <c r="H29" s="11" t="str">
        <f>"L"&amp;A6&amp;"+L"&amp;A7&amp;"+L"&amp;A8&amp;"+L"&amp;A9&amp;"+L"&amp;A15&amp;"+L"&amp;A21&amp;"+"</f>
        <v>L1+L2+L3+L4+L8+L12+</v>
      </c>
      <c r="J29" s="154">
        <f>J6+ J7+J8+J9+J15+J21+J23+J24+J25+J26+J27</f>
        <v>7223734552.5322781</v>
      </c>
      <c r="L29" s="48"/>
    </row>
    <row r="30" spans="1:12" ht="13" x14ac:dyDescent="0.3">
      <c r="A30" s="26"/>
      <c r="H30" s="11" t="str">
        <f>"L"&amp;A23&amp;"+L"&amp;A24&amp;"+L"&amp;A25&amp;"+L"&amp;A26&amp;"+L"&amp;A27&amp;""</f>
        <v>L13+L14+L15+L16+L17</v>
      </c>
      <c r="J30" s="48"/>
      <c r="L30" s="48"/>
    </row>
    <row r="31" spans="1:12" ht="13" x14ac:dyDescent="0.3">
      <c r="A31" s="26"/>
      <c r="B31" s="25" t="s">
        <v>194</v>
      </c>
      <c r="J31" s="48"/>
      <c r="L31" s="48"/>
    </row>
    <row r="32" spans="1:12" ht="13" x14ac:dyDescent="0.3">
      <c r="A32" s="128" t="s">
        <v>165</v>
      </c>
      <c r="C32" s="25"/>
      <c r="J32" s="48"/>
      <c r="L32" s="48"/>
    </row>
    <row r="33" spans="1:15" ht="13" x14ac:dyDescent="0.3">
      <c r="A33" s="26">
        <f>A29+1</f>
        <v>19</v>
      </c>
      <c r="C33" s="11" t="s">
        <v>195</v>
      </c>
      <c r="G33" s="11" t="s">
        <v>196</v>
      </c>
      <c r="H33" s="11" t="str">
        <f>"Instruction 1, Line "&amp;B99&amp;""</f>
        <v>Instruction 1, Line j</v>
      </c>
      <c r="J33" s="122">
        <f>E99</f>
        <v>7.0841071502043135E-2</v>
      </c>
      <c r="L33" s="122"/>
      <c r="M33" s="122"/>
    </row>
    <row r="34" spans="1:15" ht="13" x14ac:dyDescent="0.3">
      <c r="A34" s="26">
        <f>A33+1</f>
        <v>20</v>
      </c>
      <c r="C34" s="11" t="s">
        <v>197</v>
      </c>
      <c r="H34" s="11" t="str">
        <f>"Line "&amp;A29&amp;" * Line "&amp;A33&amp;""</f>
        <v>Line 18 * Line 19</v>
      </c>
      <c r="J34" s="154">
        <f>J29*J33</f>
        <v>511737095.94771868</v>
      </c>
      <c r="L34" s="48"/>
    </row>
    <row r="35" spans="1:15" ht="13" x14ac:dyDescent="0.3">
      <c r="A35" s="26"/>
      <c r="B35" s="120"/>
      <c r="L35" s="48"/>
    </row>
    <row r="36" spans="1:15" ht="13" x14ac:dyDescent="0.3">
      <c r="A36" s="26"/>
      <c r="B36" s="25" t="s">
        <v>198</v>
      </c>
      <c r="L36" s="48"/>
    </row>
    <row r="37" spans="1:15" ht="13" x14ac:dyDescent="0.3">
      <c r="A37" s="26"/>
      <c r="B37" s="120"/>
      <c r="L37" s="48"/>
    </row>
    <row r="38" spans="1:15" ht="13" x14ac:dyDescent="0.3">
      <c r="A38" s="26">
        <f>A34+1</f>
        <v>21</v>
      </c>
      <c r="C38" s="11" t="s">
        <v>199</v>
      </c>
      <c r="J38" s="154">
        <f>(((J29*J42) + J45) *(J43/(1-J43)))+(J44/(1-J43))</f>
        <v>125020459.0049859</v>
      </c>
      <c r="L38" s="48"/>
    </row>
    <row r="39" spans="1:15" ht="13" x14ac:dyDescent="0.3">
      <c r="A39" s="26"/>
      <c r="L39" s="48"/>
    </row>
    <row r="40" spans="1:15" ht="13" x14ac:dyDescent="0.3">
      <c r="A40" s="26"/>
      <c r="D40" s="11" t="s">
        <v>200</v>
      </c>
      <c r="L40" s="48"/>
    </row>
    <row r="41" spans="1:15" ht="13" x14ac:dyDescent="0.3">
      <c r="A41" s="26">
        <f>A38+1</f>
        <v>22</v>
      </c>
      <c r="D41" s="120" t="s">
        <v>201</v>
      </c>
      <c r="H41" s="11" t="str">
        <f>"Line "&amp;A29&amp;""</f>
        <v>Line 18</v>
      </c>
      <c r="J41" s="154">
        <f>J29</f>
        <v>7223734552.5322781</v>
      </c>
      <c r="L41" s="48"/>
    </row>
    <row r="42" spans="1:15" ht="13" x14ac:dyDescent="0.3">
      <c r="A42" s="26">
        <f>A41+1</f>
        <v>23</v>
      </c>
      <c r="D42" s="120" t="s">
        <v>202</v>
      </c>
      <c r="G42" s="11" t="s">
        <v>203</v>
      </c>
      <c r="H42" s="11" t="str">
        <f>"Instruction 1, Line "&amp;B104&amp;""</f>
        <v>Instruction 1, Line k</v>
      </c>
      <c r="J42" s="122">
        <f>E104</f>
        <v>5.1770508276703368E-2</v>
      </c>
      <c r="L42" s="122"/>
      <c r="M42" s="122"/>
    </row>
    <row r="43" spans="1:15" ht="13" x14ac:dyDescent="0.3">
      <c r="A43" s="26">
        <f>A42+1</f>
        <v>24</v>
      </c>
      <c r="D43" s="120" t="s">
        <v>204</v>
      </c>
      <c r="H43" s="11" t="s">
        <v>283</v>
      </c>
      <c r="J43" s="122">
        <v>0.27983599999999997</v>
      </c>
      <c r="L43" s="122"/>
      <c r="M43" s="122"/>
    </row>
    <row r="44" spans="1:15" ht="13" x14ac:dyDescent="0.3">
      <c r="A44" s="26">
        <f>A43+1</f>
        <v>25</v>
      </c>
      <c r="D44" s="120" t="s">
        <v>205</v>
      </c>
      <c r="H44" s="11" t="s">
        <v>284</v>
      </c>
      <c r="J44" s="48">
        <v>-15332112.995571591</v>
      </c>
      <c r="L44" s="48"/>
    </row>
    <row r="45" spans="1:15" ht="13" x14ac:dyDescent="0.3">
      <c r="A45" s="26">
        <f>A44+1</f>
        <v>26</v>
      </c>
      <c r="D45" s="120" t="s">
        <v>206</v>
      </c>
      <c r="H45" s="11" t="s">
        <v>285</v>
      </c>
      <c r="J45" s="48">
        <v>2556084</v>
      </c>
      <c r="L45" s="48"/>
    </row>
    <row r="46" spans="1:15" ht="13" x14ac:dyDescent="0.3">
      <c r="A46" s="26"/>
      <c r="B46" s="120"/>
      <c r="L46" s="48"/>
    </row>
    <row r="47" spans="1:15" ht="13" x14ac:dyDescent="0.3">
      <c r="A47" s="26"/>
      <c r="B47" s="25" t="s">
        <v>207</v>
      </c>
      <c r="L47" s="48"/>
      <c r="O47" s="45"/>
    </row>
    <row r="48" spans="1:15" ht="13" x14ac:dyDescent="0.3">
      <c r="A48" s="26">
        <f>A45+1</f>
        <v>27</v>
      </c>
      <c r="B48" s="120"/>
      <c r="C48" s="11" t="s">
        <v>208</v>
      </c>
      <c r="H48" s="11" t="s">
        <v>286</v>
      </c>
      <c r="J48" s="154">
        <v>101623487.09165026</v>
      </c>
      <c r="L48" s="48"/>
    </row>
    <row r="49" spans="1:12" ht="13" x14ac:dyDescent="0.3">
      <c r="A49" s="26">
        <f t="shared" ref="A49:A59" si="1">A48+1</f>
        <v>28</v>
      </c>
      <c r="B49" s="120"/>
      <c r="C49" s="11" t="s">
        <v>209</v>
      </c>
      <c r="H49" s="11" t="s">
        <v>287</v>
      </c>
      <c r="J49" s="48">
        <v>141160521.59487161</v>
      </c>
      <c r="L49" s="48"/>
    </row>
    <row r="50" spans="1:12" ht="13" x14ac:dyDescent="0.3">
      <c r="A50" s="26">
        <f>A49+1</f>
        <v>29</v>
      </c>
      <c r="B50" s="120"/>
      <c r="C50" s="11" t="s">
        <v>210</v>
      </c>
      <c r="H50" s="11" t="s">
        <v>288</v>
      </c>
      <c r="J50" s="48">
        <v>1565253.42</v>
      </c>
      <c r="L50" s="48"/>
    </row>
    <row r="51" spans="1:12" ht="13" x14ac:dyDescent="0.3">
      <c r="A51" s="26">
        <f t="shared" si="1"/>
        <v>30</v>
      </c>
      <c r="B51" s="120"/>
      <c r="C51" s="11" t="s">
        <v>211</v>
      </c>
      <c r="H51" s="11" t="s">
        <v>289</v>
      </c>
      <c r="J51" s="48">
        <v>295867458.50317699</v>
      </c>
      <c r="L51" s="48"/>
    </row>
    <row r="52" spans="1:12" ht="13" x14ac:dyDescent="0.3">
      <c r="A52" s="26">
        <f t="shared" si="1"/>
        <v>31</v>
      </c>
      <c r="B52" s="120"/>
      <c r="C52" s="11" t="s">
        <v>212</v>
      </c>
      <c r="H52" s="11" t="s">
        <v>290</v>
      </c>
      <c r="J52" s="48">
        <v>0</v>
      </c>
      <c r="L52" s="48"/>
    </row>
    <row r="53" spans="1:12" ht="13" x14ac:dyDescent="0.3">
      <c r="A53" s="26">
        <f t="shared" si="1"/>
        <v>32</v>
      </c>
      <c r="B53" s="120"/>
      <c r="C53" s="11" t="s">
        <v>213</v>
      </c>
      <c r="H53" s="11" t="s">
        <v>291</v>
      </c>
      <c r="J53" s="48">
        <v>75917125.973308787</v>
      </c>
      <c r="L53" s="48"/>
    </row>
    <row r="54" spans="1:12" ht="13" x14ac:dyDescent="0.3">
      <c r="A54" s="26">
        <f t="shared" si="1"/>
        <v>33</v>
      </c>
      <c r="B54" s="120"/>
      <c r="C54" s="11" t="s">
        <v>214</v>
      </c>
      <c r="H54" s="11" t="s">
        <v>292</v>
      </c>
      <c r="J54" s="48">
        <v>-51757940.573729523</v>
      </c>
      <c r="L54" s="48"/>
    </row>
    <row r="55" spans="1:12" ht="13" x14ac:dyDescent="0.3">
      <c r="A55" s="26">
        <f t="shared" si="1"/>
        <v>34</v>
      </c>
      <c r="B55" s="120"/>
      <c r="C55" s="11" t="s">
        <v>215</v>
      </c>
      <c r="H55" s="11" t="str">
        <f>"Line "&amp;A34&amp;""</f>
        <v>Line 20</v>
      </c>
      <c r="J55" s="154">
        <f>J34</f>
        <v>511737095.94771868</v>
      </c>
      <c r="L55" s="48"/>
    </row>
    <row r="56" spans="1:12" ht="13" x14ac:dyDescent="0.3">
      <c r="A56" s="26">
        <f t="shared" si="1"/>
        <v>35</v>
      </c>
      <c r="B56" s="120"/>
      <c r="C56" s="11" t="s">
        <v>216</v>
      </c>
      <c r="H56" s="11" t="str">
        <f>"Line "&amp;A38&amp;""</f>
        <v>Line 21</v>
      </c>
      <c r="J56" s="154">
        <f>J38</f>
        <v>125020459.0049859</v>
      </c>
      <c r="L56" s="48"/>
    </row>
    <row r="57" spans="1:12" ht="13" x14ac:dyDescent="0.3">
      <c r="A57" s="26">
        <f t="shared" si="1"/>
        <v>36</v>
      </c>
      <c r="B57" s="120"/>
      <c r="C57" s="11" t="s">
        <v>217</v>
      </c>
      <c r="H57" s="11" t="s">
        <v>293</v>
      </c>
      <c r="J57" s="48">
        <v>0</v>
      </c>
      <c r="L57" s="48"/>
    </row>
    <row r="58" spans="1:12" ht="13" x14ac:dyDescent="0.3">
      <c r="A58" s="26">
        <f t="shared" si="1"/>
        <v>37</v>
      </c>
      <c r="B58" s="120"/>
      <c r="C58" s="134" t="s">
        <v>218</v>
      </c>
      <c r="D58" s="134"/>
      <c r="H58" s="11" t="s">
        <v>294</v>
      </c>
      <c r="J58" s="131">
        <v>0</v>
      </c>
      <c r="L58" s="48"/>
    </row>
    <row r="59" spans="1:12" ht="13" x14ac:dyDescent="0.3">
      <c r="A59" s="26">
        <f t="shared" si="1"/>
        <v>38</v>
      </c>
      <c r="B59" s="120"/>
      <c r="C59" s="11" t="s">
        <v>219</v>
      </c>
      <c r="H59" s="11" t="str">
        <f>"Sum Line "&amp;A48&amp;" to Line "&amp;A58&amp;""</f>
        <v>Sum Line 27 to Line 37</v>
      </c>
      <c r="J59" s="154">
        <f>SUM(J48:J58)</f>
        <v>1201133460.9619827</v>
      </c>
      <c r="L59" s="48"/>
    </row>
    <row r="60" spans="1:12" ht="13" x14ac:dyDescent="0.3">
      <c r="A60" s="26"/>
      <c r="B60" s="120"/>
      <c r="J60" s="48"/>
      <c r="L60" s="48"/>
    </row>
    <row r="61" spans="1:12" ht="12.75" customHeight="1" x14ac:dyDescent="0.3">
      <c r="A61" s="26">
        <f>A59+1</f>
        <v>39</v>
      </c>
      <c r="B61" s="120"/>
      <c r="C61" s="11" t="s">
        <v>220</v>
      </c>
      <c r="H61" s="11" t="s">
        <v>306</v>
      </c>
      <c r="J61" s="48">
        <v>25205736.434238996</v>
      </c>
      <c r="L61" s="48"/>
    </row>
    <row r="62" spans="1:12" ht="12.75" customHeight="1" x14ac:dyDescent="0.3">
      <c r="A62" s="26" t="s">
        <v>221</v>
      </c>
      <c r="B62" s="120"/>
      <c r="C62" s="11" t="s">
        <v>222</v>
      </c>
      <c r="H62" s="11" t="s">
        <v>223</v>
      </c>
      <c r="J62" s="48">
        <f>-J61</f>
        <v>-25205736.434238996</v>
      </c>
      <c r="L62" s="48"/>
    </row>
    <row r="63" spans="1:12" ht="13" x14ac:dyDescent="0.3">
      <c r="A63" s="26"/>
      <c r="B63" s="120"/>
      <c r="J63" s="48"/>
      <c r="L63" s="48"/>
    </row>
    <row r="64" spans="1:12" ht="13" x14ac:dyDescent="0.3">
      <c r="A64" s="26">
        <f>A61+1</f>
        <v>40</v>
      </c>
      <c r="B64" s="120"/>
      <c r="C64" s="11" t="s">
        <v>224</v>
      </c>
      <c r="H64" s="11" t="str">
        <f>"Sum of Lines "&amp;A59&amp;" to "&amp;A62&amp;""</f>
        <v>Sum of Lines 38 to 39a</v>
      </c>
      <c r="J64" s="154">
        <f>J59+J61+J62</f>
        <v>1201133460.9619827</v>
      </c>
      <c r="L64" s="48"/>
    </row>
    <row r="65" spans="1:17" ht="13" x14ac:dyDescent="0.3">
      <c r="A65" s="26"/>
      <c r="B65" s="120"/>
      <c r="J65" s="48"/>
    </row>
    <row r="66" spans="1:17" ht="13" x14ac:dyDescent="0.3">
      <c r="A66" s="26"/>
      <c r="B66" s="15" t="s">
        <v>225</v>
      </c>
      <c r="J66" s="48"/>
    </row>
    <row r="67" spans="1:17" ht="13" x14ac:dyDescent="0.3">
      <c r="A67" s="128" t="s">
        <v>165</v>
      </c>
      <c r="B67" s="129"/>
      <c r="G67" s="45" t="s">
        <v>226</v>
      </c>
      <c r="O67" s="45"/>
    </row>
    <row r="68" spans="1:17" ht="13" x14ac:dyDescent="0.3">
      <c r="A68" s="26">
        <f>A64+1</f>
        <v>41</v>
      </c>
      <c r="B68" s="129"/>
      <c r="D68" s="118" t="s">
        <v>227</v>
      </c>
      <c r="E68" s="154">
        <f>J64</f>
        <v>1201133460.9619827</v>
      </c>
      <c r="G68" s="11" t="str">
        <f>"Line "&amp;A64&amp;""</f>
        <v>Line 40</v>
      </c>
      <c r="J68" s="135"/>
      <c r="L68" s="48"/>
    </row>
    <row r="69" spans="1:17" ht="13" x14ac:dyDescent="0.3">
      <c r="A69" s="26">
        <f>A68+1</f>
        <v>42</v>
      </c>
      <c r="B69" s="129"/>
      <c r="D69" s="118" t="s">
        <v>228</v>
      </c>
      <c r="E69" s="136">
        <v>9.3645816374923023E-3</v>
      </c>
      <c r="G69" s="11" t="s">
        <v>307</v>
      </c>
      <c r="J69" s="26"/>
      <c r="L69" s="122"/>
    </row>
    <row r="70" spans="1:17" ht="13" x14ac:dyDescent="0.3">
      <c r="A70" s="26">
        <f>A69+1</f>
        <v>43</v>
      </c>
      <c r="B70" s="129"/>
      <c r="D70" s="118" t="s">
        <v>229</v>
      </c>
      <c r="E70" s="154">
        <f>E68*E69</f>
        <v>11248112.352702161</v>
      </c>
      <c r="G70" s="11" t="str">
        <f>"Line "&amp;A68&amp;" * Line "&amp;A69&amp;""</f>
        <v>Line 41 * Line 42</v>
      </c>
      <c r="J70" s="48"/>
      <c r="L70" s="48"/>
    </row>
    <row r="71" spans="1:17" ht="13" x14ac:dyDescent="0.3">
      <c r="A71" s="26">
        <f>A70+1</f>
        <v>44</v>
      </c>
      <c r="B71" s="129"/>
      <c r="D71" s="118" t="s">
        <v>230</v>
      </c>
      <c r="E71" s="122">
        <v>9.9696572646551899E-3</v>
      </c>
      <c r="G71" s="11" t="s">
        <v>307</v>
      </c>
      <c r="J71" s="131"/>
      <c r="L71" s="122"/>
    </row>
    <row r="72" spans="1:17" ht="13" x14ac:dyDescent="0.3">
      <c r="A72" s="26">
        <f>A71+1</f>
        <v>45</v>
      </c>
      <c r="B72" s="129"/>
      <c r="D72" s="118" t="s">
        <v>231</v>
      </c>
      <c r="E72" s="154">
        <f>E68*E71</f>
        <v>11974888.934900062</v>
      </c>
      <c r="G72" s="11" t="str">
        <f>"Line "&amp;A68&amp;" * Line "&amp;A71&amp;""</f>
        <v>Line 41 * Line 44</v>
      </c>
      <c r="J72" s="48"/>
      <c r="L72" s="48"/>
    </row>
    <row r="73" spans="1:17" ht="13" x14ac:dyDescent="0.3">
      <c r="A73" s="26" t="s">
        <v>232</v>
      </c>
      <c r="B73" s="129"/>
      <c r="D73" s="118" t="s">
        <v>233</v>
      </c>
      <c r="E73" s="131">
        <v>0</v>
      </c>
      <c r="G73" s="11" t="s">
        <v>308</v>
      </c>
      <c r="I73" s="105"/>
      <c r="J73" s="137"/>
      <c r="L73" s="48"/>
    </row>
    <row r="74" spans="1:17" ht="13" x14ac:dyDescent="0.3">
      <c r="A74" s="26">
        <f>A72+1</f>
        <v>46</v>
      </c>
      <c r="B74" s="129"/>
      <c r="D74" s="118" t="s">
        <v>234</v>
      </c>
      <c r="E74" s="154">
        <f>E68+E70+E72+E73</f>
        <v>1224356462.2495849</v>
      </c>
      <c r="G74" s="11" t="str">
        <f>"L "&amp;A68&amp;" + L "&amp;A70&amp;" + L "&amp;A72&amp;"+ L "&amp;A73&amp;""</f>
        <v>L 41 + L 43 + L 45+ L 45a</v>
      </c>
      <c r="L74" s="48"/>
    </row>
    <row r="75" spans="1:17" ht="13" x14ac:dyDescent="0.3">
      <c r="B75" s="15" t="s">
        <v>235</v>
      </c>
      <c r="D75" s="118"/>
      <c r="E75" s="48"/>
      <c r="H75" s="82"/>
      <c r="L75" s="48"/>
    </row>
    <row r="76" spans="1:17" ht="14.5" x14ac:dyDescent="0.35">
      <c r="A76" s="26"/>
      <c r="B76" s="11" t="s">
        <v>236</v>
      </c>
      <c r="C76" s="15"/>
      <c r="D76" s="118"/>
      <c r="E76" s="48"/>
      <c r="L76" s="138"/>
    </row>
    <row r="77" spans="1:17" ht="14.5" x14ac:dyDescent="0.35">
      <c r="A77" s="26"/>
      <c r="B77" s="11" t="s">
        <v>237</v>
      </c>
      <c r="C77" s="15"/>
      <c r="D77" s="118"/>
      <c r="E77" s="48"/>
      <c r="L77" s="138"/>
      <c r="N77" s="45"/>
      <c r="O77" s="45"/>
    </row>
    <row r="78" spans="1:17" ht="13" x14ac:dyDescent="0.3">
      <c r="A78" s="26"/>
      <c r="B78" s="129" t="s">
        <v>238</v>
      </c>
      <c r="D78" s="118"/>
      <c r="E78" s="48"/>
      <c r="L78" s="131"/>
      <c r="M78" s="130"/>
    </row>
    <row r="79" spans="1:17" ht="13" x14ac:dyDescent="0.3">
      <c r="A79" s="26"/>
      <c r="B79" s="129" t="s">
        <v>239</v>
      </c>
      <c r="D79" s="118"/>
      <c r="E79" s="48"/>
      <c r="L79" s="48"/>
      <c r="O79" s="45"/>
      <c r="Q79" s="45"/>
    </row>
    <row r="80" spans="1:17" ht="13" x14ac:dyDescent="0.3">
      <c r="A80" s="26"/>
      <c r="O80" s="48"/>
    </row>
    <row r="81" spans="1:17" ht="13" x14ac:dyDescent="0.3">
      <c r="A81" s="26"/>
      <c r="B81" s="11" t="s">
        <v>240</v>
      </c>
      <c r="O81" s="48"/>
    </row>
    <row r="82" spans="1:17" ht="13" x14ac:dyDescent="0.3">
      <c r="A82" s="26"/>
      <c r="C82" s="11" t="s">
        <v>241</v>
      </c>
      <c r="O82" s="48"/>
    </row>
    <row r="83" spans="1:17" ht="13" x14ac:dyDescent="0.3">
      <c r="A83" s="26"/>
      <c r="J83" s="26" t="s">
        <v>242</v>
      </c>
      <c r="O83" s="48"/>
    </row>
    <row r="84" spans="1:17" ht="13" x14ac:dyDescent="0.3">
      <c r="A84" s="26"/>
      <c r="E84" s="121" t="s">
        <v>148</v>
      </c>
      <c r="F84" s="45" t="s">
        <v>226</v>
      </c>
      <c r="G84" s="121" t="s">
        <v>243</v>
      </c>
      <c r="H84" s="121" t="s">
        <v>244</v>
      </c>
      <c r="J84" s="121" t="s">
        <v>245</v>
      </c>
      <c r="O84" s="48"/>
    </row>
    <row r="85" spans="1:17" ht="13" x14ac:dyDescent="0.3">
      <c r="B85" s="139" t="s">
        <v>246</v>
      </c>
      <c r="C85" s="11" t="s">
        <v>247</v>
      </c>
      <c r="E85" s="140">
        <v>0.10299999999999999</v>
      </c>
      <c r="F85" s="11" t="s">
        <v>248</v>
      </c>
      <c r="G85" s="141">
        <v>44197</v>
      </c>
      <c r="H85" s="141">
        <v>44561</v>
      </c>
      <c r="J85" s="116">
        <v>365</v>
      </c>
      <c r="O85" s="48"/>
    </row>
    <row r="86" spans="1:17" ht="13" x14ac:dyDescent="0.3">
      <c r="B86" s="139" t="s">
        <v>249</v>
      </c>
      <c r="C86" s="11" t="s">
        <v>250</v>
      </c>
      <c r="E86" s="140"/>
      <c r="F86" s="11" t="s">
        <v>251</v>
      </c>
      <c r="G86" s="141"/>
      <c r="H86" s="141"/>
      <c r="J86" s="116"/>
      <c r="O86" s="131"/>
    </row>
    <row r="87" spans="1:17" ht="13" x14ac:dyDescent="0.3">
      <c r="B87" s="139" t="s">
        <v>252</v>
      </c>
      <c r="E87" s="142"/>
      <c r="G87" s="31"/>
      <c r="H87" s="31"/>
      <c r="I87" s="118" t="s">
        <v>253</v>
      </c>
      <c r="J87" s="34">
        <f>SUM(J85:J86)</f>
        <v>365</v>
      </c>
      <c r="O87" s="48"/>
      <c r="Q87" s="99"/>
    </row>
    <row r="88" spans="1:17" ht="13" x14ac:dyDescent="0.3">
      <c r="B88" s="139" t="s">
        <v>254</v>
      </c>
      <c r="C88" s="11" t="s">
        <v>255</v>
      </c>
      <c r="E88" s="123">
        <f>((E85*J85) + (E86* J86)) / J87</f>
        <v>0.10299999999999999</v>
      </c>
      <c r="F88" s="11" t="s">
        <v>256</v>
      </c>
    </row>
    <row r="89" spans="1:17" ht="13" x14ac:dyDescent="0.3">
      <c r="A89" s="26"/>
    </row>
    <row r="90" spans="1:17" ht="13" x14ac:dyDescent="0.3">
      <c r="A90" s="26"/>
      <c r="B90" s="11" t="s">
        <v>257</v>
      </c>
    </row>
    <row r="91" spans="1:17" ht="13" x14ac:dyDescent="0.3">
      <c r="A91" s="26"/>
      <c r="E91" s="45" t="s">
        <v>226</v>
      </c>
    </row>
    <row r="92" spans="1:17" ht="13" x14ac:dyDescent="0.3">
      <c r="B92" s="139" t="s">
        <v>258</v>
      </c>
      <c r="C92" s="11" t="s">
        <v>259</v>
      </c>
      <c r="E92" s="143" t="s">
        <v>260</v>
      </c>
      <c r="F92" s="115"/>
      <c r="G92" s="115"/>
      <c r="H92" s="115"/>
      <c r="I92" s="115"/>
      <c r="J92" s="115"/>
    </row>
    <row r="93" spans="1:17" ht="13" x14ac:dyDescent="0.3">
      <c r="B93" s="139" t="s">
        <v>261</v>
      </c>
      <c r="C93" s="11" t="s">
        <v>262</v>
      </c>
      <c r="E93" s="143" t="s">
        <v>263</v>
      </c>
      <c r="F93" s="115"/>
      <c r="G93" s="115"/>
      <c r="H93" s="115"/>
      <c r="I93" s="115"/>
      <c r="J93" s="115"/>
    </row>
    <row r="94" spans="1:17" x14ac:dyDescent="0.25">
      <c r="E94" s="31"/>
    </row>
    <row r="95" spans="1:17" ht="13" x14ac:dyDescent="0.3">
      <c r="E95" s="121" t="s">
        <v>148</v>
      </c>
      <c r="F95" s="45" t="s">
        <v>226</v>
      </c>
    </row>
    <row r="96" spans="1:17" ht="13" x14ac:dyDescent="0.3">
      <c r="B96" s="139" t="s">
        <v>264</v>
      </c>
      <c r="C96" s="11" t="s">
        <v>265</v>
      </c>
      <c r="E96" s="144">
        <v>1.907056322533977E-2</v>
      </c>
      <c r="F96" s="11" t="s">
        <v>295</v>
      </c>
    </row>
    <row r="97" spans="1:10" ht="13" x14ac:dyDescent="0.3">
      <c r="B97" s="139" t="s">
        <v>266</v>
      </c>
      <c r="C97" s="11" t="s">
        <v>267</v>
      </c>
      <c r="E97" s="144">
        <v>2.8455082767033695E-3</v>
      </c>
      <c r="F97" s="11" t="s">
        <v>296</v>
      </c>
    </row>
    <row r="98" spans="1:10" ht="13" x14ac:dyDescent="0.3">
      <c r="B98" s="139" t="s">
        <v>268</v>
      </c>
      <c r="C98" s="11" t="s">
        <v>269</v>
      </c>
      <c r="E98" s="145">
        <v>4.8924999999999996E-2</v>
      </c>
      <c r="F98" s="11" t="s">
        <v>297</v>
      </c>
    </row>
    <row r="99" spans="1:10" ht="13" x14ac:dyDescent="0.3">
      <c r="B99" s="26" t="s">
        <v>270</v>
      </c>
      <c r="C99" s="120" t="s">
        <v>195</v>
      </c>
      <c r="E99" s="144">
        <f>SUM(E96:E98)</f>
        <v>7.0841071502043135E-2</v>
      </c>
      <c r="F99" s="48" t="str">
        <f>"Sum of Lines "&amp;B96&amp;" to "&amp;B98&amp;""</f>
        <v>Sum of Lines g to i</v>
      </c>
      <c r="G99" s="34"/>
      <c r="J99" s="146"/>
    </row>
    <row r="100" spans="1:10" ht="13" x14ac:dyDescent="0.3">
      <c r="A100" s="26"/>
      <c r="C100" s="129"/>
      <c r="D100" s="147"/>
      <c r="E100" s="48"/>
      <c r="F100" s="48"/>
      <c r="G100" s="34"/>
      <c r="H100" s="48"/>
      <c r="J100" s="146"/>
    </row>
    <row r="101" spans="1:10" ht="13" x14ac:dyDescent="0.3">
      <c r="A101" s="26"/>
      <c r="B101" s="11" t="s">
        <v>271</v>
      </c>
    </row>
    <row r="102" spans="1:10" ht="13" x14ac:dyDescent="0.3">
      <c r="A102" s="26"/>
    </row>
    <row r="103" spans="1:10" ht="13" x14ac:dyDescent="0.3">
      <c r="A103" s="26"/>
      <c r="E103" s="121" t="s">
        <v>148</v>
      </c>
      <c r="F103" s="45" t="s">
        <v>226</v>
      </c>
    </row>
    <row r="104" spans="1:10" ht="13" x14ac:dyDescent="0.3">
      <c r="B104" s="139" t="s">
        <v>272</v>
      </c>
      <c r="E104" s="144">
        <f>E97+E98</f>
        <v>5.1770508276703368E-2</v>
      </c>
      <c r="F104" s="48" t="str">
        <f>"Sum of Lines "&amp;B97&amp;" to "&amp;B98&amp;""</f>
        <v>Sum of Lines h to i</v>
      </c>
    </row>
    <row r="105" spans="1:10" ht="13" x14ac:dyDescent="0.3">
      <c r="A105" s="26"/>
      <c r="E105" s="122"/>
      <c r="F105" s="48"/>
    </row>
    <row r="106" spans="1:10" ht="13" x14ac:dyDescent="0.3">
      <c r="A106" s="26"/>
      <c r="B106" s="128" t="s">
        <v>135</v>
      </c>
      <c r="E106" s="34"/>
      <c r="F106" s="34"/>
      <c r="G106" s="34"/>
      <c r="H106" s="48"/>
    </row>
    <row r="107" spans="1:10" ht="13" x14ac:dyDescent="0.3">
      <c r="A107" s="26"/>
      <c r="B107" s="11" t="s">
        <v>273</v>
      </c>
    </row>
    <row r="108" spans="1:10" ht="13" x14ac:dyDescent="0.3">
      <c r="A108" s="26"/>
      <c r="B108" s="120" t="s">
        <v>274</v>
      </c>
      <c r="D108" s="26"/>
      <c r="E108" s="26"/>
      <c r="F108" s="26"/>
      <c r="G108" s="26"/>
      <c r="H108" s="26"/>
    </row>
    <row r="109" spans="1:10" ht="13" x14ac:dyDescent="0.3">
      <c r="A109" s="26"/>
      <c r="B109" s="129"/>
      <c r="D109" s="26"/>
      <c r="E109" s="26"/>
      <c r="F109" s="26"/>
      <c r="G109" s="26"/>
      <c r="H109" s="26"/>
    </row>
    <row r="110" spans="1:10" ht="13" x14ac:dyDescent="0.3">
      <c r="A110" s="26"/>
      <c r="C110" s="121"/>
      <c r="D110" s="121"/>
      <c r="E110" s="121"/>
      <c r="F110" s="121"/>
      <c r="G110" s="121"/>
      <c r="H110" s="121"/>
    </row>
    <row r="111" spans="1:10" ht="13" x14ac:dyDescent="0.3">
      <c r="A111" s="26"/>
    </row>
    <row r="112" spans="1:10" ht="13" x14ac:dyDescent="0.3">
      <c r="A112" s="26"/>
    </row>
    <row r="113" spans="1:10" ht="13" x14ac:dyDescent="0.3">
      <c r="A113" s="26"/>
    </row>
    <row r="114" spans="1:10" ht="13" x14ac:dyDescent="0.3">
      <c r="A114" s="26"/>
      <c r="C114" s="129"/>
      <c r="E114" s="48"/>
      <c r="F114" s="48"/>
      <c r="H114" s="48"/>
      <c r="J114" s="146"/>
    </row>
    <row r="115" spans="1:10" ht="13" x14ac:dyDescent="0.3">
      <c r="A115" s="26"/>
      <c r="C115" s="129"/>
      <c r="E115" s="48"/>
      <c r="F115" s="48"/>
      <c r="H115" s="48"/>
      <c r="J115" s="146"/>
    </row>
    <row r="116" spans="1:10" ht="13" x14ac:dyDescent="0.3">
      <c r="A116" s="128"/>
      <c r="C116" s="129"/>
      <c r="E116" s="48"/>
      <c r="F116" s="48"/>
      <c r="H116" s="48"/>
      <c r="J116" s="146"/>
    </row>
    <row r="117" spans="1:10" ht="13" x14ac:dyDescent="0.3">
      <c r="A117" s="26"/>
      <c r="D117" s="118"/>
      <c r="E117" s="48"/>
      <c r="F117" s="48"/>
      <c r="H117" s="48"/>
      <c r="J117" s="146"/>
    </row>
    <row r="118" spans="1:10" ht="13" x14ac:dyDescent="0.3">
      <c r="A118" s="26"/>
      <c r="C118" s="129"/>
      <c r="D118" s="118"/>
      <c r="E118" s="131"/>
      <c r="F118" s="48"/>
      <c r="H118" s="48"/>
      <c r="J118" s="146"/>
    </row>
    <row r="119" spans="1:10" ht="13" x14ac:dyDescent="0.3">
      <c r="A119" s="26"/>
      <c r="C119" s="129"/>
      <c r="D119" s="118"/>
      <c r="E119" s="48"/>
      <c r="F119" s="48"/>
      <c r="H119" s="48"/>
      <c r="J119" s="146"/>
    </row>
    <row r="120" spans="1:10" ht="13" x14ac:dyDescent="0.3">
      <c r="A120" s="26"/>
    </row>
    <row r="121" spans="1:10" ht="13" x14ac:dyDescent="0.3">
      <c r="A121" s="26"/>
      <c r="B121" s="25"/>
    </row>
    <row r="122" spans="1:10" ht="13" x14ac:dyDescent="0.3">
      <c r="A122" s="26"/>
    </row>
    <row r="123" spans="1:10" ht="13" x14ac:dyDescent="0.3">
      <c r="A123" s="26"/>
    </row>
    <row r="124" spans="1:10" ht="13" x14ac:dyDescent="0.3">
      <c r="A124" s="26"/>
      <c r="F124" s="26"/>
    </row>
    <row r="125" spans="1:10" ht="13" x14ac:dyDescent="0.3">
      <c r="A125" s="26"/>
      <c r="F125" s="26"/>
    </row>
    <row r="126" spans="1:10" ht="13" x14ac:dyDescent="0.3">
      <c r="A126" s="26"/>
      <c r="D126" s="26"/>
      <c r="E126" s="26"/>
      <c r="F126" s="26"/>
      <c r="H126" s="26"/>
    </row>
    <row r="127" spans="1:10" ht="13" x14ac:dyDescent="0.3">
      <c r="A127" s="26"/>
      <c r="D127" s="26"/>
      <c r="E127" s="26"/>
      <c r="F127" s="26"/>
      <c r="G127" s="26"/>
      <c r="H127" s="139"/>
    </row>
    <row r="128" spans="1:10" ht="13" x14ac:dyDescent="0.3">
      <c r="A128" s="128"/>
      <c r="C128" s="121"/>
      <c r="D128" s="121"/>
      <c r="E128" s="121"/>
      <c r="F128" s="133"/>
      <c r="G128" s="121"/>
      <c r="H128" s="139"/>
    </row>
    <row r="129" spans="1:8" ht="13" x14ac:dyDescent="0.3">
      <c r="A129" s="26"/>
      <c r="C129" s="129"/>
      <c r="D129" s="147"/>
      <c r="E129" s="48"/>
      <c r="F129" s="48"/>
      <c r="G129" s="123"/>
      <c r="H129" s="48"/>
    </row>
    <row r="130" spans="1:8" ht="13" x14ac:dyDescent="0.3">
      <c r="A130" s="26"/>
      <c r="C130" s="129"/>
      <c r="D130" s="147"/>
      <c r="E130" s="48"/>
      <c r="F130" s="48"/>
      <c r="G130" s="123"/>
      <c r="H130" s="48"/>
    </row>
    <row r="131" spans="1:8" ht="13" x14ac:dyDescent="0.3">
      <c r="A131" s="26"/>
      <c r="C131" s="129"/>
      <c r="D131" s="147"/>
      <c r="E131" s="48"/>
      <c r="F131" s="48"/>
      <c r="G131" s="123"/>
      <c r="H131" s="48"/>
    </row>
    <row r="132" spans="1:8" ht="13" x14ac:dyDescent="0.3">
      <c r="A132" s="26"/>
      <c r="C132" s="129"/>
      <c r="D132" s="147"/>
      <c r="E132" s="48"/>
      <c r="F132" s="48"/>
      <c r="G132" s="123"/>
      <c r="H132" s="48"/>
    </row>
    <row r="133" spans="1:8" ht="13" x14ac:dyDescent="0.3">
      <c r="A133" s="26"/>
      <c r="C133" s="129"/>
      <c r="D133" s="147"/>
      <c r="E133" s="48"/>
      <c r="F133" s="48"/>
      <c r="G133" s="123"/>
      <c r="H133" s="48"/>
    </row>
    <row r="134" spans="1:8" ht="13" x14ac:dyDescent="0.3">
      <c r="A134" s="26"/>
      <c r="C134" s="129"/>
      <c r="D134" s="147"/>
      <c r="E134" s="48"/>
      <c r="F134" s="48"/>
      <c r="G134" s="123"/>
      <c r="H134" s="48"/>
    </row>
    <row r="135" spans="1:8" ht="13" x14ac:dyDescent="0.3">
      <c r="A135" s="26"/>
      <c r="C135" s="129"/>
      <c r="D135" s="147"/>
      <c r="E135" s="48"/>
      <c r="F135" s="48"/>
      <c r="G135" s="123"/>
      <c r="H135" s="48"/>
    </row>
    <row r="136" spans="1:8" ht="13" x14ac:dyDescent="0.3">
      <c r="A136" s="26"/>
      <c r="C136" s="129"/>
      <c r="D136" s="147"/>
      <c r="E136" s="48"/>
      <c r="F136" s="48"/>
      <c r="G136" s="123"/>
      <c r="H136" s="48"/>
    </row>
    <row r="137" spans="1:8" ht="13" x14ac:dyDescent="0.3">
      <c r="A137" s="26"/>
      <c r="C137" s="129"/>
      <c r="D137" s="147"/>
      <c r="E137" s="48"/>
      <c r="F137" s="48"/>
      <c r="G137" s="123"/>
      <c r="H137" s="48"/>
    </row>
    <row r="138" spans="1:8" ht="13" x14ac:dyDescent="0.3">
      <c r="A138" s="26"/>
      <c r="C138" s="129"/>
      <c r="D138" s="147"/>
      <c r="E138" s="48"/>
      <c r="F138" s="48"/>
      <c r="G138" s="123"/>
      <c r="H138" s="48"/>
    </row>
    <row r="139" spans="1:8" ht="13" x14ac:dyDescent="0.3">
      <c r="A139" s="26"/>
      <c r="C139" s="129"/>
      <c r="D139" s="147"/>
      <c r="E139" s="48"/>
      <c r="F139" s="48"/>
      <c r="G139" s="123"/>
      <c r="H139" s="48"/>
    </row>
    <row r="140" spans="1:8" ht="13" x14ac:dyDescent="0.3">
      <c r="A140" s="26"/>
      <c r="C140" s="129"/>
      <c r="D140" s="147"/>
      <c r="E140" s="48"/>
      <c r="F140" s="48"/>
      <c r="G140" s="123"/>
      <c r="H140" s="131"/>
    </row>
    <row r="141" spans="1:8" ht="13" x14ac:dyDescent="0.3">
      <c r="A141" s="26"/>
      <c r="H141" s="48"/>
    </row>
    <row r="142" spans="1:8" ht="13" x14ac:dyDescent="0.3">
      <c r="A142" s="26"/>
      <c r="C142" s="129"/>
      <c r="D142" s="147"/>
      <c r="F142" s="148"/>
      <c r="G142" s="123"/>
      <c r="H142" s="148"/>
    </row>
    <row r="143" spans="1:8" ht="13" x14ac:dyDescent="0.3">
      <c r="A143" s="26"/>
      <c r="B143" s="25"/>
      <c r="C143" s="129"/>
      <c r="D143" s="147"/>
      <c r="F143" s="148"/>
      <c r="G143" s="123"/>
      <c r="H143" s="148"/>
    </row>
    <row r="144" spans="1:8" ht="13" x14ac:dyDescent="0.3">
      <c r="A144" s="128"/>
      <c r="B144" s="25"/>
      <c r="C144" s="129"/>
      <c r="D144" s="147"/>
      <c r="F144" s="148"/>
      <c r="G144" s="123"/>
      <c r="H144" s="148"/>
    </row>
    <row r="145" spans="1:8" ht="13" x14ac:dyDescent="0.3">
      <c r="A145" s="26"/>
      <c r="C145" s="129"/>
      <c r="D145" s="149"/>
      <c r="E145" s="48"/>
      <c r="F145" s="150"/>
      <c r="G145" s="123"/>
      <c r="H145" s="148"/>
    </row>
    <row r="146" spans="1:8" ht="13" x14ac:dyDescent="0.3">
      <c r="A146" s="26"/>
      <c r="C146" s="129"/>
      <c r="D146" s="118"/>
      <c r="E146" s="48"/>
      <c r="F146" s="150"/>
      <c r="G146" s="123"/>
      <c r="H146" s="148"/>
    </row>
    <row r="147" spans="1:8" ht="13" x14ac:dyDescent="0.3">
      <c r="A147" s="26"/>
      <c r="C147" s="129"/>
      <c r="D147" s="118"/>
      <c r="E147" s="131"/>
      <c r="F147" s="150"/>
      <c r="G147" s="123"/>
      <c r="H147" s="148"/>
    </row>
    <row r="148" spans="1:8" ht="13" x14ac:dyDescent="0.3">
      <c r="A148" s="26"/>
      <c r="C148" s="129"/>
      <c r="D148" s="149"/>
      <c r="E148" s="48"/>
      <c r="F148" s="148"/>
      <c r="G148" s="123"/>
      <c r="H148" s="148"/>
    </row>
    <row r="149" spans="1:8" ht="13" x14ac:dyDescent="0.3">
      <c r="A149" s="26"/>
      <c r="C149" s="129"/>
      <c r="D149" s="147"/>
      <c r="F149" s="148"/>
      <c r="G149" s="123"/>
      <c r="H149" s="148"/>
    </row>
    <row r="150" spans="1:8" ht="13" x14ac:dyDescent="0.3">
      <c r="A150" s="26"/>
    </row>
    <row r="151" spans="1:8" ht="13" x14ac:dyDescent="0.3">
      <c r="A151" s="26"/>
    </row>
    <row r="152" spans="1:8" ht="13" x14ac:dyDescent="0.3">
      <c r="A152" s="26"/>
    </row>
    <row r="153" spans="1:8" ht="13" x14ac:dyDescent="0.3">
      <c r="A153" s="26"/>
      <c r="B153" s="25"/>
    </row>
    <row r="154" spans="1:8" ht="13" x14ac:dyDescent="0.3">
      <c r="A154" s="26"/>
    </row>
    <row r="155" spans="1:8" ht="13" x14ac:dyDescent="0.3">
      <c r="A155" s="26"/>
    </row>
    <row r="156" spans="1:8" ht="13" x14ac:dyDescent="0.3">
      <c r="A156" s="26"/>
    </row>
    <row r="157" spans="1:8" ht="13" x14ac:dyDescent="0.3">
      <c r="A157" s="26"/>
    </row>
    <row r="158" spans="1:8" ht="13" x14ac:dyDescent="0.3">
      <c r="A158" s="26"/>
      <c r="B158" s="25"/>
    </row>
    <row r="159" spans="1:8" ht="13" x14ac:dyDescent="0.3">
      <c r="A159" s="26"/>
    </row>
    <row r="160" spans="1:8" ht="13" x14ac:dyDescent="0.3">
      <c r="A160" s="128"/>
      <c r="C160" s="121"/>
      <c r="D160" s="121"/>
    </row>
    <row r="161" spans="1:6" ht="13" x14ac:dyDescent="0.3">
      <c r="A161" s="26"/>
      <c r="C161" s="129"/>
      <c r="D161" s="151"/>
      <c r="F161" s="122"/>
    </row>
    <row r="162" spans="1:6" ht="13" x14ac:dyDescent="0.3">
      <c r="A162" s="26"/>
      <c r="C162" s="129"/>
      <c r="D162" s="151"/>
      <c r="F162" s="122"/>
    </row>
    <row r="163" spans="1:6" ht="13" x14ac:dyDescent="0.3">
      <c r="A163" s="26"/>
      <c r="C163" s="129"/>
      <c r="D163" s="151"/>
      <c r="F163" s="122"/>
    </row>
    <row r="164" spans="1:6" ht="13" x14ac:dyDescent="0.3">
      <c r="A164" s="26"/>
      <c r="C164" s="129"/>
      <c r="D164" s="151"/>
      <c r="F164" s="122"/>
    </row>
    <row r="165" spans="1:6" ht="13" x14ac:dyDescent="0.3">
      <c r="A165" s="26"/>
      <c r="C165" s="129"/>
      <c r="D165" s="151"/>
      <c r="F165" s="122"/>
    </row>
    <row r="166" spans="1:6" ht="13" x14ac:dyDescent="0.3">
      <c r="A166" s="26"/>
      <c r="C166" s="129"/>
      <c r="D166" s="151"/>
      <c r="F166" s="122"/>
    </row>
    <row r="167" spans="1:6" ht="13" x14ac:dyDescent="0.3">
      <c r="A167" s="26"/>
      <c r="C167" s="129"/>
      <c r="D167" s="151"/>
      <c r="F167" s="122"/>
    </row>
    <row r="168" spans="1:6" ht="13" x14ac:dyDescent="0.3">
      <c r="A168" s="26"/>
      <c r="C168" s="129"/>
      <c r="D168" s="151"/>
      <c r="F168" s="122"/>
    </row>
    <row r="169" spans="1:6" ht="13" x14ac:dyDescent="0.3">
      <c r="A169" s="26"/>
      <c r="C169" s="129"/>
      <c r="D169" s="151"/>
      <c r="F169" s="122"/>
    </row>
    <row r="170" spans="1:6" ht="13" x14ac:dyDescent="0.3">
      <c r="A170" s="26"/>
      <c r="C170" s="129"/>
      <c r="D170" s="151"/>
      <c r="F170" s="122"/>
    </row>
    <row r="171" spans="1:6" ht="13" x14ac:dyDescent="0.3">
      <c r="A171" s="26"/>
      <c r="C171" s="129"/>
      <c r="D171" s="151"/>
      <c r="F171" s="122"/>
    </row>
    <row r="172" spans="1:6" ht="13" x14ac:dyDescent="0.3">
      <c r="A172" s="26"/>
      <c r="C172" s="129"/>
      <c r="D172" s="152"/>
      <c r="F172" s="153"/>
    </row>
    <row r="173" spans="1:6" ht="13" x14ac:dyDescent="0.3">
      <c r="A173" s="26"/>
      <c r="C173" s="118"/>
      <c r="D173" s="151"/>
    </row>
  </sheetData>
  <pageMargins left="0.75" right="0.75" top="1" bottom="1" header="0.5" footer="0.5"/>
  <pageSetup scale="80" orientation="landscape" cellComments="asDisplayed" r:id="rId1"/>
  <headerFooter alignWithMargins="0">
    <oddHeader>&amp;CSchedule 4
True Up TRR
(Revised 2021 for Morongo Revenue Adjustment)&amp;RTO2023 Draft Annual Update
Attachment 4
WP-Schedule 3-One Time Adj Morongo Rate Consistency
Page &amp;P of &amp;N</oddHeader>
    <oddFooter>&amp;R&amp;A</oddFooter>
  </headerFooter>
  <rowBreaks count="4" manualBreakCount="4">
    <brk id="45" max="16383" man="1"/>
    <brk id="74" max="16383" man="1"/>
    <brk id="120" max="9" man="1"/>
    <brk id="152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07193-2F08-4366-A760-A124936CC36E}">
  <dimension ref="A1:M155"/>
  <sheetViews>
    <sheetView zoomScaleNormal="100" zoomScaleSheetLayoutView="40" zoomScalePageLayoutView="40" workbookViewId="0"/>
  </sheetViews>
  <sheetFormatPr defaultColWidth="9.453125" defaultRowHeight="12.5" x14ac:dyDescent="0.25"/>
  <cols>
    <col min="1" max="1" width="5.54296875" style="11" customWidth="1"/>
    <col min="2" max="2" width="50.54296875" style="11" customWidth="1"/>
    <col min="3" max="3" width="18.1796875" style="11" customWidth="1"/>
    <col min="4" max="4" width="13.7265625" style="11" customWidth="1"/>
    <col min="5" max="5" width="15.26953125" style="11" customWidth="1"/>
    <col min="6" max="6" width="8.7265625" style="11" customWidth="1"/>
    <col min="7" max="7" width="13.7265625" style="34" customWidth="1"/>
    <col min="8" max="9" width="13.7265625" style="35" customWidth="1"/>
    <col min="10" max="10" width="15" style="11" customWidth="1"/>
    <col min="11" max="12" width="14.54296875" style="11" customWidth="1"/>
    <col min="13" max="13" width="14.7265625" style="14" customWidth="1"/>
    <col min="14" max="14" width="10.54296875" style="14" bestFit="1" customWidth="1"/>
    <col min="15" max="16384" width="9.453125" style="14"/>
  </cols>
  <sheetData>
    <row r="1" spans="1:13" ht="12.75" customHeight="1" x14ac:dyDescent="0.4">
      <c r="A1" s="10" t="s">
        <v>23</v>
      </c>
      <c r="C1" s="12"/>
      <c r="D1" s="13"/>
      <c r="E1" s="13"/>
      <c r="F1" s="13"/>
      <c r="G1" s="13"/>
      <c r="H1" s="13"/>
      <c r="I1" s="13"/>
      <c r="J1" s="13"/>
      <c r="K1" s="14"/>
      <c r="L1" s="14"/>
    </row>
    <row r="2" spans="1:13" ht="12.75" customHeight="1" x14ac:dyDescent="0.4">
      <c r="A2" s="15"/>
      <c r="B2" s="16" t="s">
        <v>24</v>
      </c>
      <c r="C2" s="17" t="s">
        <v>25</v>
      </c>
      <c r="D2" s="18"/>
      <c r="E2" s="13"/>
      <c r="F2" s="18"/>
      <c r="G2" s="19" t="s">
        <v>26</v>
      </c>
      <c r="H2" s="20"/>
      <c r="I2" s="13"/>
      <c r="J2" s="13"/>
      <c r="K2" s="13"/>
      <c r="L2" s="13"/>
    </row>
    <row r="3" spans="1:13" ht="12.75" customHeight="1" x14ac:dyDescent="0.25">
      <c r="A3" s="21"/>
      <c r="B3" s="22" t="s">
        <v>27</v>
      </c>
      <c r="C3" s="23"/>
      <c r="D3" s="23"/>
      <c r="E3" s="23"/>
      <c r="F3" s="23"/>
      <c r="G3" s="23"/>
      <c r="H3" s="23"/>
      <c r="I3" s="23"/>
      <c r="J3" s="23"/>
      <c r="K3" s="23"/>
      <c r="L3" s="24"/>
    </row>
    <row r="4" spans="1:13" ht="12.75" customHeight="1" x14ac:dyDescent="0.4">
      <c r="A4" s="25"/>
      <c r="B4" s="15"/>
      <c r="C4" s="26"/>
      <c r="D4" s="26"/>
      <c r="E4" s="26"/>
      <c r="F4" s="26"/>
      <c r="G4" s="26"/>
      <c r="H4" s="26"/>
      <c r="I4" s="26"/>
      <c r="J4" s="26"/>
      <c r="K4" s="26"/>
      <c r="L4" s="13"/>
    </row>
    <row r="5" spans="1:13" ht="12.75" customHeight="1" x14ac:dyDescent="0.25">
      <c r="A5" s="23"/>
      <c r="B5" s="27" t="s">
        <v>28</v>
      </c>
      <c r="C5" s="27" t="s">
        <v>29</v>
      </c>
      <c r="D5" s="27" t="s">
        <v>30</v>
      </c>
      <c r="E5" s="27" t="s">
        <v>31</v>
      </c>
      <c r="F5" s="27" t="s">
        <v>32</v>
      </c>
      <c r="G5" s="27" t="s">
        <v>33</v>
      </c>
      <c r="H5" s="27" t="s">
        <v>34</v>
      </c>
      <c r="I5" s="27" t="s">
        <v>35</v>
      </c>
      <c r="J5" s="27" t="s">
        <v>36</v>
      </c>
      <c r="K5" s="27" t="s">
        <v>37</v>
      </c>
      <c r="L5" s="27" t="s">
        <v>38</v>
      </c>
      <c r="M5" s="27" t="s">
        <v>39</v>
      </c>
    </row>
    <row r="6" spans="1:13" ht="12.75" customHeight="1" x14ac:dyDescent="0.3">
      <c r="A6" s="25"/>
      <c r="B6" s="15"/>
      <c r="C6" s="28" t="s">
        <v>40</v>
      </c>
      <c r="D6" s="26"/>
      <c r="E6" s="26"/>
      <c r="F6" s="29" t="s">
        <v>41</v>
      </c>
      <c r="G6" s="28" t="s">
        <v>42</v>
      </c>
      <c r="H6" s="30"/>
      <c r="I6" s="30"/>
      <c r="J6" s="31" t="s">
        <v>43</v>
      </c>
      <c r="K6" s="28" t="s">
        <v>44</v>
      </c>
      <c r="L6" s="28" t="s">
        <v>45</v>
      </c>
      <c r="M6" s="31" t="s">
        <v>46</v>
      </c>
    </row>
    <row r="7" spans="1:13" ht="12.75" customHeight="1" x14ac:dyDescent="0.25">
      <c r="C7" s="32"/>
      <c r="D7" s="33"/>
      <c r="E7" s="33"/>
      <c r="F7" s="14"/>
      <c r="J7" s="36" t="s">
        <v>47</v>
      </c>
    </row>
    <row r="8" spans="1:13" ht="13" x14ac:dyDescent="0.3">
      <c r="A8" s="25"/>
      <c r="B8" s="160" t="s">
        <v>48</v>
      </c>
      <c r="C8" s="162" t="s">
        <v>49</v>
      </c>
      <c r="D8" s="162"/>
      <c r="E8" s="162"/>
      <c r="F8" s="37"/>
      <c r="G8" s="157" t="s">
        <v>50</v>
      </c>
      <c r="H8" s="157"/>
      <c r="I8" s="157"/>
      <c r="J8" s="38"/>
      <c r="K8" s="39"/>
      <c r="L8" s="40" t="s">
        <v>51</v>
      </c>
      <c r="M8" s="41"/>
    </row>
    <row r="9" spans="1:13" ht="28.5" customHeight="1" x14ac:dyDescent="0.3">
      <c r="A9" s="42"/>
      <c r="B9" s="161"/>
      <c r="C9" s="43" t="s">
        <v>52</v>
      </c>
      <c r="D9" s="43" t="s">
        <v>53</v>
      </c>
      <c r="E9" s="43" t="s">
        <v>54</v>
      </c>
      <c r="F9" s="43" t="s">
        <v>55</v>
      </c>
      <c r="G9" s="43" t="s">
        <v>52</v>
      </c>
      <c r="H9" s="43" t="s">
        <v>53</v>
      </c>
      <c r="I9" s="43" t="s">
        <v>54</v>
      </c>
      <c r="J9" s="44" t="s">
        <v>56</v>
      </c>
      <c r="K9" s="43" t="s">
        <v>52</v>
      </c>
      <c r="L9" s="43" t="s">
        <v>53</v>
      </c>
      <c r="M9" s="43" t="s">
        <v>54</v>
      </c>
    </row>
    <row r="10" spans="1:13" ht="13" x14ac:dyDescent="0.3">
      <c r="A10" s="42" t="s">
        <v>12</v>
      </c>
      <c r="B10" s="45" t="s">
        <v>57</v>
      </c>
      <c r="C10" s="26"/>
      <c r="D10" s="26"/>
      <c r="E10" s="26"/>
      <c r="F10" s="26"/>
      <c r="G10" s="26"/>
      <c r="H10" s="26"/>
      <c r="I10" s="26"/>
      <c r="K10" s="26"/>
      <c r="L10" s="26"/>
      <c r="M10" s="26"/>
    </row>
    <row r="11" spans="1:13" ht="13" x14ac:dyDescent="0.3">
      <c r="A11" s="46">
        <v>1</v>
      </c>
      <c r="B11" s="47" t="s">
        <v>58</v>
      </c>
      <c r="C11" s="48">
        <f>SUM(D11:E11)</f>
        <v>5592036.509999997</v>
      </c>
      <c r="D11" s="49">
        <v>1704296.25</v>
      </c>
      <c r="E11" s="49">
        <v>3887740.259999997</v>
      </c>
      <c r="F11" s="50"/>
      <c r="G11" s="51">
        <f t="shared" ref="G11:G42" si="0">SUM(H11:I11)</f>
        <v>0</v>
      </c>
      <c r="H11" s="49"/>
      <c r="I11" s="49"/>
      <c r="J11" s="48">
        <v>0</v>
      </c>
      <c r="K11" s="48">
        <f>SUM(L11:M11)</f>
        <v>5592036.509999997</v>
      </c>
      <c r="L11" s="48">
        <f>D11+H11</f>
        <v>1704296.25</v>
      </c>
      <c r="M11" s="48">
        <f t="shared" ref="M11:M40" si="1">E11+I11+J11</f>
        <v>3887740.259999997</v>
      </c>
    </row>
    <row r="12" spans="1:13" ht="13" x14ac:dyDescent="0.3">
      <c r="A12" s="46">
        <f>A11+1</f>
        <v>2</v>
      </c>
      <c r="B12" s="47" t="s">
        <v>59</v>
      </c>
      <c r="C12" s="48">
        <f>SUM(D12:E12)</f>
        <v>327014.34999999998</v>
      </c>
      <c r="D12" s="49">
        <v>0</v>
      </c>
      <c r="E12" s="49">
        <v>327014.34999999998</v>
      </c>
      <c r="F12" s="50"/>
      <c r="G12" s="51">
        <f t="shared" si="0"/>
        <v>0</v>
      </c>
      <c r="H12" s="49"/>
      <c r="I12" s="49"/>
      <c r="J12" s="48">
        <v>0</v>
      </c>
      <c r="K12" s="48">
        <f t="shared" ref="K12:K42" si="2">SUM(L12:M12)</f>
        <v>327014.34999999998</v>
      </c>
      <c r="L12" s="48">
        <f t="shared" ref="L12:L40" si="3">D12+H12</f>
        <v>0</v>
      </c>
      <c r="M12" s="48">
        <f t="shared" si="1"/>
        <v>327014.34999999998</v>
      </c>
    </row>
    <row r="13" spans="1:13" ht="13" x14ac:dyDescent="0.3">
      <c r="A13" s="46">
        <f t="shared" ref="A13:A44" si="4">A12+1</f>
        <v>3</v>
      </c>
      <c r="B13" s="47" t="s">
        <v>60</v>
      </c>
      <c r="C13" s="48">
        <f t="shared" ref="C13:C40" si="5">SUM(D13:E13)</f>
        <v>11204661.449999999</v>
      </c>
      <c r="D13" s="49">
        <v>8783127.2899999991</v>
      </c>
      <c r="E13" s="49">
        <v>2421534.16</v>
      </c>
      <c r="F13" s="50"/>
      <c r="G13" s="51">
        <f t="shared" si="0"/>
        <v>0</v>
      </c>
      <c r="H13" s="49"/>
      <c r="I13" s="49"/>
      <c r="J13" s="48">
        <v>0</v>
      </c>
      <c r="K13" s="48">
        <f t="shared" si="2"/>
        <v>11204661.449999999</v>
      </c>
      <c r="L13" s="48">
        <f t="shared" si="3"/>
        <v>8783127.2899999991</v>
      </c>
      <c r="M13" s="48">
        <f t="shared" si="1"/>
        <v>2421534.16</v>
      </c>
    </row>
    <row r="14" spans="1:13" ht="13" x14ac:dyDescent="0.3">
      <c r="A14" s="46">
        <f t="shared" si="4"/>
        <v>4</v>
      </c>
      <c r="B14" s="47" t="s">
        <v>61</v>
      </c>
      <c r="C14" s="48">
        <f t="shared" si="5"/>
        <v>28371656.870000001</v>
      </c>
      <c r="D14" s="49">
        <v>0</v>
      </c>
      <c r="E14" s="49">
        <v>28371656.870000001</v>
      </c>
      <c r="F14" s="50" t="s">
        <v>62</v>
      </c>
      <c r="G14" s="51">
        <f t="shared" si="0"/>
        <v>-28371656.869999997</v>
      </c>
      <c r="H14" s="49">
        <v>0</v>
      </c>
      <c r="I14" s="49">
        <v>-28371656.869999997</v>
      </c>
      <c r="J14" s="48">
        <v>0</v>
      </c>
      <c r="K14" s="48">
        <f t="shared" si="2"/>
        <v>3.7252902984619141E-9</v>
      </c>
      <c r="L14" s="48">
        <f t="shared" si="3"/>
        <v>0</v>
      </c>
      <c r="M14" s="48">
        <f t="shared" si="1"/>
        <v>3.7252902984619141E-9</v>
      </c>
    </row>
    <row r="15" spans="1:13" ht="13" x14ac:dyDescent="0.3">
      <c r="A15" s="46">
        <f t="shared" si="4"/>
        <v>5</v>
      </c>
      <c r="B15" s="47" t="s">
        <v>63</v>
      </c>
      <c r="C15" s="48">
        <f t="shared" si="5"/>
        <v>4387896.2600000007</v>
      </c>
      <c r="D15" s="49">
        <v>3850591.4300000011</v>
      </c>
      <c r="E15" s="49">
        <v>537304.82999999973</v>
      </c>
      <c r="F15" s="50"/>
      <c r="G15" s="51">
        <f t="shared" si="0"/>
        <v>0</v>
      </c>
      <c r="H15" s="49"/>
      <c r="I15" s="49"/>
      <c r="J15" s="48">
        <v>0</v>
      </c>
      <c r="K15" s="48">
        <f t="shared" si="2"/>
        <v>4387896.2600000007</v>
      </c>
      <c r="L15" s="48">
        <f t="shared" si="3"/>
        <v>3850591.4300000011</v>
      </c>
      <c r="M15" s="48">
        <f t="shared" si="1"/>
        <v>537304.82999999973</v>
      </c>
    </row>
    <row r="16" spans="1:13" ht="13" x14ac:dyDescent="0.3">
      <c r="A16" s="46">
        <f t="shared" si="4"/>
        <v>6</v>
      </c>
      <c r="B16" s="47" t="s">
        <v>64</v>
      </c>
      <c r="C16" s="48">
        <f t="shared" si="5"/>
        <v>21913564.879999995</v>
      </c>
      <c r="D16" s="49">
        <v>17709529.429999996</v>
      </c>
      <c r="E16" s="49">
        <v>4204035.4499999983</v>
      </c>
      <c r="F16" s="50"/>
      <c r="G16" s="51">
        <f t="shared" si="0"/>
        <v>0</v>
      </c>
      <c r="H16" s="49"/>
      <c r="I16" s="49"/>
      <c r="J16" s="48">
        <v>0</v>
      </c>
      <c r="K16" s="48">
        <f t="shared" si="2"/>
        <v>21913564.879999995</v>
      </c>
      <c r="L16" s="48">
        <f t="shared" si="3"/>
        <v>17709529.429999996</v>
      </c>
      <c r="M16" s="48">
        <f t="shared" si="1"/>
        <v>4204035.4499999983</v>
      </c>
    </row>
    <row r="17" spans="1:13" ht="13" x14ac:dyDescent="0.3">
      <c r="A17" s="46">
        <f t="shared" si="4"/>
        <v>7</v>
      </c>
      <c r="B17" s="47" t="s">
        <v>65</v>
      </c>
      <c r="C17" s="48">
        <f t="shared" si="5"/>
        <v>0</v>
      </c>
      <c r="D17" s="49">
        <v>0</v>
      </c>
      <c r="E17" s="49">
        <v>0</v>
      </c>
      <c r="F17" s="50" t="s">
        <v>66</v>
      </c>
      <c r="G17" s="51">
        <f t="shared" si="0"/>
        <v>0</v>
      </c>
      <c r="H17" s="49">
        <v>0</v>
      </c>
      <c r="I17" s="49">
        <v>0</v>
      </c>
      <c r="J17" s="48">
        <v>0</v>
      </c>
      <c r="K17" s="48">
        <f t="shared" si="2"/>
        <v>0</v>
      </c>
      <c r="L17" s="48">
        <f t="shared" si="3"/>
        <v>0</v>
      </c>
      <c r="M17" s="48">
        <f t="shared" si="1"/>
        <v>0</v>
      </c>
    </row>
    <row r="18" spans="1:13" ht="13" x14ac:dyDescent="0.3">
      <c r="A18" s="46">
        <f t="shared" si="4"/>
        <v>8</v>
      </c>
      <c r="B18" s="47" t="s">
        <v>67</v>
      </c>
      <c r="C18" s="48">
        <f t="shared" si="5"/>
        <v>897733.07000000007</v>
      </c>
      <c r="D18" s="49">
        <v>0</v>
      </c>
      <c r="E18" s="49">
        <v>897733.07000000007</v>
      </c>
      <c r="F18" s="50"/>
      <c r="G18" s="51">
        <f t="shared" si="0"/>
        <v>0</v>
      </c>
      <c r="H18" s="49"/>
      <c r="I18" s="49"/>
      <c r="J18" s="48">
        <v>0</v>
      </c>
      <c r="K18" s="48">
        <f t="shared" si="2"/>
        <v>897733.07000000007</v>
      </c>
      <c r="L18" s="48">
        <f t="shared" si="3"/>
        <v>0</v>
      </c>
      <c r="M18" s="48">
        <f t="shared" si="1"/>
        <v>897733.07000000007</v>
      </c>
    </row>
    <row r="19" spans="1:13" ht="13" x14ac:dyDescent="0.3">
      <c r="A19" s="46">
        <f t="shared" si="4"/>
        <v>9</v>
      </c>
      <c r="B19" s="47" t="s">
        <v>68</v>
      </c>
      <c r="C19" s="48">
        <f t="shared" si="5"/>
        <v>28018134.260000002</v>
      </c>
      <c r="D19" s="49">
        <v>9283875.8000000007</v>
      </c>
      <c r="E19" s="49">
        <v>18734258.460000001</v>
      </c>
      <c r="F19" s="50"/>
      <c r="G19" s="51">
        <f t="shared" si="0"/>
        <v>0</v>
      </c>
      <c r="H19" s="49"/>
      <c r="I19" s="49"/>
      <c r="J19" s="48">
        <v>0</v>
      </c>
      <c r="K19" s="48">
        <f t="shared" si="2"/>
        <v>28018134.260000002</v>
      </c>
      <c r="L19" s="48">
        <f t="shared" si="3"/>
        <v>9283875.8000000007</v>
      </c>
      <c r="M19" s="48">
        <f t="shared" si="1"/>
        <v>18734258.460000001</v>
      </c>
    </row>
    <row r="20" spans="1:13" ht="13" x14ac:dyDescent="0.3">
      <c r="A20" s="46">
        <f t="shared" si="4"/>
        <v>10</v>
      </c>
      <c r="B20" s="47" t="s">
        <v>69</v>
      </c>
      <c r="C20" s="48">
        <f t="shared" si="5"/>
        <v>2464409.13</v>
      </c>
      <c r="D20" s="49">
        <v>2034244.9299999997</v>
      </c>
      <c r="E20" s="49">
        <v>430164.2</v>
      </c>
      <c r="F20" s="50"/>
      <c r="G20" s="51">
        <f t="shared" si="0"/>
        <v>0</v>
      </c>
      <c r="H20" s="49"/>
      <c r="I20" s="49"/>
      <c r="J20" s="48">
        <v>0</v>
      </c>
      <c r="K20" s="48">
        <f t="shared" si="2"/>
        <v>2464409.13</v>
      </c>
      <c r="L20" s="48">
        <f t="shared" si="3"/>
        <v>2034244.9299999997</v>
      </c>
      <c r="M20" s="48">
        <f t="shared" si="1"/>
        <v>430164.2</v>
      </c>
    </row>
    <row r="21" spans="1:13" ht="13" x14ac:dyDescent="0.3">
      <c r="A21" s="46">
        <f t="shared" si="4"/>
        <v>11</v>
      </c>
      <c r="B21" s="47" t="s">
        <v>70</v>
      </c>
      <c r="C21" s="48">
        <f t="shared" si="5"/>
        <v>0</v>
      </c>
      <c r="D21" s="49">
        <v>0</v>
      </c>
      <c r="E21" s="49">
        <v>0</v>
      </c>
      <c r="F21" s="50"/>
      <c r="G21" s="51">
        <f t="shared" si="0"/>
        <v>0</v>
      </c>
      <c r="H21" s="49"/>
      <c r="I21" s="49"/>
      <c r="J21" s="48">
        <v>0</v>
      </c>
      <c r="K21" s="48">
        <f t="shared" si="2"/>
        <v>0</v>
      </c>
      <c r="L21" s="48">
        <f t="shared" si="3"/>
        <v>0</v>
      </c>
      <c r="M21" s="48">
        <f t="shared" si="1"/>
        <v>0</v>
      </c>
    </row>
    <row r="22" spans="1:13" ht="13" x14ac:dyDescent="0.3">
      <c r="A22" s="46">
        <f t="shared" si="4"/>
        <v>12</v>
      </c>
      <c r="B22" s="47" t="s">
        <v>71</v>
      </c>
      <c r="C22" s="48">
        <f t="shared" si="5"/>
        <v>21106578.41</v>
      </c>
      <c r="D22" s="49">
        <v>0</v>
      </c>
      <c r="E22" s="49">
        <v>21106578.41</v>
      </c>
      <c r="F22" s="50" t="s">
        <v>72</v>
      </c>
      <c r="G22" s="51">
        <f t="shared" si="0"/>
        <v>-21106578.41</v>
      </c>
      <c r="H22" s="49">
        <v>0</v>
      </c>
      <c r="I22" s="49">
        <v>-21106578.41</v>
      </c>
      <c r="J22" s="48">
        <v>0</v>
      </c>
      <c r="K22" s="48">
        <f t="shared" si="2"/>
        <v>0</v>
      </c>
      <c r="L22" s="48">
        <f t="shared" si="3"/>
        <v>0</v>
      </c>
      <c r="M22" s="48">
        <f t="shared" si="1"/>
        <v>0</v>
      </c>
    </row>
    <row r="23" spans="1:13" ht="13" x14ac:dyDescent="0.3">
      <c r="A23" s="46">
        <f t="shared" si="4"/>
        <v>13</v>
      </c>
      <c r="B23" s="47" t="s">
        <v>73</v>
      </c>
      <c r="C23" s="48">
        <f t="shared" si="5"/>
        <v>328194.69</v>
      </c>
      <c r="D23" s="49">
        <v>0</v>
      </c>
      <c r="E23" s="49">
        <v>328194.69</v>
      </c>
      <c r="F23" s="50"/>
      <c r="G23" s="51">
        <f t="shared" si="0"/>
        <v>0</v>
      </c>
      <c r="H23" s="49"/>
      <c r="I23" s="49"/>
      <c r="J23" s="48">
        <v>0</v>
      </c>
      <c r="K23" s="48">
        <f t="shared" si="2"/>
        <v>328194.69</v>
      </c>
      <c r="L23" s="48">
        <f t="shared" si="3"/>
        <v>0</v>
      </c>
      <c r="M23" s="48">
        <f t="shared" si="1"/>
        <v>328194.69</v>
      </c>
    </row>
    <row r="24" spans="1:13" ht="13" x14ac:dyDescent="0.3">
      <c r="A24" s="46">
        <f t="shared" si="4"/>
        <v>14</v>
      </c>
      <c r="B24" s="47" t="s">
        <v>74</v>
      </c>
      <c r="C24" s="48">
        <f t="shared" si="5"/>
        <v>89876953.949999958</v>
      </c>
      <c r="D24" s="49">
        <v>25535125.229999989</v>
      </c>
      <c r="E24" s="49">
        <v>64341828.719999976</v>
      </c>
      <c r="F24" s="50" t="s">
        <v>75</v>
      </c>
      <c r="G24" s="51">
        <f>SUM(H24:I24)</f>
        <v>-50362215.5</v>
      </c>
      <c r="H24" s="49">
        <v>-297311.73</v>
      </c>
      <c r="I24" s="49">
        <v>-50064903.770000003</v>
      </c>
      <c r="J24" s="48">
        <v>0</v>
      </c>
      <c r="K24" s="48">
        <f>SUM(L24:M24)</f>
        <v>39514738.449999958</v>
      </c>
      <c r="L24" s="48">
        <f t="shared" si="3"/>
        <v>25237813.499999989</v>
      </c>
      <c r="M24" s="48">
        <f t="shared" si="1"/>
        <v>14276924.949999973</v>
      </c>
    </row>
    <row r="25" spans="1:13" ht="13.5" thickBot="1" x14ac:dyDescent="0.35">
      <c r="A25" s="46">
        <f t="shared" si="4"/>
        <v>15</v>
      </c>
      <c r="B25" s="47" t="s">
        <v>76</v>
      </c>
      <c r="C25" s="48">
        <f t="shared" si="5"/>
        <v>195907469.35000002</v>
      </c>
      <c r="D25" s="49">
        <v>1.93</v>
      </c>
      <c r="E25" s="49">
        <v>195907467.42000002</v>
      </c>
      <c r="F25" s="50" t="s">
        <v>77</v>
      </c>
      <c r="G25" s="51">
        <f>SUM(H25:I25)</f>
        <v>-195901528.90000001</v>
      </c>
      <c r="H25" s="49">
        <v>0</v>
      </c>
      <c r="I25" s="49">
        <v>-195901528.90000001</v>
      </c>
      <c r="J25" s="48">
        <v>0</v>
      </c>
      <c r="K25" s="48">
        <f t="shared" si="2"/>
        <v>5940.4500000107291</v>
      </c>
      <c r="L25" s="48">
        <f t="shared" si="3"/>
        <v>1.93</v>
      </c>
      <c r="M25" s="48">
        <f t="shared" si="1"/>
        <v>5938.5200000107288</v>
      </c>
    </row>
    <row r="26" spans="1:13" ht="13.5" thickBot="1" x14ac:dyDescent="0.35">
      <c r="A26" s="46">
        <f t="shared" si="4"/>
        <v>16</v>
      </c>
      <c r="B26" s="47" t="s">
        <v>78</v>
      </c>
      <c r="C26" s="48">
        <f t="shared" si="5"/>
        <v>-277792.21999999986</v>
      </c>
      <c r="D26" s="49">
        <v>1357.1</v>
      </c>
      <c r="E26" s="49">
        <v>-279149.31999999983</v>
      </c>
      <c r="F26" s="50"/>
      <c r="G26" s="51">
        <f t="shared" si="0"/>
        <v>2115635</v>
      </c>
      <c r="H26" s="49"/>
      <c r="I26" s="126">
        <v>2115635</v>
      </c>
      <c r="J26" s="48">
        <v>0</v>
      </c>
      <c r="K26" s="48">
        <f t="shared" si="2"/>
        <v>1837842.7800000003</v>
      </c>
      <c r="L26" s="48">
        <f t="shared" si="3"/>
        <v>1357.1</v>
      </c>
      <c r="M26" s="48">
        <f t="shared" si="1"/>
        <v>1836485.6800000002</v>
      </c>
    </row>
    <row r="27" spans="1:13" ht="13" x14ac:dyDescent="0.3">
      <c r="A27" s="46">
        <f t="shared" si="4"/>
        <v>17</v>
      </c>
      <c r="B27" s="47" t="s">
        <v>79</v>
      </c>
      <c r="C27" s="48">
        <f t="shared" si="5"/>
        <v>18078216.079999998</v>
      </c>
      <c r="D27" s="49">
        <v>56956.160000000018</v>
      </c>
      <c r="E27" s="49">
        <v>18021259.919999998</v>
      </c>
      <c r="F27" s="50"/>
      <c r="G27" s="51">
        <f t="shared" si="0"/>
        <v>0</v>
      </c>
      <c r="H27" s="49"/>
      <c r="I27" s="49"/>
      <c r="J27" s="48">
        <v>0</v>
      </c>
      <c r="K27" s="48">
        <f t="shared" si="2"/>
        <v>18078216.079999998</v>
      </c>
      <c r="L27" s="48">
        <f t="shared" si="3"/>
        <v>56956.160000000018</v>
      </c>
      <c r="M27" s="48">
        <f t="shared" si="1"/>
        <v>18021259.919999998</v>
      </c>
    </row>
    <row r="28" spans="1:13" ht="13" x14ac:dyDescent="0.3">
      <c r="A28" s="46">
        <f t="shared" si="4"/>
        <v>18</v>
      </c>
      <c r="B28" s="47" t="s">
        <v>80</v>
      </c>
      <c r="C28" s="48">
        <f t="shared" si="5"/>
        <v>90937.450000000012</v>
      </c>
      <c r="D28" s="49">
        <v>0</v>
      </c>
      <c r="E28" s="49">
        <v>90937.450000000012</v>
      </c>
      <c r="F28" s="50"/>
      <c r="G28" s="51">
        <f t="shared" si="0"/>
        <v>0</v>
      </c>
      <c r="H28" s="49"/>
      <c r="I28" s="49"/>
      <c r="J28" s="48">
        <v>0</v>
      </c>
      <c r="K28" s="48">
        <f t="shared" si="2"/>
        <v>90937.450000000012</v>
      </c>
      <c r="L28" s="48">
        <f t="shared" si="3"/>
        <v>0</v>
      </c>
      <c r="M28" s="48">
        <f t="shared" si="1"/>
        <v>90937.450000000012</v>
      </c>
    </row>
    <row r="29" spans="1:13" ht="13" x14ac:dyDescent="0.3">
      <c r="A29" s="46">
        <f t="shared" si="4"/>
        <v>19</v>
      </c>
      <c r="B29" s="47" t="s">
        <v>81</v>
      </c>
      <c r="C29" s="48">
        <f t="shared" si="5"/>
        <v>272401.53000000003</v>
      </c>
      <c r="D29" s="49">
        <v>0</v>
      </c>
      <c r="E29" s="49">
        <v>272401.53000000003</v>
      </c>
      <c r="F29" s="50"/>
      <c r="G29" s="51">
        <f t="shared" si="0"/>
        <v>0</v>
      </c>
      <c r="H29" s="49"/>
      <c r="I29" s="49"/>
      <c r="J29" s="48">
        <v>0</v>
      </c>
      <c r="K29" s="48">
        <f t="shared" si="2"/>
        <v>272401.53000000003</v>
      </c>
      <c r="L29" s="48">
        <f t="shared" si="3"/>
        <v>0</v>
      </c>
      <c r="M29" s="48">
        <f t="shared" si="1"/>
        <v>272401.53000000003</v>
      </c>
    </row>
    <row r="30" spans="1:13" ht="13" x14ac:dyDescent="0.3">
      <c r="A30" s="46">
        <f t="shared" si="4"/>
        <v>20</v>
      </c>
      <c r="B30" s="47" t="s">
        <v>82</v>
      </c>
      <c r="C30" s="48">
        <f t="shared" si="5"/>
        <v>1458163.1499999997</v>
      </c>
      <c r="D30" s="49">
        <v>1254264.2799999996</v>
      </c>
      <c r="E30" s="49">
        <v>203898.87000000008</v>
      </c>
      <c r="F30" s="50"/>
      <c r="G30" s="51">
        <f t="shared" si="0"/>
        <v>0</v>
      </c>
      <c r="H30" s="49"/>
      <c r="I30" s="49"/>
      <c r="J30" s="48">
        <v>0</v>
      </c>
      <c r="K30" s="48">
        <f t="shared" si="2"/>
        <v>1458163.1499999997</v>
      </c>
      <c r="L30" s="48">
        <f t="shared" si="3"/>
        <v>1254264.2799999996</v>
      </c>
      <c r="M30" s="48">
        <f t="shared" si="1"/>
        <v>203898.87000000008</v>
      </c>
    </row>
    <row r="31" spans="1:13" ht="13" x14ac:dyDescent="0.3">
      <c r="A31" s="46">
        <f t="shared" si="4"/>
        <v>21</v>
      </c>
      <c r="B31" s="47" t="s">
        <v>83</v>
      </c>
      <c r="C31" s="48">
        <f t="shared" si="5"/>
        <v>385256.73</v>
      </c>
      <c r="D31" s="49">
        <v>0</v>
      </c>
      <c r="E31" s="49">
        <v>385256.73</v>
      </c>
      <c r="F31" s="50"/>
      <c r="G31" s="51">
        <f t="shared" si="0"/>
        <v>0</v>
      </c>
      <c r="H31" s="49"/>
      <c r="I31" s="49"/>
      <c r="J31" s="48">
        <v>0</v>
      </c>
      <c r="K31" s="48">
        <f t="shared" si="2"/>
        <v>385256.73</v>
      </c>
      <c r="L31" s="48">
        <f t="shared" si="3"/>
        <v>0</v>
      </c>
      <c r="M31" s="48">
        <f t="shared" si="1"/>
        <v>385256.73</v>
      </c>
    </row>
    <row r="32" spans="1:13" ht="13" x14ac:dyDescent="0.3">
      <c r="A32" s="46">
        <f t="shared" si="4"/>
        <v>22</v>
      </c>
      <c r="B32" s="47" t="s">
        <v>84</v>
      </c>
      <c r="C32" s="48">
        <f t="shared" si="5"/>
        <v>39698016.160000004</v>
      </c>
      <c r="D32" s="49">
        <v>5125.880000000001</v>
      </c>
      <c r="E32" s="49">
        <v>39692890.280000001</v>
      </c>
      <c r="F32" s="50" t="s">
        <v>85</v>
      </c>
      <c r="G32" s="51">
        <f t="shared" si="0"/>
        <v>-37437029</v>
      </c>
      <c r="H32" s="49">
        <v>0</v>
      </c>
      <c r="I32" s="49">
        <v>-37437029</v>
      </c>
      <c r="J32" s="48">
        <v>0</v>
      </c>
      <c r="K32" s="48">
        <f t="shared" si="2"/>
        <v>2260987.1600000011</v>
      </c>
      <c r="L32" s="48">
        <f t="shared" si="3"/>
        <v>5125.880000000001</v>
      </c>
      <c r="M32" s="48">
        <f t="shared" si="1"/>
        <v>2255861.2800000012</v>
      </c>
    </row>
    <row r="33" spans="1:13" ht="13" x14ac:dyDescent="0.3">
      <c r="A33" s="46">
        <f t="shared" si="4"/>
        <v>23</v>
      </c>
      <c r="B33" s="47" t="s">
        <v>86</v>
      </c>
      <c r="C33" s="48">
        <f t="shared" si="5"/>
        <v>381983.22</v>
      </c>
      <c r="D33" s="49">
        <v>0</v>
      </c>
      <c r="E33" s="49">
        <v>381983.22</v>
      </c>
      <c r="F33" s="50"/>
      <c r="G33" s="51">
        <f t="shared" si="0"/>
        <v>0</v>
      </c>
      <c r="H33" s="49"/>
      <c r="I33" s="49"/>
      <c r="J33" s="48">
        <v>0</v>
      </c>
      <c r="K33" s="48">
        <f t="shared" si="2"/>
        <v>381983.22</v>
      </c>
      <c r="L33" s="48">
        <f t="shared" si="3"/>
        <v>0</v>
      </c>
      <c r="M33" s="48">
        <f t="shared" si="1"/>
        <v>381983.22</v>
      </c>
    </row>
    <row r="34" spans="1:13" ht="13" x14ac:dyDescent="0.3">
      <c r="A34" s="46">
        <f t="shared" si="4"/>
        <v>24</v>
      </c>
      <c r="B34" s="47" t="s">
        <v>87</v>
      </c>
      <c r="C34" s="48">
        <f t="shared" si="5"/>
        <v>7733142.4699999988</v>
      </c>
      <c r="D34" s="49">
        <v>3743306.7</v>
      </c>
      <c r="E34" s="49">
        <v>3989835.7699999986</v>
      </c>
      <c r="F34" s="50"/>
      <c r="G34" s="51">
        <f t="shared" si="0"/>
        <v>0</v>
      </c>
      <c r="H34" s="49"/>
      <c r="I34" s="49"/>
      <c r="J34" s="48">
        <v>0</v>
      </c>
      <c r="K34" s="48">
        <f t="shared" si="2"/>
        <v>7733142.4699999988</v>
      </c>
      <c r="L34" s="48">
        <f t="shared" si="3"/>
        <v>3743306.7</v>
      </c>
      <c r="M34" s="48">
        <f t="shared" si="1"/>
        <v>3989835.7699999986</v>
      </c>
    </row>
    <row r="35" spans="1:13" ht="13" x14ac:dyDescent="0.3">
      <c r="A35" s="46">
        <f t="shared" si="4"/>
        <v>25</v>
      </c>
      <c r="B35" s="47" t="s">
        <v>88</v>
      </c>
      <c r="C35" s="48">
        <f t="shared" si="5"/>
        <v>1857443.9600000002</v>
      </c>
      <c r="D35" s="49">
        <v>0</v>
      </c>
      <c r="E35" s="49">
        <v>1857443.9600000002</v>
      </c>
      <c r="F35" s="50"/>
      <c r="G35" s="51">
        <f t="shared" si="0"/>
        <v>0</v>
      </c>
      <c r="H35" s="49"/>
      <c r="I35" s="49"/>
      <c r="J35" s="48">
        <v>0</v>
      </c>
      <c r="K35" s="48">
        <f t="shared" si="2"/>
        <v>1857443.9600000002</v>
      </c>
      <c r="L35" s="48">
        <f t="shared" si="3"/>
        <v>0</v>
      </c>
      <c r="M35" s="48">
        <f t="shared" si="1"/>
        <v>1857443.9600000002</v>
      </c>
    </row>
    <row r="36" spans="1:13" ht="13" x14ac:dyDescent="0.3">
      <c r="A36" s="46">
        <f t="shared" si="4"/>
        <v>26</v>
      </c>
      <c r="B36" s="47" t="s">
        <v>89</v>
      </c>
      <c r="C36" s="48">
        <f t="shared" si="5"/>
        <v>69151434.650000036</v>
      </c>
      <c r="D36" s="49">
        <v>12193526.199999996</v>
      </c>
      <c r="E36" s="49">
        <v>56957908.45000004</v>
      </c>
      <c r="F36" s="50"/>
      <c r="G36" s="51">
        <f t="shared" si="0"/>
        <v>0</v>
      </c>
      <c r="H36" s="49"/>
      <c r="I36" s="49"/>
      <c r="J36" s="48">
        <v>0</v>
      </c>
      <c r="K36" s="48">
        <f t="shared" si="2"/>
        <v>69151434.650000036</v>
      </c>
      <c r="L36" s="48">
        <f t="shared" si="3"/>
        <v>12193526.199999996</v>
      </c>
      <c r="M36" s="48">
        <f t="shared" si="1"/>
        <v>56957908.45000004</v>
      </c>
    </row>
    <row r="37" spans="1:13" ht="13" x14ac:dyDescent="0.3">
      <c r="A37" s="46">
        <f t="shared" si="4"/>
        <v>27</v>
      </c>
      <c r="B37" s="47" t="s">
        <v>90</v>
      </c>
      <c r="C37" s="48">
        <f t="shared" si="5"/>
        <v>555768.00999999989</v>
      </c>
      <c r="D37" s="49">
        <v>0</v>
      </c>
      <c r="E37" s="49">
        <v>555768.00999999989</v>
      </c>
      <c r="F37" s="50"/>
      <c r="G37" s="51">
        <f t="shared" si="0"/>
        <v>0</v>
      </c>
      <c r="H37" s="49"/>
      <c r="I37" s="49"/>
      <c r="J37" s="48">
        <v>0</v>
      </c>
      <c r="K37" s="48">
        <f t="shared" si="2"/>
        <v>555768.00999999989</v>
      </c>
      <c r="L37" s="48">
        <f t="shared" si="3"/>
        <v>0</v>
      </c>
      <c r="M37" s="48">
        <f t="shared" si="1"/>
        <v>555768.00999999989</v>
      </c>
    </row>
    <row r="38" spans="1:13" ht="13" x14ac:dyDescent="0.3">
      <c r="A38" s="46">
        <f t="shared" si="4"/>
        <v>28</v>
      </c>
      <c r="B38" s="47" t="s">
        <v>91</v>
      </c>
      <c r="C38" s="48">
        <f t="shared" si="5"/>
        <v>374848.77</v>
      </c>
      <c r="D38" s="49">
        <v>165668.56999999998</v>
      </c>
      <c r="E38" s="49">
        <v>209180.2</v>
      </c>
      <c r="F38" s="50"/>
      <c r="G38" s="51">
        <f t="shared" si="0"/>
        <v>0</v>
      </c>
      <c r="H38" s="49"/>
      <c r="I38" s="49"/>
      <c r="J38" s="48">
        <v>0</v>
      </c>
      <c r="K38" s="48">
        <f t="shared" si="2"/>
        <v>374848.77</v>
      </c>
      <c r="L38" s="48">
        <f t="shared" si="3"/>
        <v>165668.56999999998</v>
      </c>
      <c r="M38" s="48">
        <f t="shared" si="1"/>
        <v>209180.2</v>
      </c>
    </row>
    <row r="39" spans="1:13" ht="13" x14ac:dyDescent="0.3">
      <c r="A39" s="46">
        <f t="shared" si="4"/>
        <v>29</v>
      </c>
      <c r="B39" s="47" t="s">
        <v>92</v>
      </c>
      <c r="C39" s="48">
        <f t="shared" si="5"/>
        <v>5003.33</v>
      </c>
      <c r="D39" s="49"/>
      <c r="E39" s="49">
        <v>5003.33</v>
      </c>
      <c r="F39" s="50"/>
      <c r="G39" s="51">
        <f t="shared" si="0"/>
        <v>0</v>
      </c>
      <c r="H39" s="49"/>
      <c r="I39" s="49"/>
      <c r="J39" s="48">
        <v>0</v>
      </c>
      <c r="K39" s="48">
        <f t="shared" si="2"/>
        <v>5003.33</v>
      </c>
      <c r="L39" s="48">
        <f t="shared" si="3"/>
        <v>0</v>
      </c>
      <c r="M39" s="48">
        <f t="shared" si="1"/>
        <v>5003.33</v>
      </c>
    </row>
    <row r="40" spans="1:13" ht="13" x14ac:dyDescent="0.3">
      <c r="A40" s="46">
        <f t="shared" si="4"/>
        <v>30</v>
      </c>
      <c r="B40" s="47" t="s">
        <v>93</v>
      </c>
      <c r="C40" s="48">
        <f t="shared" si="5"/>
        <v>1259173.3900000001</v>
      </c>
      <c r="D40" s="49">
        <v>933258.49000000011</v>
      </c>
      <c r="E40" s="49">
        <v>325914.90000000002</v>
      </c>
      <c r="F40" s="50"/>
      <c r="G40" s="51">
        <f t="shared" si="0"/>
        <v>0</v>
      </c>
      <c r="H40" s="49"/>
      <c r="I40" s="49"/>
      <c r="J40" s="48">
        <v>0</v>
      </c>
      <c r="K40" s="48">
        <f t="shared" si="2"/>
        <v>1259173.3900000001</v>
      </c>
      <c r="L40" s="48">
        <f t="shared" si="3"/>
        <v>933258.49000000011</v>
      </c>
      <c r="M40" s="48">
        <f t="shared" si="1"/>
        <v>325914.90000000002</v>
      </c>
    </row>
    <row r="41" spans="1:13" ht="13" x14ac:dyDescent="0.3">
      <c r="A41" s="46">
        <f t="shared" si="4"/>
        <v>31</v>
      </c>
      <c r="B41" s="52" t="s">
        <v>94</v>
      </c>
      <c r="C41" s="53" t="s">
        <v>95</v>
      </c>
      <c r="D41" s="53" t="s">
        <v>95</v>
      </c>
      <c r="E41" s="53" t="s">
        <v>95</v>
      </c>
      <c r="F41" s="53" t="s">
        <v>95</v>
      </c>
      <c r="G41" s="51">
        <f t="shared" si="0"/>
        <v>0</v>
      </c>
      <c r="H41" s="53" t="s">
        <v>95</v>
      </c>
      <c r="I41" s="53" t="s">
        <v>95</v>
      </c>
      <c r="J41" s="54">
        <v>0</v>
      </c>
      <c r="K41" s="54">
        <v>0</v>
      </c>
      <c r="L41" s="54">
        <v>0</v>
      </c>
      <c r="M41" s="54">
        <v>0</v>
      </c>
    </row>
    <row r="42" spans="1:13" ht="13" x14ac:dyDescent="0.3">
      <c r="A42" s="46">
        <f t="shared" si="4"/>
        <v>32</v>
      </c>
      <c r="B42" s="47" t="s">
        <v>96</v>
      </c>
      <c r="C42" s="55">
        <v>0</v>
      </c>
      <c r="D42" s="55">
        <v>0</v>
      </c>
      <c r="E42" s="55">
        <v>0</v>
      </c>
      <c r="F42" s="56"/>
      <c r="G42" s="57">
        <f t="shared" si="0"/>
        <v>-2224263.1941172266</v>
      </c>
      <c r="H42" s="58">
        <f>+C64*C144</f>
        <v>-2224263.1941172266</v>
      </c>
      <c r="I42" s="58">
        <v>0</v>
      </c>
      <c r="J42" s="59">
        <v>0</v>
      </c>
      <c r="K42" s="59">
        <f t="shared" si="2"/>
        <v>-2224263.1941172266</v>
      </c>
      <c r="L42" s="59">
        <f>D42+H42</f>
        <v>-2224263.1941172266</v>
      </c>
      <c r="M42" s="59">
        <f>E42+I42+J42</f>
        <v>0</v>
      </c>
    </row>
    <row r="43" spans="1:13" ht="13" x14ac:dyDescent="0.3">
      <c r="A43" s="46">
        <f t="shared" si="4"/>
        <v>33</v>
      </c>
      <c r="B43" s="25" t="s">
        <v>97</v>
      </c>
      <c r="C43" s="48">
        <f>SUM(C11:C42)</f>
        <v>551420299.8599999</v>
      </c>
      <c r="D43" s="60">
        <f>SUM(D11:D42)</f>
        <v>87254255.669999972</v>
      </c>
      <c r="E43" s="60">
        <f>SUM(E11:E42)</f>
        <v>464166044.19</v>
      </c>
      <c r="F43" s="61"/>
      <c r="G43" s="61">
        <f t="shared" ref="G43:I43" si="6">SUM(G11:G42)</f>
        <v>-333287636.87411726</v>
      </c>
      <c r="H43" s="62">
        <f t="shared" si="6"/>
        <v>-2521574.9241172266</v>
      </c>
      <c r="I43" s="62">
        <f t="shared" si="6"/>
        <v>-330766061.95000005</v>
      </c>
      <c r="J43" s="62">
        <f>SUM(J11:J42)</f>
        <v>0</v>
      </c>
      <c r="K43" s="62">
        <f>SUM(K11:K42)</f>
        <v>218132662.98588276</v>
      </c>
      <c r="L43" s="62">
        <f>SUM(L11:L42)</f>
        <v>84732680.74588275</v>
      </c>
      <c r="M43" s="62">
        <f>SUM(M11:M42)</f>
        <v>133399982.24000002</v>
      </c>
    </row>
    <row r="44" spans="1:13" ht="13" x14ac:dyDescent="0.3">
      <c r="A44" s="46">
        <f t="shared" si="4"/>
        <v>34</v>
      </c>
      <c r="D44" s="63"/>
      <c r="E44" s="63"/>
      <c r="F44" s="64"/>
      <c r="G44" s="36"/>
      <c r="H44" s="65"/>
      <c r="I44" s="65"/>
      <c r="J44" s="66"/>
      <c r="K44" s="66"/>
      <c r="L44" s="66"/>
    </row>
    <row r="45" spans="1:13" ht="13" x14ac:dyDescent="0.3">
      <c r="A45" s="46"/>
      <c r="B45" s="25"/>
      <c r="C45" s="63"/>
      <c r="D45" s="63"/>
      <c r="E45" s="63"/>
      <c r="F45" s="64"/>
      <c r="G45" s="67"/>
      <c r="H45" s="63"/>
      <c r="I45" s="63"/>
      <c r="J45" s="63"/>
      <c r="K45" s="63"/>
      <c r="L45" s="63"/>
    </row>
    <row r="46" spans="1:13" ht="13" x14ac:dyDescent="0.3">
      <c r="A46" s="46"/>
      <c r="B46" s="27" t="s">
        <v>28</v>
      </c>
      <c r="C46" s="27" t="s">
        <v>29</v>
      </c>
      <c r="D46" s="27" t="s">
        <v>30</v>
      </c>
      <c r="E46" s="27" t="s">
        <v>31</v>
      </c>
      <c r="F46" s="27" t="s">
        <v>32</v>
      </c>
      <c r="G46" s="27" t="s">
        <v>33</v>
      </c>
      <c r="H46" s="27" t="s">
        <v>34</v>
      </c>
      <c r="I46" s="27" t="s">
        <v>35</v>
      </c>
      <c r="J46" s="27" t="s">
        <v>37</v>
      </c>
      <c r="K46" s="27" t="s">
        <v>38</v>
      </c>
      <c r="L46" s="27" t="s">
        <v>39</v>
      </c>
    </row>
    <row r="47" spans="1:13" ht="13" x14ac:dyDescent="0.3">
      <c r="A47" s="46"/>
      <c r="B47" s="25"/>
      <c r="C47" s="28" t="s">
        <v>40</v>
      </c>
      <c r="D47" s="26"/>
      <c r="E47" s="26"/>
      <c r="F47" s="29" t="s">
        <v>41</v>
      </c>
      <c r="G47" s="28" t="s">
        <v>42</v>
      </c>
      <c r="H47" s="30"/>
      <c r="I47" s="30"/>
      <c r="J47" s="28" t="s">
        <v>44</v>
      </c>
      <c r="K47" s="28" t="s">
        <v>45</v>
      </c>
      <c r="L47" s="31" t="s">
        <v>98</v>
      </c>
    </row>
    <row r="48" spans="1:13" ht="13" x14ac:dyDescent="0.3">
      <c r="A48" s="46"/>
      <c r="D48" s="63"/>
      <c r="E48" s="63"/>
      <c r="F48" s="64"/>
      <c r="G48" s="36"/>
      <c r="H48" s="63"/>
      <c r="I48" s="63"/>
      <c r="J48" s="66"/>
      <c r="K48" s="66"/>
      <c r="L48" s="66"/>
    </row>
    <row r="49" spans="1:12" ht="13" x14ac:dyDescent="0.3">
      <c r="A49" s="46"/>
      <c r="B49" s="160" t="s">
        <v>48</v>
      </c>
      <c r="C49" s="162" t="s">
        <v>49</v>
      </c>
      <c r="D49" s="162"/>
      <c r="E49" s="162"/>
      <c r="F49" s="37"/>
      <c r="G49" s="157" t="s">
        <v>50</v>
      </c>
      <c r="H49" s="157"/>
      <c r="I49" s="158"/>
      <c r="J49" s="156" t="s">
        <v>51</v>
      </c>
      <c r="K49" s="157"/>
      <c r="L49" s="158"/>
    </row>
    <row r="50" spans="1:12" ht="13" x14ac:dyDescent="0.3">
      <c r="A50" s="46"/>
      <c r="B50" s="161"/>
      <c r="C50" s="43" t="s">
        <v>52</v>
      </c>
      <c r="D50" s="43" t="s">
        <v>53</v>
      </c>
      <c r="E50" s="43" t="s">
        <v>54</v>
      </c>
      <c r="F50" s="43" t="s">
        <v>55</v>
      </c>
      <c r="G50" s="43" t="s">
        <v>52</v>
      </c>
      <c r="H50" s="43" t="s">
        <v>53</v>
      </c>
      <c r="I50" s="43" t="s">
        <v>54</v>
      </c>
      <c r="J50" s="43" t="s">
        <v>52</v>
      </c>
      <c r="K50" s="43" t="s">
        <v>53</v>
      </c>
      <c r="L50" s="43" t="s">
        <v>54</v>
      </c>
    </row>
    <row r="51" spans="1:12" ht="13" x14ac:dyDescent="0.3">
      <c r="A51" s="46"/>
      <c r="B51" s="45" t="s">
        <v>99</v>
      </c>
      <c r="C51" s="26"/>
      <c r="D51" s="26"/>
      <c r="E51" s="26"/>
      <c r="F51" s="26"/>
      <c r="G51" s="26"/>
      <c r="H51" s="26"/>
      <c r="I51" s="26"/>
      <c r="J51" s="26"/>
      <c r="K51" s="26"/>
      <c r="L51" s="26"/>
    </row>
    <row r="52" spans="1:12" ht="13" x14ac:dyDescent="0.3">
      <c r="A52" s="46">
        <f>A44+1</f>
        <v>35</v>
      </c>
      <c r="B52" s="47" t="s">
        <v>100</v>
      </c>
      <c r="C52" s="66">
        <f t="shared" ref="C52:C56" si="7">SUM(D52:E52)</f>
        <v>33503824.949999996</v>
      </c>
      <c r="D52" s="49">
        <v>26319020.369999997</v>
      </c>
      <c r="E52" s="49">
        <v>7184804.5799999963</v>
      </c>
      <c r="F52" s="50"/>
      <c r="G52" s="36">
        <f t="shared" ref="G52:G56" si="8">SUM(H52:I52)</f>
        <v>0</v>
      </c>
      <c r="H52" s="68"/>
      <c r="I52" s="68"/>
      <c r="J52" s="66">
        <f t="shared" ref="J52:J56" si="9">SUM(K52:L52)</f>
        <v>33503824.949999996</v>
      </c>
      <c r="K52" s="66">
        <f t="shared" ref="K52:L57" si="10">D52+H52</f>
        <v>26319020.369999997</v>
      </c>
      <c r="L52" s="66">
        <f t="shared" si="10"/>
        <v>7184804.5799999963</v>
      </c>
    </row>
    <row r="53" spans="1:12" ht="13" x14ac:dyDescent="0.3">
      <c r="A53" s="46">
        <f t="shared" ref="A53:A62" si="11">A52+1</f>
        <v>36</v>
      </c>
      <c r="B53" s="47" t="s">
        <v>101</v>
      </c>
      <c r="C53" s="66">
        <f t="shared" si="7"/>
        <v>1448907.4299999997</v>
      </c>
      <c r="D53" s="49">
        <v>1253042.4299999997</v>
      </c>
      <c r="E53" s="49">
        <v>195865.00000000012</v>
      </c>
      <c r="F53" s="50"/>
      <c r="G53" s="36">
        <f t="shared" si="8"/>
        <v>0</v>
      </c>
      <c r="H53" s="68"/>
      <c r="I53" s="68"/>
      <c r="J53" s="66">
        <f t="shared" si="9"/>
        <v>1448907.4299999997</v>
      </c>
      <c r="K53" s="66">
        <f t="shared" si="10"/>
        <v>1253042.4299999997</v>
      </c>
      <c r="L53" s="66">
        <f t="shared" si="10"/>
        <v>195865.00000000012</v>
      </c>
    </row>
    <row r="54" spans="1:12" ht="13" x14ac:dyDescent="0.3">
      <c r="A54" s="46">
        <f t="shared" si="11"/>
        <v>37</v>
      </c>
      <c r="B54" s="47" t="s">
        <v>102</v>
      </c>
      <c r="C54" s="66">
        <f t="shared" si="7"/>
        <v>96984.790000000008</v>
      </c>
      <c r="D54" s="49">
        <v>25892.579999999994</v>
      </c>
      <c r="E54" s="49">
        <v>71092.210000000006</v>
      </c>
      <c r="F54" s="50"/>
      <c r="G54" s="36">
        <f t="shared" si="8"/>
        <v>0</v>
      </c>
      <c r="H54" s="68"/>
      <c r="I54" s="68"/>
      <c r="J54" s="66">
        <f t="shared" si="9"/>
        <v>96984.790000000008</v>
      </c>
      <c r="K54" s="66">
        <f t="shared" si="10"/>
        <v>25892.579999999994</v>
      </c>
      <c r="L54" s="66">
        <f t="shared" si="10"/>
        <v>71092.210000000006</v>
      </c>
    </row>
    <row r="55" spans="1:12" ht="13" x14ac:dyDescent="0.3">
      <c r="A55" s="46">
        <f t="shared" si="11"/>
        <v>38</v>
      </c>
      <c r="B55" s="47" t="s">
        <v>103</v>
      </c>
      <c r="C55" s="66">
        <f t="shared" si="7"/>
        <v>5796388.1300000018</v>
      </c>
      <c r="D55" s="49">
        <v>4323216.540000001</v>
      </c>
      <c r="E55" s="49">
        <v>1473171.5900000008</v>
      </c>
      <c r="F55" s="50"/>
      <c r="G55" s="36">
        <f t="shared" si="8"/>
        <v>0</v>
      </c>
      <c r="H55" s="68"/>
      <c r="I55" s="68"/>
      <c r="J55" s="66">
        <f t="shared" si="9"/>
        <v>5796388.1300000018</v>
      </c>
      <c r="K55" s="66">
        <f t="shared" si="10"/>
        <v>4323216.540000001</v>
      </c>
      <c r="L55" s="66">
        <f t="shared" si="10"/>
        <v>1473171.5900000008</v>
      </c>
    </row>
    <row r="56" spans="1:12" ht="13" x14ac:dyDescent="0.3">
      <c r="A56" s="46">
        <f t="shared" si="11"/>
        <v>39</v>
      </c>
      <c r="B56" s="47" t="s">
        <v>104</v>
      </c>
      <c r="C56" s="66">
        <f t="shared" si="7"/>
        <v>864468628.1099993</v>
      </c>
      <c r="D56" s="49">
        <v>248089229.63000059</v>
      </c>
      <c r="E56" s="49">
        <v>616379398.47999871</v>
      </c>
      <c r="F56" s="50" t="s">
        <v>75</v>
      </c>
      <c r="G56" s="36">
        <f t="shared" si="8"/>
        <v>-1616662.3800000001</v>
      </c>
      <c r="H56" s="49">
        <v>-127764.99</v>
      </c>
      <c r="I56" s="49">
        <v>-1488897.3900000001</v>
      </c>
      <c r="J56" s="66">
        <f t="shared" si="9"/>
        <v>862851965.7299993</v>
      </c>
      <c r="K56" s="66">
        <f t="shared" si="10"/>
        <v>247961464.64000058</v>
      </c>
      <c r="L56" s="66">
        <f t="shared" si="10"/>
        <v>614890501.08999872</v>
      </c>
    </row>
    <row r="57" spans="1:12" ht="13" x14ac:dyDescent="0.3">
      <c r="A57" s="46">
        <f>A56+1</f>
        <v>40</v>
      </c>
      <c r="B57" s="47" t="s">
        <v>105</v>
      </c>
      <c r="C57" s="55">
        <v>0</v>
      </c>
      <c r="D57" s="55">
        <v>0</v>
      </c>
      <c r="E57" s="55">
        <v>0</v>
      </c>
      <c r="F57" s="56"/>
      <c r="G57" s="55">
        <f>SUM(H57:I57)</f>
        <v>-7137953.6202013632</v>
      </c>
      <c r="H57" s="56">
        <f>+C64*C145</f>
        <v>-7137953.6202013632</v>
      </c>
      <c r="I57" s="56">
        <v>0</v>
      </c>
      <c r="J57" s="69">
        <f>SUM(K57:L57)</f>
        <v>-7137953.6202013632</v>
      </c>
      <c r="K57" s="69">
        <f t="shared" si="10"/>
        <v>-7137953.6202013632</v>
      </c>
      <c r="L57" s="69">
        <f t="shared" si="10"/>
        <v>0</v>
      </c>
    </row>
    <row r="58" spans="1:12" ht="13" x14ac:dyDescent="0.3">
      <c r="A58" s="46">
        <f t="shared" si="11"/>
        <v>41</v>
      </c>
      <c r="B58" s="25" t="s">
        <v>106</v>
      </c>
      <c r="C58" s="63">
        <f>SUM(C52:C57)</f>
        <v>905314733.40999925</v>
      </c>
      <c r="D58" s="63">
        <f>SUM(D52:D57)</f>
        <v>280010401.55000061</v>
      </c>
      <c r="E58" s="63">
        <f>SUM(E52:E57)</f>
        <v>625304331.8599987</v>
      </c>
      <c r="F58" s="64"/>
      <c r="G58" s="67">
        <f t="shared" ref="G58:L58" si="12">SUM(G52:G57)</f>
        <v>-8754616.0002013631</v>
      </c>
      <c r="H58" s="63">
        <f t="shared" si="12"/>
        <v>-7265718.6102013635</v>
      </c>
      <c r="I58" s="63">
        <f t="shared" si="12"/>
        <v>-1488897.3900000001</v>
      </c>
      <c r="J58" s="63">
        <f>SUM(J52:J57)</f>
        <v>896560117.40979791</v>
      </c>
      <c r="K58" s="63">
        <f t="shared" si="12"/>
        <v>272744682.93979925</v>
      </c>
      <c r="L58" s="63">
        <f t="shared" si="12"/>
        <v>623815434.46999872</v>
      </c>
    </row>
    <row r="59" spans="1:12" ht="13" x14ac:dyDescent="0.3">
      <c r="A59" s="46">
        <f t="shared" si="11"/>
        <v>42</v>
      </c>
      <c r="C59" s="66"/>
      <c r="D59" s="63"/>
      <c r="E59" s="63"/>
      <c r="F59" s="70"/>
      <c r="G59" s="36"/>
      <c r="H59" s="65"/>
      <c r="I59" s="65"/>
      <c r="J59" s="66"/>
      <c r="K59" s="66"/>
      <c r="L59" s="66"/>
    </row>
    <row r="60" spans="1:12" ht="13" x14ac:dyDescent="0.3">
      <c r="A60" s="46">
        <f t="shared" si="11"/>
        <v>43</v>
      </c>
      <c r="B60" s="25" t="s">
        <v>107</v>
      </c>
      <c r="C60" s="66">
        <f>+C43+C58</f>
        <v>1456735033.269999</v>
      </c>
      <c r="D60" s="66">
        <f>D58+D43</f>
        <v>367264657.22000057</v>
      </c>
      <c r="E60" s="66">
        <f>E58+E43</f>
        <v>1089470376.0499988</v>
      </c>
      <c r="G60" s="36">
        <f>+G43+G58</f>
        <v>-342042252.8743186</v>
      </c>
      <c r="H60" s="66">
        <f>H58+H43</f>
        <v>-9787293.5343185905</v>
      </c>
      <c r="I60" s="66">
        <f>I58+I43</f>
        <v>-332254959.34000003</v>
      </c>
      <c r="J60" s="66">
        <f>J58+K43</f>
        <v>1114692780.3956807</v>
      </c>
      <c r="K60" s="66">
        <f>K58+L43</f>
        <v>357477363.685682</v>
      </c>
      <c r="L60" s="66">
        <f>L58+M43</f>
        <v>757215416.70999873</v>
      </c>
    </row>
    <row r="61" spans="1:12" ht="13" x14ac:dyDescent="0.3">
      <c r="A61" s="46">
        <f t="shared" si="11"/>
        <v>44</v>
      </c>
      <c r="H61" s="65"/>
      <c r="I61" s="65"/>
    </row>
    <row r="62" spans="1:12" ht="13" x14ac:dyDescent="0.3">
      <c r="A62" s="46">
        <f t="shared" si="11"/>
        <v>45</v>
      </c>
      <c r="B62" s="47" t="s">
        <v>108</v>
      </c>
      <c r="C62" s="71">
        <v>551420299</v>
      </c>
      <c r="D62" s="66" t="s">
        <v>109</v>
      </c>
      <c r="E62" s="66" t="str">
        <f>"Must equal Line "&amp;A43&amp;", Column 2."</f>
        <v>Must equal Line 33, Column 2.</v>
      </c>
      <c r="G62" s="72"/>
      <c r="H62" s="73"/>
      <c r="I62" s="73"/>
      <c r="J62" s="73"/>
      <c r="K62" s="73"/>
      <c r="L62" s="73"/>
    </row>
    <row r="63" spans="1:12" ht="13" x14ac:dyDescent="0.3">
      <c r="A63" s="46">
        <f>A62+1</f>
        <v>46</v>
      </c>
      <c r="B63" s="47" t="s">
        <v>110</v>
      </c>
      <c r="C63" s="71">
        <v>905314734</v>
      </c>
      <c r="D63" s="66" t="s">
        <v>111</v>
      </c>
      <c r="E63" s="66" t="str">
        <f>"Must equal Line "&amp;A58&amp;", Column 2."</f>
        <v>Must equal Line 41, Column 2.</v>
      </c>
      <c r="G63" s="36"/>
      <c r="H63" s="66"/>
      <c r="I63" s="66"/>
      <c r="J63" s="66"/>
      <c r="K63" s="66"/>
      <c r="L63" s="66"/>
    </row>
    <row r="64" spans="1:12" ht="13" x14ac:dyDescent="0.3">
      <c r="A64" s="46">
        <f>A63+1</f>
        <v>47</v>
      </c>
      <c r="B64" s="47" t="s">
        <v>112</v>
      </c>
      <c r="C64" s="74">
        <v>-9362216.8143185899</v>
      </c>
      <c r="D64" s="66" t="s">
        <v>309</v>
      </c>
      <c r="E64" s="66"/>
      <c r="F64" s="46"/>
      <c r="G64" s="36"/>
      <c r="H64" s="66"/>
      <c r="I64" s="66"/>
      <c r="J64" s="66"/>
      <c r="K64" s="66"/>
      <c r="L64" s="66"/>
    </row>
    <row r="65" spans="1:12" ht="13" x14ac:dyDescent="0.3">
      <c r="A65" s="75"/>
      <c r="C65" s="75"/>
      <c r="D65" s="66"/>
      <c r="E65" s="66"/>
      <c r="G65" s="36"/>
      <c r="H65" s="66"/>
      <c r="I65" s="66"/>
      <c r="J65" s="66"/>
      <c r="K65" s="66"/>
      <c r="L65" s="66"/>
    </row>
    <row r="66" spans="1:12" ht="13" x14ac:dyDescent="0.3">
      <c r="B66" s="15" t="s">
        <v>113</v>
      </c>
      <c r="H66" s="11"/>
      <c r="I66" s="11"/>
    </row>
    <row r="67" spans="1:12" x14ac:dyDescent="0.25">
      <c r="H67" s="11"/>
      <c r="I67" s="11"/>
    </row>
    <row r="68" spans="1:12" ht="13" x14ac:dyDescent="0.3">
      <c r="B68" s="76" t="s">
        <v>28</v>
      </c>
      <c r="C68" s="27" t="s">
        <v>29</v>
      </c>
      <c r="D68" s="27" t="s">
        <v>30</v>
      </c>
      <c r="E68" s="27" t="s">
        <v>31</v>
      </c>
      <c r="F68" s="27" t="s">
        <v>32</v>
      </c>
      <c r="G68" s="27" t="s">
        <v>33</v>
      </c>
      <c r="H68" s="27" t="s">
        <v>34</v>
      </c>
      <c r="I68" s="27" t="s">
        <v>35</v>
      </c>
      <c r="J68" s="27" t="s">
        <v>37</v>
      </c>
      <c r="K68" s="76"/>
      <c r="L68" s="76"/>
    </row>
    <row r="69" spans="1:12" x14ac:dyDescent="0.25">
      <c r="C69" s="11" t="s">
        <v>114</v>
      </c>
      <c r="D69" s="11" t="s">
        <v>115</v>
      </c>
      <c r="E69" s="11" t="s">
        <v>116</v>
      </c>
      <c r="F69" s="34" t="s">
        <v>117</v>
      </c>
      <c r="G69" s="31" t="s">
        <v>42</v>
      </c>
      <c r="H69" s="31" t="s">
        <v>118</v>
      </c>
      <c r="I69" s="31" t="s">
        <v>119</v>
      </c>
    </row>
    <row r="70" spans="1:12" x14ac:dyDescent="0.25">
      <c r="H70" s="11"/>
      <c r="I70" s="11"/>
    </row>
    <row r="71" spans="1:12" ht="13" x14ac:dyDescent="0.3">
      <c r="A71" s="25"/>
      <c r="B71" s="159" t="s">
        <v>48</v>
      </c>
      <c r="C71" s="156" t="s">
        <v>51</v>
      </c>
      <c r="D71" s="157"/>
      <c r="E71" s="158"/>
      <c r="F71" s="77" t="s">
        <v>120</v>
      </c>
      <c r="G71" s="156" t="s">
        <v>121</v>
      </c>
      <c r="H71" s="157"/>
      <c r="I71" s="158"/>
      <c r="J71" s="78" t="s">
        <v>122</v>
      </c>
    </row>
    <row r="72" spans="1:12" ht="13" x14ac:dyDescent="0.3">
      <c r="B72" s="159"/>
      <c r="C72" s="43" t="s">
        <v>52</v>
      </c>
      <c r="D72" s="43" t="s">
        <v>53</v>
      </c>
      <c r="E72" s="43" t="s">
        <v>54</v>
      </c>
      <c r="F72" s="77" t="s">
        <v>123</v>
      </c>
      <c r="G72" s="43" t="s">
        <v>52</v>
      </c>
      <c r="H72" s="43" t="s">
        <v>53</v>
      </c>
      <c r="I72" s="43" t="s">
        <v>54</v>
      </c>
      <c r="J72" s="43" t="s">
        <v>15</v>
      </c>
    </row>
    <row r="73" spans="1:12" ht="13" x14ac:dyDescent="0.3">
      <c r="A73" s="42" t="s">
        <v>12</v>
      </c>
      <c r="B73" s="45" t="s">
        <v>57</v>
      </c>
      <c r="C73" s="26"/>
      <c r="D73" s="26"/>
      <c r="E73" s="26"/>
      <c r="F73" s="79"/>
      <c r="G73" s="26"/>
      <c r="H73" s="26"/>
      <c r="I73" s="26"/>
    </row>
    <row r="74" spans="1:12" ht="13" x14ac:dyDescent="0.3">
      <c r="A74" s="46">
        <f>A64+1</f>
        <v>48</v>
      </c>
      <c r="B74" s="47" t="s">
        <v>58</v>
      </c>
      <c r="C74" s="66">
        <f t="shared" ref="C74:E103" si="13">K11</f>
        <v>5592036.509999997</v>
      </c>
      <c r="D74" s="66">
        <f t="shared" si="13"/>
        <v>1704296.25</v>
      </c>
      <c r="E74" s="66">
        <f t="shared" si="13"/>
        <v>3887740.259999997</v>
      </c>
      <c r="F74" s="80">
        <v>0.39150090415913202</v>
      </c>
      <c r="G74" s="81">
        <f>SUM(H74:I74)</f>
        <v>2189287.3497558758</v>
      </c>
      <c r="H74" s="81">
        <f>D74*F74</f>
        <v>667233.52283001808</v>
      </c>
      <c r="I74" s="81">
        <f>E74*F74</f>
        <v>1522053.8269258579</v>
      </c>
      <c r="J74" s="82" t="s">
        <v>124</v>
      </c>
    </row>
    <row r="75" spans="1:12" ht="13" x14ac:dyDescent="0.3">
      <c r="A75" s="46">
        <f t="shared" ref="A75:A107" si="14">A74+1</f>
        <v>49</v>
      </c>
      <c r="B75" s="47" t="s">
        <v>59</v>
      </c>
      <c r="C75" s="66">
        <f t="shared" si="13"/>
        <v>327014.34999999998</v>
      </c>
      <c r="D75" s="66">
        <f t="shared" si="13"/>
        <v>0</v>
      </c>
      <c r="E75" s="66">
        <f t="shared" si="13"/>
        <v>327014.34999999998</v>
      </c>
      <c r="F75" s="80">
        <v>1</v>
      </c>
      <c r="G75" s="81">
        <f t="shared" ref="G75:G103" si="15">SUM(H75:I75)</f>
        <v>327014.34999999998</v>
      </c>
      <c r="H75" s="81">
        <f t="shared" ref="H75:H103" si="16">D75*F75</f>
        <v>0</v>
      </c>
      <c r="I75" s="81">
        <f t="shared" ref="I75:I103" si="17">E75*F75</f>
        <v>327014.34999999998</v>
      </c>
      <c r="J75" s="83" t="s">
        <v>125</v>
      </c>
    </row>
    <row r="76" spans="1:12" ht="13" x14ac:dyDescent="0.3">
      <c r="A76" s="46">
        <f t="shared" si="14"/>
        <v>50</v>
      </c>
      <c r="B76" s="47" t="s">
        <v>60</v>
      </c>
      <c r="C76" s="66">
        <f t="shared" si="13"/>
        <v>11204661.449999999</v>
      </c>
      <c r="D76" s="66">
        <f t="shared" si="13"/>
        <v>8783127.2899999991</v>
      </c>
      <c r="E76" s="66">
        <f t="shared" si="13"/>
        <v>2421534.16</v>
      </c>
      <c r="F76" s="80">
        <v>0.39150090415913202</v>
      </c>
      <c r="G76" s="81">
        <f t="shared" si="15"/>
        <v>4386635.0884719715</v>
      </c>
      <c r="H76" s="81">
        <f t="shared" si="16"/>
        <v>3438602.2753797467</v>
      </c>
      <c r="I76" s="81">
        <f t="shared" si="17"/>
        <v>948032.8130922243</v>
      </c>
      <c r="J76" s="82" t="s">
        <v>124</v>
      </c>
    </row>
    <row r="77" spans="1:12" ht="13" x14ac:dyDescent="0.3">
      <c r="A77" s="46">
        <f t="shared" si="14"/>
        <v>51</v>
      </c>
      <c r="B77" s="47" t="s">
        <v>61</v>
      </c>
      <c r="C77" s="66">
        <f t="shared" si="13"/>
        <v>3.7252902984619141E-9</v>
      </c>
      <c r="D77" s="66">
        <f t="shared" si="13"/>
        <v>0</v>
      </c>
      <c r="E77" s="66">
        <f t="shared" si="13"/>
        <v>3.7252902984619141E-9</v>
      </c>
      <c r="F77" s="80">
        <v>0</v>
      </c>
      <c r="G77" s="81">
        <f t="shared" si="15"/>
        <v>0</v>
      </c>
      <c r="H77" s="81">
        <f t="shared" si="16"/>
        <v>0</v>
      </c>
      <c r="I77" s="81">
        <f t="shared" si="17"/>
        <v>0</v>
      </c>
      <c r="J77" s="83" t="s">
        <v>126</v>
      </c>
    </row>
    <row r="78" spans="1:12" ht="13" x14ac:dyDescent="0.3">
      <c r="A78" s="46">
        <f t="shared" si="14"/>
        <v>52</v>
      </c>
      <c r="B78" s="47" t="s">
        <v>63</v>
      </c>
      <c r="C78" s="66">
        <f t="shared" si="13"/>
        <v>4387896.2600000007</v>
      </c>
      <c r="D78" s="66">
        <f t="shared" si="13"/>
        <v>3850591.4300000011</v>
      </c>
      <c r="E78" s="66">
        <f t="shared" si="13"/>
        <v>537304.82999999973</v>
      </c>
      <c r="F78" s="80">
        <v>1</v>
      </c>
      <c r="G78" s="81">
        <f t="shared" si="15"/>
        <v>4387896.2600000007</v>
      </c>
      <c r="H78" s="81">
        <f t="shared" si="16"/>
        <v>3850591.4300000011</v>
      </c>
      <c r="I78" s="81">
        <f t="shared" si="17"/>
        <v>537304.82999999973</v>
      </c>
      <c r="J78" s="83" t="s">
        <v>125</v>
      </c>
    </row>
    <row r="79" spans="1:12" ht="13" x14ac:dyDescent="0.3">
      <c r="A79" s="46">
        <f t="shared" si="14"/>
        <v>53</v>
      </c>
      <c r="B79" s="47" t="s">
        <v>64</v>
      </c>
      <c r="C79" s="66">
        <f t="shared" si="13"/>
        <v>21913564.879999995</v>
      </c>
      <c r="D79" s="66">
        <f t="shared" si="13"/>
        <v>17709529.429999996</v>
      </c>
      <c r="E79" s="66">
        <f t="shared" si="13"/>
        <v>4204035.4499999983</v>
      </c>
      <c r="F79" s="80">
        <v>0.39150090415913202</v>
      </c>
      <c r="G79" s="81">
        <f t="shared" si="15"/>
        <v>8579180.4638697989</v>
      </c>
      <c r="H79" s="81">
        <f t="shared" si="16"/>
        <v>6933296.7840777561</v>
      </c>
      <c r="I79" s="81">
        <f t="shared" si="17"/>
        <v>1645883.6797920428</v>
      </c>
      <c r="J79" s="82" t="s">
        <v>124</v>
      </c>
    </row>
    <row r="80" spans="1:12" ht="13" x14ac:dyDescent="0.3">
      <c r="A80" s="46">
        <f t="shared" si="14"/>
        <v>54</v>
      </c>
      <c r="B80" s="47" t="s">
        <v>65</v>
      </c>
      <c r="C80" s="66">
        <f t="shared" si="13"/>
        <v>0</v>
      </c>
      <c r="D80" s="66">
        <f t="shared" si="13"/>
        <v>0</v>
      </c>
      <c r="E80" s="66">
        <f t="shared" si="13"/>
        <v>0</v>
      </c>
      <c r="F80" s="80">
        <v>0</v>
      </c>
      <c r="G80" s="81">
        <f t="shared" si="15"/>
        <v>0</v>
      </c>
      <c r="H80" s="81">
        <f t="shared" si="16"/>
        <v>0</v>
      </c>
      <c r="I80" s="81">
        <f t="shared" si="17"/>
        <v>0</v>
      </c>
      <c r="J80" s="83" t="s">
        <v>126</v>
      </c>
    </row>
    <row r="81" spans="1:11" ht="13" x14ac:dyDescent="0.3">
      <c r="A81" s="46">
        <f t="shared" si="14"/>
        <v>55</v>
      </c>
      <c r="B81" s="47" t="s">
        <v>67</v>
      </c>
      <c r="C81" s="66">
        <f t="shared" si="13"/>
        <v>897733.07000000007</v>
      </c>
      <c r="D81" s="66">
        <f t="shared" si="13"/>
        <v>0</v>
      </c>
      <c r="E81" s="66">
        <f t="shared" si="13"/>
        <v>897733.07000000007</v>
      </c>
      <c r="F81" s="80">
        <v>1</v>
      </c>
      <c r="G81" s="81">
        <f t="shared" si="15"/>
        <v>897733.07000000007</v>
      </c>
      <c r="H81" s="81">
        <f t="shared" si="16"/>
        <v>0</v>
      </c>
      <c r="I81" s="81">
        <f t="shared" si="17"/>
        <v>897733.07000000007</v>
      </c>
      <c r="J81" s="83" t="s">
        <v>125</v>
      </c>
      <c r="K81" s="66"/>
    </row>
    <row r="82" spans="1:11" ht="13" x14ac:dyDescent="0.3">
      <c r="A82" s="46">
        <f t="shared" si="14"/>
        <v>56</v>
      </c>
      <c r="B82" s="47" t="s">
        <v>68</v>
      </c>
      <c r="C82" s="66">
        <f t="shared" si="13"/>
        <v>28018134.260000002</v>
      </c>
      <c r="D82" s="66">
        <f t="shared" si="13"/>
        <v>9283875.8000000007</v>
      </c>
      <c r="E82" s="66">
        <f t="shared" si="13"/>
        <v>18734258.460000001</v>
      </c>
      <c r="F82" s="80">
        <v>0.48527192615206538</v>
      </c>
      <c r="G82" s="81">
        <f t="shared" si="15"/>
        <v>13596413.979537373</v>
      </c>
      <c r="H82" s="81">
        <f t="shared" si="16"/>
        <v>4505204.2916225474</v>
      </c>
      <c r="I82" s="81">
        <f t="shared" si="17"/>
        <v>9091209.687914826</v>
      </c>
      <c r="J82" s="82" t="s">
        <v>127</v>
      </c>
    </row>
    <row r="83" spans="1:11" ht="12.75" customHeight="1" x14ac:dyDescent="0.3">
      <c r="A83" s="46">
        <f t="shared" si="14"/>
        <v>57</v>
      </c>
      <c r="B83" s="47" t="s">
        <v>69</v>
      </c>
      <c r="C83" s="66">
        <f t="shared" si="13"/>
        <v>2464409.13</v>
      </c>
      <c r="D83" s="66">
        <f t="shared" si="13"/>
        <v>2034244.9299999997</v>
      </c>
      <c r="E83" s="66">
        <f t="shared" si="13"/>
        <v>430164.2</v>
      </c>
      <c r="F83" s="80">
        <v>2.0251381649915513E-2</v>
      </c>
      <c r="G83" s="84">
        <f t="shared" si="15"/>
        <v>49907.689833166245</v>
      </c>
      <c r="H83" s="84">
        <f t="shared" si="16"/>
        <v>41196.270446835661</v>
      </c>
      <c r="I83" s="84">
        <f t="shared" si="17"/>
        <v>8711.4193863305863</v>
      </c>
      <c r="J83" s="82" t="s">
        <v>128</v>
      </c>
      <c r="K83" s="66"/>
    </row>
    <row r="84" spans="1:11" ht="13" x14ac:dyDescent="0.3">
      <c r="A84" s="46">
        <f t="shared" si="14"/>
        <v>58</v>
      </c>
      <c r="B84" s="47" t="s">
        <v>70</v>
      </c>
      <c r="C84" s="66">
        <f t="shared" si="13"/>
        <v>0</v>
      </c>
      <c r="D84" s="66">
        <f t="shared" si="13"/>
        <v>0</v>
      </c>
      <c r="E84" s="66">
        <f t="shared" si="13"/>
        <v>0</v>
      </c>
      <c r="F84" s="80">
        <v>1</v>
      </c>
      <c r="G84" s="81">
        <f t="shared" si="15"/>
        <v>0</v>
      </c>
      <c r="H84" s="81">
        <f t="shared" si="16"/>
        <v>0</v>
      </c>
      <c r="I84" s="81">
        <f t="shared" si="17"/>
        <v>0</v>
      </c>
      <c r="J84" s="83" t="s">
        <v>125</v>
      </c>
    </row>
    <row r="85" spans="1:11" ht="13" x14ac:dyDescent="0.3">
      <c r="A85" s="46">
        <f t="shared" si="14"/>
        <v>59</v>
      </c>
      <c r="B85" s="47" t="s">
        <v>71</v>
      </c>
      <c r="C85" s="66">
        <f t="shared" si="13"/>
        <v>0</v>
      </c>
      <c r="D85" s="66">
        <f t="shared" si="13"/>
        <v>0</v>
      </c>
      <c r="E85" s="66">
        <f t="shared" si="13"/>
        <v>0</v>
      </c>
      <c r="F85" s="80">
        <v>0</v>
      </c>
      <c r="G85" s="81">
        <f t="shared" si="15"/>
        <v>0</v>
      </c>
      <c r="H85" s="81">
        <f t="shared" si="16"/>
        <v>0</v>
      </c>
      <c r="I85" s="81">
        <f t="shared" si="17"/>
        <v>0</v>
      </c>
      <c r="J85" s="83" t="s">
        <v>126</v>
      </c>
    </row>
    <row r="86" spans="1:11" ht="13" x14ac:dyDescent="0.3">
      <c r="A86" s="46">
        <f t="shared" si="14"/>
        <v>60</v>
      </c>
      <c r="B86" s="47" t="s">
        <v>73</v>
      </c>
      <c r="C86" s="66">
        <f t="shared" si="13"/>
        <v>328194.69</v>
      </c>
      <c r="D86" s="66">
        <f t="shared" si="13"/>
        <v>0</v>
      </c>
      <c r="E86" s="66">
        <f t="shared" si="13"/>
        <v>328194.69</v>
      </c>
      <c r="F86" s="80">
        <v>0</v>
      </c>
      <c r="G86" s="81">
        <f t="shared" si="15"/>
        <v>0</v>
      </c>
      <c r="H86" s="81">
        <f t="shared" si="16"/>
        <v>0</v>
      </c>
      <c r="I86" s="81">
        <f t="shared" si="17"/>
        <v>0</v>
      </c>
      <c r="J86" s="83" t="s">
        <v>126</v>
      </c>
    </row>
    <row r="87" spans="1:11" ht="13" x14ac:dyDescent="0.3">
      <c r="A87" s="46">
        <f t="shared" si="14"/>
        <v>61</v>
      </c>
      <c r="B87" s="47" t="s">
        <v>74</v>
      </c>
      <c r="C87" s="66">
        <f t="shared" si="13"/>
        <v>39514738.449999958</v>
      </c>
      <c r="D87" s="66">
        <f t="shared" si="13"/>
        <v>25237813.499999989</v>
      </c>
      <c r="E87" s="66">
        <f t="shared" si="13"/>
        <v>14276924.949999973</v>
      </c>
      <c r="F87" s="80">
        <v>0.39150090415913202</v>
      </c>
      <c r="G87" s="81">
        <f t="shared" si="15"/>
        <v>15470055.830786604</v>
      </c>
      <c r="H87" s="81">
        <f t="shared" si="16"/>
        <v>9880626.8042495437</v>
      </c>
      <c r="I87" s="81">
        <f t="shared" si="17"/>
        <v>5589429.0265370598</v>
      </c>
      <c r="J87" s="82" t="s">
        <v>124</v>
      </c>
      <c r="K87" s="66"/>
    </row>
    <row r="88" spans="1:11" ht="13" x14ac:dyDescent="0.3">
      <c r="A88" s="46">
        <f t="shared" si="14"/>
        <v>62</v>
      </c>
      <c r="B88" s="47" t="s">
        <v>76</v>
      </c>
      <c r="C88" s="66">
        <f t="shared" si="13"/>
        <v>5940.4500000107291</v>
      </c>
      <c r="D88" s="66">
        <f t="shared" si="13"/>
        <v>1.93</v>
      </c>
      <c r="E88" s="66">
        <f t="shared" si="13"/>
        <v>5938.5200000107288</v>
      </c>
      <c r="F88" s="80">
        <v>0</v>
      </c>
      <c r="G88" s="81">
        <f t="shared" si="15"/>
        <v>0</v>
      </c>
      <c r="H88" s="81">
        <f t="shared" si="16"/>
        <v>0</v>
      </c>
      <c r="I88" s="81">
        <f t="shared" si="17"/>
        <v>0</v>
      </c>
      <c r="J88" s="83" t="s">
        <v>126</v>
      </c>
    </row>
    <row r="89" spans="1:11" ht="13" x14ac:dyDescent="0.3">
      <c r="A89" s="46">
        <f t="shared" si="14"/>
        <v>63</v>
      </c>
      <c r="B89" s="47" t="s">
        <v>78</v>
      </c>
      <c r="C89" s="66">
        <f t="shared" si="13"/>
        <v>1837842.7800000003</v>
      </c>
      <c r="D89" s="66">
        <f t="shared" si="13"/>
        <v>1357.1</v>
      </c>
      <c r="E89" s="66">
        <f t="shared" si="13"/>
        <v>1836485.6800000002</v>
      </c>
      <c r="F89" s="80">
        <v>1</v>
      </c>
      <c r="G89" s="81">
        <f t="shared" si="15"/>
        <v>1837842.7800000003</v>
      </c>
      <c r="H89" s="81">
        <f t="shared" si="16"/>
        <v>1357.1</v>
      </c>
      <c r="I89" s="81">
        <f t="shared" si="17"/>
        <v>1836485.6800000002</v>
      </c>
      <c r="J89" s="83" t="s">
        <v>125</v>
      </c>
    </row>
    <row r="90" spans="1:11" ht="13" x14ac:dyDescent="0.3">
      <c r="A90" s="46">
        <f t="shared" si="14"/>
        <v>64</v>
      </c>
      <c r="B90" s="47" t="s">
        <v>79</v>
      </c>
      <c r="C90" s="66">
        <f t="shared" si="13"/>
        <v>18078216.079999998</v>
      </c>
      <c r="D90" s="66">
        <f t="shared" si="13"/>
        <v>56956.160000000018</v>
      </c>
      <c r="E90" s="66">
        <f t="shared" si="13"/>
        <v>18021259.919999998</v>
      </c>
      <c r="F90" s="80">
        <v>0.48527192615206538</v>
      </c>
      <c r="G90" s="81">
        <f t="shared" si="15"/>
        <v>8772850.7385348398</v>
      </c>
      <c r="H90" s="81">
        <f t="shared" si="16"/>
        <v>27639.22546942523</v>
      </c>
      <c r="I90" s="81">
        <f t="shared" si="17"/>
        <v>8745211.5130654145</v>
      </c>
      <c r="J90" s="82" t="s">
        <v>127</v>
      </c>
      <c r="K90" s="66"/>
    </row>
    <row r="91" spans="1:11" ht="13" x14ac:dyDescent="0.3">
      <c r="A91" s="46">
        <f t="shared" si="14"/>
        <v>65</v>
      </c>
      <c r="B91" s="47" t="s">
        <v>80</v>
      </c>
      <c r="C91" s="66">
        <f t="shared" si="13"/>
        <v>90937.450000000012</v>
      </c>
      <c r="D91" s="66">
        <f t="shared" si="13"/>
        <v>0</v>
      </c>
      <c r="E91" s="66">
        <f t="shared" si="13"/>
        <v>90937.450000000012</v>
      </c>
      <c r="F91" s="80">
        <v>1</v>
      </c>
      <c r="G91" s="81">
        <f t="shared" si="15"/>
        <v>90937.450000000012</v>
      </c>
      <c r="H91" s="81">
        <f t="shared" si="16"/>
        <v>0</v>
      </c>
      <c r="I91" s="81">
        <f t="shared" si="17"/>
        <v>90937.450000000012</v>
      </c>
      <c r="J91" s="83" t="s">
        <v>125</v>
      </c>
    </row>
    <row r="92" spans="1:11" ht="13" x14ac:dyDescent="0.3">
      <c r="A92" s="46">
        <f t="shared" si="14"/>
        <v>66</v>
      </c>
      <c r="B92" s="47" t="s">
        <v>81</v>
      </c>
      <c r="C92" s="66">
        <f t="shared" si="13"/>
        <v>272401.53000000003</v>
      </c>
      <c r="D92" s="66">
        <f t="shared" si="13"/>
        <v>0</v>
      </c>
      <c r="E92" s="66">
        <f t="shared" si="13"/>
        <v>272401.53000000003</v>
      </c>
      <c r="F92" s="80">
        <v>1</v>
      </c>
      <c r="G92" s="81">
        <f t="shared" si="15"/>
        <v>272401.53000000003</v>
      </c>
      <c r="H92" s="81">
        <f t="shared" si="16"/>
        <v>0</v>
      </c>
      <c r="I92" s="81">
        <f t="shared" si="17"/>
        <v>272401.53000000003</v>
      </c>
      <c r="J92" s="83" t="s">
        <v>125</v>
      </c>
    </row>
    <row r="93" spans="1:11" ht="13" x14ac:dyDescent="0.3">
      <c r="A93" s="46">
        <f t="shared" si="14"/>
        <v>67</v>
      </c>
      <c r="B93" s="47" t="s">
        <v>82</v>
      </c>
      <c r="C93" s="66">
        <f t="shared" si="13"/>
        <v>1458163.1499999997</v>
      </c>
      <c r="D93" s="66">
        <f t="shared" si="13"/>
        <v>1254264.2799999996</v>
      </c>
      <c r="E93" s="66">
        <f t="shared" si="13"/>
        <v>203898.87000000008</v>
      </c>
      <c r="F93" s="80">
        <v>0.39150090415913202</v>
      </c>
      <c r="G93" s="81">
        <f t="shared" si="15"/>
        <v>570872.19163652789</v>
      </c>
      <c r="H93" s="81">
        <f t="shared" si="16"/>
        <v>491045.59967450256</v>
      </c>
      <c r="I93" s="81">
        <f t="shared" si="17"/>
        <v>79826.591962025355</v>
      </c>
      <c r="J93" s="82" t="s">
        <v>124</v>
      </c>
    </row>
    <row r="94" spans="1:11" ht="13" x14ac:dyDescent="0.3">
      <c r="A94" s="46">
        <f t="shared" si="14"/>
        <v>68</v>
      </c>
      <c r="B94" s="47" t="s">
        <v>83</v>
      </c>
      <c r="C94" s="66">
        <f t="shared" si="13"/>
        <v>385256.73</v>
      </c>
      <c r="D94" s="66">
        <f t="shared" si="13"/>
        <v>0</v>
      </c>
      <c r="E94" s="66">
        <f t="shared" si="13"/>
        <v>385256.73</v>
      </c>
      <c r="F94" s="80">
        <v>1</v>
      </c>
      <c r="G94" s="81">
        <f t="shared" si="15"/>
        <v>385256.73</v>
      </c>
      <c r="H94" s="81">
        <f t="shared" si="16"/>
        <v>0</v>
      </c>
      <c r="I94" s="81">
        <f t="shared" si="17"/>
        <v>385256.73</v>
      </c>
      <c r="J94" s="83" t="s">
        <v>125</v>
      </c>
      <c r="K94" s="66"/>
    </row>
    <row r="95" spans="1:11" ht="13" x14ac:dyDescent="0.3">
      <c r="A95" s="46">
        <f t="shared" si="14"/>
        <v>69</v>
      </c>
      <c r="B95" s="47" t="s">
        <v>84</v>
      </c>
      <c r="C95" s="66">
        <f t="shared" si="13"/>
        <v>2260987.1600000011</v>
      </c>
      <c r="D95" s="66">
        <f t="shared" si="13"/>
        <v>5125.880000000001</v>
      </c>
      <c r="E95" s="66">
        <f t="shared" si="13"/>
        <v>2255861.2800000012</v>
      </c>
      <c r="F95" s="80">
        <v>0.39150090415913202</v>
      </c>
      <c r="G95" s="81">
        <f t="shared" si="15"/>
        <v>885178.51743218862</v>
      </c>
      <c r="H95" s="81">
        <f t="shared" si="16"/>
        <v>2006.786654611212</v>
      </c>
      <c r="I95" s="81">
        <f t="shared" si="17"/>
        <v>883171.73077757738</v>
      </c>
      <c r="J95" s="82" t="s">
        <v>124</v>
      </c>
    </row>
    <row r="96" spans="1:11" ht="13" x14ac:dyDescent="0.3">
      <c r="A96" s="46">
        <f t="shared" si="14"/>
        <v>70</v>
      </c>
      <c r="B96" s="47" t="s">
        <v>86</v>
      </c>
      <c r="C96" s="66">
        <f t="shared" si="13"/>
        <v>381983.22</v>
      </c>
      <c r="D96" s="66">
        <f t="shared" si="13"/>
        <v>0</v>
      </c>
      <c r="E96" s="66">
        <f t="shared" si="13"/>
        <v>381983.22</v>
      </c>
      <c r="F96" s="80">
        <v>1</v>
      </c>
      <c r="G96" s="81">
        <f t="shared" si="15"/>
        <v>381983.22</v>
      </c>
      <c r="H96" s="81">
        <f t="shared" si="16"/>
        <v>0</v>
      </c>
      <c r="I96" s="81">
        <f t="shared" si="17"/>
        <v>381983.22</v>
      </c>
      <c r="J96" s="83" t="s">
        <v>125</v>
      </c>
    </row>
    <row r="97" spans="1:11" ht="13" x14ac:dyDescent="0.3">
      <c r="A97" s="46">
        <f t="shared" si="14"/>
        <v>71</v>
      </c>
      <c r="B97" s="47" t="s">
        <v>87</v>
      </c>
      <c r="C97" s="66">
        <f t="shared" si="13"/>
        <v>7733142.4699999988</v>
      </c>
      <c r="D97" s="66">
        <f t="shared" si="13"/>
        <v>3743306.7</v>
      </c>
      <c r="E97" s="66">
        <f t="shared" si="13"/>
        <v>3989835.7699999986</v>
      </c>
      <c r="F97" s="80">
        <v>0.39150090415913202</v>
      </c>
      <c r="G97" s="81">
        <f t="shared" si="15"/>
        <v>3027532.2689963831</v>
      </c>
      <c r="H97" s="81">
        <f t="shared" si="16"/>
        <v>1465507.9575949369</v>
      </c>
      <c r="I97" s="81">
        <f t="shared" si="17"/>
        <v>1562024.3114014461</v>
      </c>
      <c r="J97" s="82" t="s">
        <v>124</v>
      </c>
    </row>
    <row r="98" spans="1:11" ht="13" x14ac:dyDescent="0.3">
      <c r="A98" s="46">
        <f t="shared" si="14"/>
        <v>72</v>
      </c>
      <c r="B98" s="47" t="s">
        <v>88</v>
      </c>
      <c r="C98" s="66">
        <f t="shared" si="13"/>
        <v>1857443.9600000002</v>
      </c>
      <c r="D98" s="66">
        <f t="shared" si="13"/>
        <v>0</v>
      </c>
      <c r="E98" s="66">
        <f t="shared" si="13"/>
        <v>1857443.9600000002</v>
      </c>
      <c r="F98" s="80">
        <v>1</v>
      </c>
      <c r="G98" s="81">
        <f t="shared" si="15"/>
        <v>1857443.9600000002</v>
      </c>
      <c r="H98" s="81">
        <f t="shared" si="16"/>
        <v>0</v>
      </c>
      <c r="I98" s="81">
        <f t="shared" si="17"/>
        <v>1857443.9600000002</v>
      </c>
      <c r="J98" s="83" t="s">
        <v>125</v>
      </c>
    </row>
    <row r="99" spans="1:11" ht="13" x14ac:dyDescent="0.3">
      <c r="A99" s="46">
        <f t="shared" si="14"/>
        <v>73</v>
      </c>
      <c r="B99" s="47" t="s">
        <v>89</v>
      </c>
      <c r="C99" s="66">
        <f t="shared" si="13"/>
        <v>69151434.650000036</v>
      </c>
      <c r="D99" s="66">
        <f t="shared" si="13"/>
        <v>12193526.199999996</v>
      </c>
      <c r="E99" s="66">
        <f t="shared" si="13"/>
        <v>56957908.45000004</v>
      </c>
      <c r="F99" s="80">
        <v>0.48527192615206538</v>
      </c>
      <c r="G99" s="81">
        <f t="shared" si="15"/>
        <v>33557249.888784193</v>
      </c>
      <c r="H99" s="81">
        <f t="shared" si="16"/>
        <v>5917175.9456596719</v>
      </c>
      <c r="I99" s="81">
        <f t="shared" si="17"/>
        <v>27640073.943124522</v>
      </c>
      <c r="J99" s="82" t="s">
        <v>127</v>
      </c>
    </row>
    <row r="100" spans="1:11" ht="13" x14ac:dyDescent="0.3">
      <c r="A100" s="46">
        <f t="shared" si="14"/>
        <v>74</v>
      </c>
      <c r="B100" s="47" t="s">
        <v>90</v>
      </c>
      <c r="C100" s="66">
        <f t="shared" si="13"/>
        <v>555768.00999999989</v>
      </c>
      <c r="D100" s="66">
        <f t="shared" si="13"/>
        <v>0</v>
      </c>
      <c r="E100" s="66">
        <f t="shared" si="13"/>
        <v>555768.00999999989</v>
      </c>
      <c r="F100" s="80">
        <v>1</v>
      </c>
      <c r="G100" s="81">
        <f t="shared" si="15"/>
        <v>555768.00999999989</v>
      </c>
      <c r="H100" s="81">
        <f t="shared" si="16"/>
        <v>0</v>
      </c>
      <c r="I100" s="81">
        <f t="shared" si="17"/>
        <v>555768.00999999989</v>
      </c>
      <c r="J100" s="83" t="s">
        <v>125</v>
      </c>
    </row>
    <row r="101" spans="1:11" ht="13" x14ac:dyDescent="0.3">
      <c r="A101" s="46">
        <f t="shared" si="14"/>
        <v>75</v>
      </c>
      <c r="B101" s="47" t="s">
        <v>91</v>
      </c>
      <c r="C101" s="66">
        <f t="shared" si="13"/>
        <v>374848.77</v>
      </c>
      <c r="D101" s="66">
        <f t="shared" si="13"/>
        <v>165668.56999999998</v>
      </c>
      <c r="E101" s="66">
        <f t="shared" si="13"/>
        <v>209180.2</v>
      </c>
      <c r="F101" s="80">
        <v>2.0251381649915513E-2</v>
      </c>
      <c r="G101" s="81">
        <f t="shared" si="15"/>
        <v>7591.2055022714003</v>
      </c>
      <c r="H101" s="81">
        <f t="shared" si="16"/>
        <v>3355.017438465743</v>
      </c>
      <c r="I101" s="81">
        <f t="shared" si="17"/>
        <v>4236.1880638056573</v>
      </c>
      <c r="J101" s="82" t="s">
        <v>128</v>
      </c>
    </row>
    <row r="102" spans="1:11" ht="13" x14ac:dyDescent="0.3">
      <c r="A102" s="46">
        <f t="shared" si="14"/>
        <v>76</v>
      </c>
      <c r="B102" s="47" t="s">
        <v>92</v>
      </c>
      <c r="C102" s="66">
        <f t="shared" si="13"/>
        <v>5003.33</v>
      </c>
      <c r="D102" s="66">
        <f t="shared" si="13"/>
        <v>0</v>
      </c>
      <c r="E102" s="66">
        <f t="shared" si="13"/>
        <v>5003.33</v>
      </c>
      <c r="F102" s="80">
        <v>1</v>
      </c>
      <c r="G102" s="81">
        <f t="shared" si="15"/>
        <v>5003.33</v>
      </c>
      <c r="H102" s="81">
        <f t="shared" si="16"/>
        <v>0</v>
      </c>
      <c r="I102" s="81">
        <f t="shared" si="17"/>
        <v>5003.33</v>
      </c>
      <c r="J102" s="83" t="s">
        <v>125</v>
      </c>
    </row>
    <row r="103" spans="1:11" ht="13" x14ac:dyDescent="0.3">
      <c r="A103" s="46">
        <f t="shared" si="14"/>
        <v>77</v>
      </c>
      <c r="B103" s="47" t="s">
        <v>93</v>
      </c>
      <c r="C103" s="66">
        <f t="shared" si="13"/>
        <v>1259173.3900000001</v>
      </c>
      <c r="D103" s="66">
        <f t="shared" si="13"/>
        <v>933258.49000000011</v>
      </c>
      <c r="E103" s="66">
        <f t="shared" si="13"/>
        <v>325914.90000000002</v>
      </c>
      <c r="F103" s="80">
        <v>0.39150090415913202</v>
      </c>
      <c r="G103" s="81">
        <f t="shared" si="15"/>
        <v>492967.52067811944</v>
      </c>
      <c r="H103" s="81">
        <f t="shared" si="16"/>
        <v>365371.54264918633</v>
      </c>
      <c r="I103" s="81">
        <f t="shared" si="17"/>
        <v>127595.97802893311</v>
      </c>
      <c r="J103" s="82" t="s">
        <v>124</v>
      </c>
    </row>
    <row r="104" spans="1:11" ht="13" x14ac:dyDescent="0.3">
      <c r="A104" s="46">
        <f t="shared" si="14"/>
        <v>78</v>
      </c>
      <c r="B104" s="47" t="s">
        <v>94</v>
      </c>
      <c r="C104" s="85" t="s">
        <v>95</v>
      </c>
      <c r="D104" s="85" t="s">
        <v>95</v>
      </c>
      <c r="E104" s="85" t="s">
        <v>95</v>
      </c>
      <c r="F104" s="85" t="s">
        <v>95</v>
      </c>
      <c r="G104" s="85" t="s">
        <v>95</v>
      </c>
      <c r="H104" s="85" t="s">
        <v>95</v>
      </c>
      <c r="I104" s="85" t="s">
        <v>95</v>
      </c>
    </row>
    <row r="105" spans="1:11" ht="13" x14ac:dyDescent="0.3">
      <c r="A105" s="46">
        <f t="shared" si="14"/>
        <v>79</v>
      </c>
      <c r="B105" s="47" t="s">
        <v>129</v>
      </c>
      <c r="C105" s="69">
        <f>K42</f>
        <v>-2224263.1941172266</v>
      </c>
      <c r="D105" s="69">
        <f>L42</f>
        <v>-2224263.1941172266</v>
      </c>
      <c r="E105" s="69">
        <f>M42</f>
        <v>0</v>
      </c>
      <c r="F105" s="86"/>
      <c r="G105" s="87">
        <f>SUM(H105:I105)</f>
        <v>-961516.33216903231</v>
      </c>
      <c r="H105" s="87">
        <f>D105*C149</f>
        <v>-961516.33216903231</v>
      </c>
      <c r="I105" s="87">
        <v>0</v>
      </c>
    </row>
    <row r="106" spans="1:11" ht="13" x14ac:dyDescent="0.3">
      <c r="A106" s="46">
        <f t="shared" si="14"/>
        <v>80</v>
      </c>
      <c r="B106" s="25" t="s">
        <v>130</v>
      </c>
      <c r="C106" s="65">
        <f>SUM(C74:C105)</f>
        <v>218132662.98588276</v>
      </c>
      <c r="D106" s="65">
        <f>SUM(D74:D105)</f>
        <v>84732680.74588275</v>
      </c>
      <c r="E106" s="65">
        <f>SUM(E74:E105)</f>
        <v>133399982.24000002</v>
      </c>
      <c r="F106" s="88"/>
      <c r="G106" s="65">
        <f>SUM(G74:G105)</f>
        <v>101623487.09165026</v>
      </c>
      <c r="H106" s="65">
        <f>SUM(H74:H105)</f>
        <v>36628694.221578218</v>
      </c>
      <c r="I106" s="65">
        <f>SUM(I74:I105)</f>
        <v>64994792.870072059</v>
      </c>
      <c r="K106" s="66"/>
    </row>
    <row r="107" spans="1:11" ht="13" x14ac:dyDescent="0.3">
      <c r="A107" s="46">
        <f t="shared" si="14"/>
        <v>81</v>
      </c>
      <c r="C107" s="66"/>
      <c r="D107" s="66"/>
      <c r="E107" s="66"/>
      <c r="F107" s="88"/>
      <c r="G107" s="80"/>
      <c r="H107" s="81"/>
      <c r="I107" s="81"/>
      <c r="J107" s="81"/>
      <c r="K107" s="66"/>
    </row>
    <row r="108" spans="1:11" ht="13" x14ac:dyDescent="0.3">
      <c r="A108" s="46"/>
      <c r="B108" s="25"/>
      <c r="C108" s="89"/>
      <c r="D108" s="89"/>
      <c r="E108" s="89"/>
      <c r="F108" s="90"/>
      <c r="G108" s="91"/>
      <c r="H108" s="89"/>
      <c r="I108" s="89"/>
      <c r="J108" s="89"/>
    </row>
    <row r="109" spans="1:11" ht="13" x14ac:dyDescent="0.3">
      <c r="A109" s="46"/>
      <c r="B109" s="76" t="s">
        <v>28</v>
      </c>
      <c r="C109" s="27" t="s">
        <v>29</v>
      </c>
      <c r="D109" s="27" t="s">
        <v>30</v>
      </c>
      <c r="E109" s="27" t="s">
        <v>31</v>
      </c>
      <c r="F109" s="27" t="s">
        <v>32</v>
      </c>
      <c r="G109" s="27" t="s">
        <v>33</v>
      </c>
      <c r="H109" s="27" t="s">
        <v>34</v>
      </c>
      <c r="I109" s="27" t="s">
        <v>35</v>
      </c>
      <c r="J109" s="27" t="s">
        <v>37</v>
      </c>
    </row>
    <row r="110" spans="1:11" ht="13" x14ac:dyDescent="0.3">
      <c r="A110" s="46"/>
      <c r="C110" s="11" t="s">
        <v>114</v>
      </c>
      <c r="D110" s="11" t="s">
        <v>115</v>
      </c>
      <c r="E110" s="11" t="s">
        <v>116</v>
      </c>
      <c r="F110" s="34" t="s">
        <v>117</v>
      </c>
      <c r="G110" s="31" t="s">
        <v>42</v>
      </c>
      <c r="H110" s="31" t="s">
        <v>118</v>
      </c>
      <c r="I110" s="31" t="s">
        <v>119</v>
      </c>
    </row>
    <row r="111" spans="1:11" ht="13" x14ac:dyDescent="0.3">
      <c r="A111" s="46"/>
      <c r="H111" s="11"/>
      <c r="I111" s="11"/>
    </row>
    <row r="112" spans="1:11" ht="13" x14ac:dyDescent="0.3">
      <c r="A112" s="46"/>
      <c r="B112" s="159" t="s">
        <v>48</v>
      </c>
      <c r="C112" s="156" t="s">
        <v>51</v>
      </c>
      <c r="D112" s="157"/>
      <c r="E112" s="158"/>
      <c r="F112" s="77" t="s">
        <v>120</v>
      </c>
      <c r="G112" s="156" t="s">
        <v>121</v>
      </c>
      <c r="H112" s="157"/>
      <c r="I112" s="158"/>
      <c r="J112" s="78" t="s">
        <v>122</v>
      </c>
    </row>
    <row r="113" spans="1:10" ht="13" x14ac:dyDescent="0.3">
      <c r="A113" s="46"/>
      <c r="B113" s="159"/>
      <c r="C113" s="43" t="s">
        <v>52</v>
      </c>
      <c r="D113" s="43" t="s">
        <v>53</v>
      </c>
      <c r="E113" s="43" t="s">
        <v>54</v>
      </c>
      <c r="F113" s="77" t="s">
        <v>123</v>
      </c>
      <c r="G113" s="43" t="s">
        <v>52</v>
      </c>
      <c r="H113" s="43" t="s">
        <v>53</v>
      </c>
      <c r="I113" s="43" t="s">
        <v>54</v>
      </c>
      <c r="J113" s="43" t="s">
        <v>15</v>
      </c>
    </row>
    <row r="114" spans="1:10" ht="12.75" customHeight="1" x14ac:dyDescent="0.3">
      <c r="A114" s="46"/>
      <c r="B114" s="45" t="s">
        <v>99</v>
      </c>
      <c r="C114" s="66"/>
      <c r="D114" s="66"/>
      <c r="E114" s="66"/>
      <c r="F114" s="88"/>
      <c r="G114" s="80"/>
      <c r="H114" s="81"/>
      <c r="I114" s="81"/>
      <c r="J114" s="81"/>
    </row>
    <row r="115" spans="1:10" ht="12.75" customHeight="1" x14ac:dyDescent="0.3">
      <c r="A115" s="46">
        <f>A107+1</f>
        <v>82</v>
      </c>
      <c r="B115" s="47" t="s">
        <v>100</v>
      </c>
      <c r="C115" s="66">
        <f t="shared" ref="C115:E120" si="18">J52</f>
        <v>33503824.949999996</v>
      </c>
      <c r="D115" s="66">
        <f t="shared" si="18"/>
        <v>26319020.369999997</v>
      </c>
      <c r="E115" s="66">
        <f t="shared" si="18"/>
        <v>7184804.5799999963</v>
      </c>
      <c r="F115" s="80">
        <v>0</v>
      </c>
      <c r="G115" s="81">
        <f>SUM(H115:I115)</f>
        <v>0</v>
      </c>
      <c r="H115" s="81">
        <f>D115*F115</f>
        <v>0</v>
      </c>
      <c r="I115" s="81">
        <f>E115*F115</f>
        <v>0</v>
      </c>
      <c r="J115" s="82" t="s">
        <v>131</v>
      </c>
    </row>
    <row r="116" spans="1:10" ht="12.75" customHeight="1" x14ac:dyDescent="0.3">
      <c r="A116" s="46">
        <f t="shared" ref="A116:A124" si="19">A115+1</f>
        <v>83</v>
      </c>
      <c r="B116" s="47" t="s">
        <v>101</v>
      </c>
      <c r="C116" s="66">
        <f t="shared" si="18"/>
        <v>1448907.4299999997</v>
      </c>
      <c r="D116" s="66">
        <f t="shared" si="18"/>
        <v>1253042.4299999997</v>
      </c>
      <c r="E116" s="66">
        <f t="shared" si="18"/>
        <v>195865.00000000012</v>
      </c>
      <c r="F116" s="80">
        <v>0</v>
      </c>
      <c r="G116" s="81">
        <f>SUM(H116:I116)</f>
        <v>0</v>
      </c>
      <c r="H116" s="81">
        <f t="shared" ref="H116:H119" si="20">D116*F116</f>
        <v>0</v>
      </c>
      <c r="I116" s="81">
        <f t="shared" ref="I116:I119" si="21">E116*F116</f>
        <v>0</v>
      </c>
      <c r="J116" s="82" t="s">
        <v>131</v>
      </c>
    </row>
    <row r="117" spans="1:10" ht="12.75" customHeight="1" x14ac:dyDescent="0.3">
      <c r="A117" s="46">
        <f t="shared" si="19"/>
        <v>84</v>
      </c>
      <c r="B117" s="47" t="s">
        <v>102</v>
      </c>
      <c r="C117" s="66">
        <f t="shared" si="18"/>
        <v>96984.790000000008</v>
      </c>
      <c r="D117" s="66">
        <f t="shared" si="18"/>
        <v>25892.579999999994</v>
      </c>
      <c r="E117" s="66">
        <f t="shared" si="18"/>
        <v>71092.210000000006</v>
      </c>
      <c r="F117" s="80">
        <v>0</v>
      </c>
      <c r="G117" s="81">
        <f t="shared" ref="G117:G119" si="22">SUM(H117:I117)</f>
        <v>0</v>
      </c>
      <c r="H117" s="81">
        <f t="shared" si="20"/>
        <v>0</v>
      </c>
      <c r="I117" s="81">
        <f t="shared" si="21"/>
        <v>0</v>
      </c>
      <c r="J117" s="82" t="s">
        <v>131</v>
      </c>
    </row>
    <row r="118" spans="1:10" ht="12.75" customHeight="1" x14ac:dyDescent="0.3">
      <c r="A118" s="46">
        <f t="shared" si="19"/>
        <v>85</v>
      </c>
      <c r="B118" s="47" t="s">
        <v>103</v>
      </c>
      <c r="C118" s="66">
        <f t="shared" si="18"/>
        <v>5796388.1300000018</v>
      </c>
      <c r="D118" s="66">
        <f t="shared" si="18"/>
        <v>4323216.540000001</v>
      </c>
      <c r="E118" s="66">
        <f t="shared" si="18"/>
        <v>1473171.5900000008</v>
      </c>
      <c r="F118" s="80">
        <v>0</v>
      </c>
      <c r="G118" s="81">
        <f t="shared" si="22"/>
        <v>0</v>
      </c>
      <c r="H118" s="81">
        <f t="shared" si="20"/>
        <v>0</v>
      </c>
      <c r="I118" s="81">
        <f t="shared" si="21"/>
        <v>0</v>
      </c>
      <c r="J118" s="82" t="s">
        <v>131</v>
      </c>
    </row>
    <row r="119" spans="1:10" ht="12.75" customHeight="1" x14ac:dyDescent="0.25">
      <c r="A119" s="92">
        <f t="shared" si="19"/>
        <v>86</v>
      </c>
      <c r="B119" s="93" t="s">
        <v>104</v>
      </c>
      <c r="C119" s="94">
        <f t="shared" si="18"/>
        <v>862851965.7299993</v>
      </c>
      <c r="D119" s="95">
        <f t="shared" si="18"/>
        <v>247961464.64000058</v>
      </c>
      <c r="E119" s="95">
        <f t="shared" si="18"/>
        <v>614890501.08999872</v>
      </c>
      <c r="F119" s="96">
        <v>0</v>
      </c>
      <c r="G119" s="81">
        <f t="shared" si="22"/>
        <v>0</v>
      </c>
      <c r="H119" s="81">
        <f t="shared" si="20"/>
        <v>0</v>
      </c>
      <c r="I119" s="81">
        <f t="shared" si="21"/>
        <v>0</v>
      </c>
      <c r="J119" s="97" t="s">
        <v>126</v>
      </c>
    </row>
    <row r="120" spans="1:10" ht="12.75" customHeight="1" x14ac:dyDescent="0.3">
      <c r="A120" s="46">
        <f t="shared" si="19"/>
        <v>87</v>
      </c>
      <c r="B120" s="47" t="s">
        <v>132</v>
      </c>
      <c r="C120" s="69">
        <f t="shared" si="18"/>
        <v>-7137953.6202013632</v>
      </c>
      <c r="D120" s="69">
        <f t="shared" si="18"/>
        <v>-7137953.6202013632</v>
      </c>
      <c r="E120" s="69">
        <f t="shared" si="18"/>
        <v>0</v>
      </c>
      <c r="F120" s="98">
        <v>0</v>
      </c>
      <c r="G120" s="87">
        <f>SUM(H120:I120)</f>
        <v>0</v>
      </c>
      <c r="H120" s="87">
        <f>D120*F120</f>
        <v>0</v>
      </c>
      <c r="I120" s="87">
        <f>E120*F120</f>
        <v>0</v>
      </c>
      <c r="J120" s="99" t="s">
        <v>126</v>
      </c>
    </row>
    <row r="121" spans="1:10" ht="13" x14ac:dyDescent="0.3">
      <c r="A121" s="46">
        <f t="shared" si="19"/>
        <v>88</v>
      </c>
      <c r="B121" s="25" t="s">
        <v>133</v>
      </c>
      <c r="C121" s="66">
        <f>SUM(C115:C120)</f>
        <v>896560117.40979791</v>
      </c>
      <c r="D121" s="66">
        <f>SUM(D115:D120)</f>
        <v>272744682.93979925</v>
      </c>
      <c r="E121" s="66">
        <f>SUM(E115:E120)</f>
        <v>623815434.46999872</v>
      </c>
      <c r="F121" s="90"/>
      <c r="G121" s="65">
        <f>SUM(G115:G120)</f>
        <v>0</v>
      </c>
      <c r="H121" s="65">
        <f>SUM(H115:H120)</f>
        <v>0</v>
      </c>
      <c r="I121" s="65">
        <f>SUM(I115:I120)</f>
        <v>0</v>
      </c>
    </row>
    <row r="122" spans="1:10" ht="13" x14ac:dyDescent="0.3">
      <c r="A122" s="46">
        <f t="shared" si="19"/>
        <v>89</v>
      </c>
      <c r="B122" s="100"/>
      <c r="C122" s="101"/>
      <c r="D122" s="101"/>
      <c r="E122" s="101"/>
      <c r="F122" s="102"/>
      <c r="G122" s="103"/>
      <c r="H122" s="104"/>
      <c r="I122" s="103"/>
      <c r="J122" s="105"/>
    </row>
    <row r="123" spans="1:10" ht="13" x14ac:dyDescent="0.3">
      <c r="A123" s="46">
        <f t="shared" si="19"/>
        <v>90</v>
      </c>
      <c r="C123" s="66"/>
      <c r="D123" s="66"/>
      <c r="E123" s="66"/>
      <c r="F123" s="88"/>
      <c r="G123" s="81"/>
      <c r="H123" s="81"/>
      <c r="I123" s="81"/>
    </row>
    <row r="124" spans="1:10" ht="13" x14ac:dyDescent="0.3">
      <c r="A124" s="46">
        <f t="shared" si="19"/>
        <v>91</v>
      </c>
      <c r="B124" s="25" t="s">
        <v>134</v>
      </c>
      <c r="C124" s="66">
        <f>+C106+C121</f>
        <v>1114692780.3956807</v>
      </c>
      <c r="D124" s="66">
        <f>+D106+D121</f>
        <v>357477363.685682</v>
      </c>
      <c r="E124" s="66">
        <f>+E106+E121</f>
        <v>757215416.70999873</v>
      </c>
      <c r="F124" s="26"/>
      <c r="G124" s="81">
        <f>+G106+G121</f>
        <v>101623487.09165026</v>
      </c>
      <c r="H124" s="66">
        <f>+H106+H121</f>
        <v>36628694.221578218</v>
      </c>
      <c r="I124" s="66">
        <f>+I106+I121</f>
        <v>64994792.870072059</v>
      </c>
    </row>
    <row r="125" spans="1:10" ht="13" x14ac:dyDescent="0.3">
      <c r="A125" s="46">
        <f>A124+1</f>
        <v>92</v>
      </c>
      <c r="B125" s="11" t="str">
        <f>"Line "&amp;A106&amp;" + Line "&amp;A121&amp;""</f>
        <v>Line 80 + Line 88</v>
      </c>
      <c r="C125" s="101"/>
      <c r="D125" s="101"/>
      <c r="E125" s="101"/>
      <c r="F125" s="101"/>
      <c r="G125" s="101"/>
      <c r="H125" s="101"/>
      <c r="I125" s="101"/>
    </row>
    <row r="127" spans="1:10" ht="13" x14ac:dyDescent="0.25">
      <c r="B127" s="106" t="s">
        <v>135</v>
      </c>
    </row>
    <row r="128" spans="1:10" x14ac:dyDescent="0.25">
      <c r="B128" s="107" t="s">
        <v>136</v>
      </c>
      <c r="H128" s="108"/>
      <c r="I128" s="108"/>
    </row>
    <row r="129" spans="2:10" x14ac:dyDescent="0.25">
      <c r="B129" s="109" t="s">
        <v>137</v>
      </c>
      <c r="H129" s="108"/>
      <c r="I129" s="108"/>
    </row>
    <row r="130" spans="2:10" x14ac:dyDescent="0.25">
      <c r="B130" s="110" t="s">
        <v>138</v>
      </c>
      <c r="H130" s="108"/>
      <c r="I130" s="108"/>
    </row>
    <row r="131" spans="2:10" x14ac:dyDescent="0.25">
      <c r="B131" s="111" t="s">
        <v>139</v>
      </c>
      <c r="H131" s="108"/>
      <c r="I131" s="108"/>
    </row>
    <row r="132" spans="2:10" x14ac:dyDescent="0.25">
      <c r="B132" s="111" t="s">
        <v>140</v>
      </c>
      <c r="H132" s="108"/>
      <c r="I132" s="108"/>
    </row>
    <row r="133" spans="2:10" x14ac:dyDescent="0.25">
      <c r="B133" s="111" t="s">
        <v>141</v>
      </c>
      <c r="H133" s="108"/>
      <c r="I133" s="108"/>
    </row>
    <row r="134" spans="2:10" x14ac:dyDescent="0.25">
      <c r="B134" s="112" t="s">
        <v>142</v>
      </c>
      <c r="H134" s="108"/>
      <c r="I134" s="108"/>
    </row>
    <row r="135" spans="2:10" x14ac:dyDescent="0.25">
      <c r="B135" s="111" t="s">
        <v>143</v>
      </c>
      <c r="H135" s="108"/>
      <c r="I135" s="108"/>
    </row>
    <row r="136" spans="2:10" x14ac:dyDescent="0.25">
      <c r="B136" s="111" t="s">
        <v>144</v>
      </c>
      <c r="H136" s="108"/>
      <c r="I136" s="108"/>
    </row>
    <row r="137" spans="2:10" x14ac:dyDescent="0.25">
      <c r="B137" s="113"/>
      <c r="C137" s="114"/>
      <c r="D137" s="114"/>
      <c r="E137" s="115"/>
      <c r="F137" s="115"/>
      <c r="G137" s="116"/>
      <c r="H137" s="117"/>
      <c r="I137" s="117"/>
      <c r="J137" s="115"/>
    </row>
    <row r="138" spans="2:10" x14ac:dyDescent="0.25">
      <c r="B138" s="11" t="s">
        <v>145</v>
      </c>
      <c r="H138" s="108"/>
      <c r="I138" s="108"/>
    </row>
    <row r="139" spans="2:10" x14ac:dyDescent="0.25">
      <c r="B139" s="11" t="s">
        <v>146</v>
      </c>
      <c r="H139" s="108"/>
      <c r="I139" s="108"/>
    </row>
    <row r="140" spans="2:10" x14ac:dyDescent="0.25">
      <c r="H140" s="108"/>
      <c r="I140" s="108"/>
    </row>
    <row r="141" spans="2:10" x14ac:dyDescent="0.25">
      <c r="B141" s="118" t="s">
        <v>147</v>
      </c>
      <c r="C141" s="119">
        <v>47</v>
      </c>
      <c r="H141" s="108"/>
      <c r="I141" s="108"/>
    </row>
    <row r="142" spans="2:10" x14ac:dyDescent="0.25">
      <c r="H142" s="108"/>
      <c r="I142" s="108"/>
    </row>
    <row r="143" spans="2:10" ht="13" x14ac:dyDescent="0.3">
      <c r="B143" s="120"/>
      <c r="C143" s="121" t="s">
        <v>148</v>
      </c>
      <c r="D143" s="121" t="s">
        <v>149</v>
      </c>
      <c r="H143" s="108"/>
      <c r="I143" s="108"/>
    </row>
    <row r="144" spans="2:10" x14ac:dyDescent="0.25">
      <c r="B144" s="120" t="s">
        <v>150</v>
      </c>
      <c r="C144" s="122">
        <f>D43/D60</f>
        <v>0.23757868870494805</v>
      </c>
      <c r="D144" s="120" t="str">
        <f>"Line "&amp;A43&amp;", Col 3 / Line "&amp;A60&amp;", Col 3"</f>
        <v>Line 33, Col 3 / Line 43, Col 3</v>
      </c>
      <c r="H144" s="108"/>
      <c r="I144" s="108"/>
    </row>
    <row r="145" spans="2:11" x14ac:dyDescent="0.25">
      <c r="B145" s="120" t="s">
        <v>151</v>
      </c>
      <c r="C145" s="122">
        <f>D58/D60</f>
        <v>0.76242131129505197</v>
      </c>
      <c r="D145" s="120" t="str">
        <f>"Line "&amp;A58&amp;", Col 3 / Line "&amp;A60&amp;", Col 3"</f>
        <v>Line 41, Col 3 / Line 43, Col 3</v>
      </c>
      <c r="H145" s="108"/>
      <c r="I145" s="108"/>
    </row>
    <row r="146" spans="2:11" x14ac:dyDescent="0.25">
      <c r="H146" s="108"/>
      <c r="I146" s="108"/>
    </row>
    <row r="147" spans="2:11" x14ac:dyDescent="0.25">
      <c r="B147" s="11" t="s">
        <v>152</v>
      </c>
      <c r="H147" s="108"/>
      <c r="I147" s="108"/>
    </row>
    <row r="148" spans="2:11" x14ac:dyDescent="0.25">
      <c r="B148" s="11" t="s">
        <v>153</v>
      </c>
      <c r="H148" s="108"/>
      <c r="I148" s="108"/>
    </row>
    <row r="149" spans="2:11" x14ac:dyDescent="0.25">
      <c r="B149" s="11" t="s">
        <v>154</v>
      </c>
      <c r="C149" s="123">
        <f>(SUM(H74:H103)/SUM(D74:D103))</f>
        <v>0.43228532248884433</v>
      </c>
      <c r="H149" s="108"/>
      <c r="I149" s="108"/>
    </row>
    <row r="150" spans="2:11" x14ac:dyDescent="0.25">
      <c r="B150" s="11" t="s">
        <v>155</v>
      </c>
      <c r="H150" s="108"/>
      <c r="I150" s="108"/>
    </row>
    <row r="151" spans="2:11" x14ac:dyDescent="0.25">
      <c r="B151" s="11" t="s">
        <v>156</v>
      </c>
      <c r="H151" s="108"/>
      <c r="I151" s="108"/>
    </row>
    <row r="152" spans="2:11" x14ac:dyDescent="0.25">
      <c r="B152" s="11" t="s">
        <v>157</v>
      </c>
      <c r="H152" s="108"/>
      <c r="I152" s="108"/>
    </row>
    <row r="153" spans="2:11" x14ac:dyDescent="0.25">
      <c r="B153" s="82" t="s">
        <v>158</v>
      </c>
      <c r="C153" s="82"/>
      <c r="D153" s="82"/>
      <c r="E153" s="82"/>
      <c r="F153" s="82"/>
      <c r="G153" s="124"/>
      <c r="H153" s="125"/>
      <c r="I153" s="125"/>
      <c r="J153" s="82"/>
      <c r="K153" s="82"/>
    </row>
    <row r="154" spans="2:11" x14ac:dyDescent="0.25">
      <c r="B154" s="11" t="s">
        <v>159</v>
      </c>
    </row>
    <row r="155" spans="2:11" x14ac:dyDescent="0.25">
      <c r="B155" s="11" t="s">
        <v>160</v>
      </c>
    </row>
  </sheetData>
  <mergeCells count="13">
    <mergeCell ref="B8:B9"/>
    <mergeCell ref="C8:E8"/>
    <mergeCell ref="G8:I8"/>
    <mergeCell ref="B49:B50"/>
    <mergeCell ref="C49:E49"/>
    <mergeCell ref="G49:I49"/>
    <mergeCell ref="J49:L49"/>
    <mergeCell ref="B71:B72"/>
    <mergeCell ref="C71:E71"/>
    <mergeCell ref="G71:I71"/>
    <mergeCell ref="B112:B113"/>
    <mergeCell ref="C112:E112"/>
    <mergeCell ref="G112:I112"/>
  </mergeCells>
  <pageMargins left="0.7" right="0.7" top="0.75" bottom="0.75" header="0.3" footer="0.3"/>
  <pageSetup scale="57" orientation="landscape" cellComments="asDisplayed" r:id="rId1"/>
  <headerFooter>
    <oddHeader>&amp;CSchedule 19
Operations and Maintenance
(Revised 2021 for Morongo Revenue Adjustment)&amp;RTO2023 Draft Annual Update
Attachment 4
WP-Schedule 3-One Time Adj Morongo Rate Consistency
Page &amp;P of &amp;N</oddHeader>
    <oddFooter>&amp;R&amp;A</oddFooter>
  </headerFooter>
  <rowBreaks count="3" manualBreakCount="3">
    <brk id="45" max="12" man="1"/>
    <brk id="65" max="16383" man="1"/>
    <brk id="108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Summary</vt:lpstr>
      <vt:lpstr>MorongoRev Sch4-TUTRR</vt:lpstr>
      <vt:lpstr>MorongoRev Sch19-OandM</vt:lpstr>
      <vt:lpstr>'MorongoRev Sch19-OandM'!Print_Area</vt:lpstr>
      <vt:lpstr>'MorongoRev Sch4-TUTRR'!Print_Area</vt:lpstr>
      <vt:lpstr>Summary!Print_Area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Berton Hansen</dc:creator>
  <cp:lastModifiedBy>Jee Kim</cp:lastModifiedBy>
  <cp:lastPrinted>2022-06-07T22:52:20Z</cp:lastPrinted>
  <dcterms:created xsi:type="dcterms:W3CDTF">2022-05-13T21:24:44Z</dcterms:created>
  <dcterms:modified xsi:type="dcterms:W3CDTF">2022-06-10T23:25:49Z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c3dd1c7-2c40-4a31-84b2-bec599b321a0_Enabled">
    <vt:lpwstr>true</vt:lpwstr>
  </property>
  <property fmtid="{D5CDD505-2E9C-101B-9397-08002B2CF9AE}" pid="3" name="MSIP_Label_bc3dd1c7-2c40-4a31-84b2-bec599b321a0_SetDate">
    <vt:lpwstr>2022-05-13T21:24:44Z</vt:lpwstr>
  </property>
  <property fmtid="{D5CDD505-2E9C-101B-9397-08002B2CF9AE}" pid="4" name="MSIP_Label_bc3dd1c7-2c40-4a31-84b2-bec599b321a0_Method">
    <vt:lpwstr>Standard</vt:lpwstr>
  </property>
  <property fmtid="{D5CDD505-2E9C-101B-9397-08002B2CF9AE}" pid="5" name="MSIP_Label_bc3dd1c7-2c40-4a31-84b2-bec599b321a0_Name">
    <vt:lpwstr>bc3dd1c7-2c40-4a31-84b2-bec599b321a0</vt:lpwstr>
  </property>
  <property fmtid="{D5CDD505-2E9C-101B-9397-08002B2CF9AE}" pid="6" name="MSIP_Label_bc3dd1c7-2c40-4a31-84b2-bec599b321a0_SiteId">
    <vt:lpwstr>5b2a8fee-4c95-4bdc-8aae-196f8aacb1b6</vt:lpwstr>
  </property>
  <property fmtid="{D5CDD505-2E9C-101B-9397-08002B2CF9AE}" pid="7" name="MSIP_Label_bc3dd1c7-2c40-4a31-84b2-bec599b321a0_ActionId">
    <vt:lpwstr>c4db79cf-6eef-4128-941a-546ff04adb97</vt:lpwstr>
  </property>
  <property fmtid="{D5CDD505-2E9C-101B-9397-08002B2CF9AE}" pid="8" name="MSIP_Label_bc3dd1c7-2c40-4a31-84b2-bec599b321a0_ContentBits">
    <vt:lpwstr>0</vt:lpwstr>
  </property>
</Properties>
</file>