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sce\workgroup\RPA\REG OPS\FERC-REG\FERC\FERC Contract &amp; Cost Analysis\2023 FERC Rate Case TO2023\6-Jun 15 Draft Informational Posting\Workpapers\"/>
    </mc:Choice>
  </mc:AlternateContent>
  <xr:revisionPtr revIDLastSave="0" documentId="14_{852C9E15-1A93-432B-9FE6-2BD4342F4FD9}" xr6:coauthVersionLast="46" xr6:coauthVersionMax="46" xr10:uidLastSave="{00000000-0000-0000-0000-000000000000}"/>
  <bookViews>
    <workbookView xWindow="-110" yWindow="-110" windowWidth="19420" windowHeight="10420" tabRatio="746" xr2:uid="{00000000-000D-0000-FFFF-FFFF00000000}"/>
  </bookViews>
  <sheets>
    <sheet name="One Time Adj Explanation" sheetId="100" r:id="rId1"/>
    <sheet name="WP-Total Adj with Int" sheetId="86" r:id="rId2"/>
    <sheet name="WP-2019 True Up TRR Adj" sheetId="213" r:id="rId3"/>
    <sheet name="WP-2019 TO2018 Sch4-TUTRR" sheetId="252" r:id="rId4"/>
    <sheet name="WP-2019 TO2018 Sch20-AandG" sheetId="253" r:id="rId5"/>
    <sheet name="WP-2019 TO2021 Sch4-TUTRR" sheetId="246" r:id="rId6"/>
    <sheet name="WP-2019 TO2021 Sch20-AandG" sheetId="247" r:id="rId7"/>
    <sheet name="WP-2020 True Up TRR Adj" sheetId="194" r:id="rId8"/>
    <sheet name="WP-2020 Sch4-TUTRR" sheetId="248" r:id="rId9"/>
    <sheet name="WP-2020 Sch20-AandG" sheetId="249" r:id="rId10"/>
    <sheet name="WP-2020 Sch21-RevenueCredits" sheetId="250" r:id="rId11"/>
    <sheet name="WP-2020 Sch28-FFU" sheetId="251"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Alt2007" localSheetId="2">#REF!</definedName>
    <definedName name="_Alt2007" localSheetId="7">#REF!</definedName>
    <definedName name="_Alt2007">#REF!</definedName>
    <definedName name="_Apr06" localSheetId="2">#REF!</definedName>
    <definedName name="_Apr06" localSheetId="7">#REF!</definedName>
    <definedName name="_Apr06">#REF!</definedName>
    <definedName name="_F100040">'[1]EIX Cost Centers'!$A$1:$B$33</definedName>
    <definedName name="_Feb06" localSheetId="2">#REF!</definedName>
    <definedName name="_Feb06" localSheetId="7">#REF!</definedName>
    <definedName name="_Feb06">#REF!</definedName>
    <definedName name="_Fill" localSheetId="2" hidden="1">#REF!</definedName>
    <definedName name="_Fill" localSheetId="7" hidden="1">#REF!</definedName>
    <definedName name="_Fill" hidden="1">#REF!</definedName>
    <definedName name="_xlnm._FilterDatabase" localSheetId="10" hidden="1">'WP-2020 Sch21-RevenueCredits'!$A$1:$O$275</definedName>
    <definedName name="_May06" localSheetId="2">#REF!</definedName>
    <definedName name="_May06" localSheetId="7">#REF!</definedName>
    <definedName name="_May06">#REF!</definedName>
    <definedName name="_Nov05">#REF!</definedName>
    <definedName name="_Order1" hidden="1">255</definedName>
    <definedName name="_Order2" hidden="1">255</definedName>
    <definedName name="_SO2" localSheetId="2">#REF!</definedName>
    <definedName name="_SO2" localSheetId="7">#REF!</definedName>
    <definedName name="_SO2">#REF!</definedName>
    <definedName name="_SO4" localSheetId="2">#REF!</definedName>
    <definedName name="_SO4" localSheetId="7">#REF!</definedName>
    <definedName name="_SO4">#REF!</definedName>
    <definedName name="Active" localSheetId="2">#REF!</definedName>
    <definedName name="Active" localSheetId="7">#REF!</definedName>
    <definedName name="Active">#REF!</definedName>
    <definedName name="AltForecast">#REF!</definedName>
    <definedName name="Assets">'[2]GL Master Data lookup'!#REF!</definedName>
    <definedName name="Basis_Point" localSheetId="2">#REF!</definedName>
    <definedName name="Basis_Point" localSheetId="7">#REF!</definedName>
    <definedName name="Basis_Point">#REF!</definedName>
    <definedName name="Basis_Prices_Upload_Date">[3]Check!$B$29</definedName>
    <definedName name="Basis_Web_Query">[4]BasisPrices!$B$29</definedName>
    <definedName name="BHV" localSheetId="2">#REF!</definedName>
    <definedName name="BHV" localSheetId="7">#REF!</definedName>
    <definedName name="BHV">#REF!</definedName>
    <definedName name="Bio" localSheetId="2">#REF!</definedName>
    <definedName name="Bio" localSheetId="7">#REF!</definedName>
    <definedName name="Bio">#REF!</definedName>
    <definedName name="BLOCK" localSheetId="2">#REF!</definedName>
    <definedName name="BLOCK" localSheetId="7">#REF!</definedName>
    <definedName name="BLOCK">#REF!</definedName>
    <definedName name="BLOCKPOSTING">#REF!</definedName>
    <definedName name="Calc_implied_vol">[4]Volatility!$B$31</definedName>
    <definedName name="Clearing_House_deals_MTM_PT___Current_Month" localSheetId="2">#REF!</definedName>
    <definedName name="Clearing_House_deals_MTM_PT___Current_Month" localSheetId="7">#REF!</definedName>
    <definedName name="Clearing_House_deals_MTM_PT___Current_Month">#REF!</definedName>
    <definedName name="Cogen" localSheetId="2">#REF!</definedName>
    <definedName name="Cogen" localSheetId="7">#REF!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2">#REF!</definedName>
    <definedName name="CRR_PT2" localSheetId="7">#REF!</definedName>
    <definedName name="CRR_PT2">#REF!</definedName>
    <definedName name="CRR_SD_1" localSheetId="2">#REF!</definedName>
    <definedName name="CRR_SD_1" localSheetId="7">#REF!</definedName>
    <definedName name="CRR_SD_1">#REF!</definedName>
    <definedName name="CRR_SD_2" localSheetId="2">#REF!</definedName>
    <definedName name="CRR_SD_2" localSheetId="7">#REF!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TA21">'[7]Raw Data'!$U$2:$U$2618</definedName>
    <definedName name="DaysForward">'[4]Calpine Renewable Cntrct  MTM'!$K$81</definedName>
    <definedName name="DWR_End_Row" localSheetId="2">#REF!</definedName>
    <definedName name="DWR_End_Row" localSheetId="7">#REF!</definedName>
    <definedName name="DWR_End_Row">#REF!</definedName>
    <definedName name="DWR_Start_Row" localSheetId="2">#REF!</definedName>
    <definedName name="DWR_Start_Row" localSheetId="7">#REF!</definedName>
    <definedName name="DWR_Start_Row">#REF!</definedName>
    <definedName name="Effective_date">'[4]Calpine Renewable Cntrct  MTM'!$L$81</definedName>
    <definedName name="EIX_10k" localSheetId="2">#REF!</definedName>
    <definedName name="EIX_10k" localSheetId="7">#REF!</definedName>
    <definedName name="EIX_10k">#REF!</definedName>
    <definedName name="EIX_10K_DET_M" localSheetId="2">#REF!</definedName>
    <definedName name="EIX_10K_DET_M" localSheetId="7">#REF!</definedName>
    <definedName name="EIX_10K_DET_M">#REF!</definedName>
    <definedName name="EIX_10K_DET_T" localSheetId="2">#REF!</definedName>
    <definedName name="EIX_10K_DET_T" localSheetId="7">#REF!</definedName>
    <definedName name="EIX_10K_DET_T">#REF!</definedName>
    <definedName name="EIX_10K_DETAIL">#REF!</definedName>
    <definedName name="EIX_10K_M">#REF!</definedName>
    <definedName name="EIX_10k_t">#REF!</definedName>
    <definedName name="EIX_10K_WK_CURR">[8]WS!#REF!</definedName>
    <definedName name="EIX_10K_WK_JAN1" localSheetId="2">#REF!</definedName>
    <definedName name="EIX_10K_WK_JAN1" localSheetId="7">#REF!</definedName>
    <definedName name="EIX_10K_WK_JAN1">#REF!</definedName>
    <definedName name="EIX_10k_WK_LASTMO" localSheetId="2">#REF!</definedName>
    <definedName name="EIX_10k_WK_LASTMO" localSheetId="7">#REF!</definedName>
    <definedName name="EIX_10k_WK_LASTMO">#REF!</definedName>
    <definedName name="EIX_WS" localSheetId="2">[8]WS!#REF!</definedName>
    <definedName name="EIX_WS" localSheetId="7">[8]WS!#REF!</definedName>
    <definedName name="EIX_WS">[8]WS!#REF!</definedName>
    <definedName name="eixytd" localSheetId="2">#REF!</definedName>
    <definedName name="eixytd" localSheetId="7">#REF!</definedName>
    <definedName name="eixytd">#REF!</definedName>
    <definedName name="ENTRYNODE" localSheetId="2">#REF!</definedName>
    <definedName name="ENTRYNODE" localSheetId="7">#REF!</definedName>
    <definedName name="ENTRYNODE">#REF!</definedName>
    <definedName name="EOptns_Term_Sch_Point" localSheetId="2">#REF!</definedName>
    <definedName name="EOptns_Term_Sch_Point" localSheetId="7">#REF!</definedName>
    <definedName name="EOptns_Term_Sch_Point">#REF!</definedName>
    <definedName name="Equity" localSheetId="2">'[2]GL Master Data lookup'!#REF!</definedName>
    <definedName name="Equity" localSheetId="7">'[2]GL Master Data lookup'!#REF!</definedName>
    <definedName name="Equity">'[2]GL Master Data lookup'!#REF!</definedName>
    <definedName name="Escalation_Rate" localSheetId="2">#REF!</definedName>
    <definedName name="Escalation_Rate" localSheetId="7">#REF!</definedName>
    <definedName name="Escalation_Rate">#REF!</definedName>
    <definedName name="FERC" localSheetId="2">#REF!</definedName>
    <definedName name="FERC" localSheetId="7">#REF!</definedName>
    <definedName name="FERC">#REF!</definedName>
    <definedName name="FERC_Map">'[2]CARS to FERC Map'!$A$2:$B$2339</definedName>
    <definedName name="Format_Quotes">[4]PowerPrices!$B$62</definedName>
    <definedName name="FSD" localSheetId="2">#REF!</definedName>
    <definedName name="FSD" localSheetId="7">#REF!</definedName>
    <definedName name="FSD">#REF!</definedName>
    <definedName name="Fut_Point" localSheetId="2">#REF!</definedName>
    <definedName name="Fut_Point" localSheetId="7">#REF!</definedName>
    <definedName name="Fut_Point">#REF!</definedName>
    <definedName name="Futs_Web_Query">[4]FuturePrices!$B$34</definedName>
    <definedName name="Futures_Prices_Upload_Date">[3]Check!$B$28</definedName>
    <definedName name="Gas" localSheetId="2">#REF!</definedName>
    <definedName name="Gas" localSheetId="7">#REF!</definedName>
    <definedName name="Gas">#REF!</definedName>
    <definedName name="Gas_Fin_Non_Options" localSheetId="2">#REF!</definedName>
    <definedName name="Gas_Fin_Non_Options" localSheetId="7">#REF!</definedName>
    <definedName name="Gas_Fin_Non_Options">#REF!</definedName>
    <definedName name="Gas_NOpt_PT_1" localSheetId="2">#REF!</definedName>
    <definedName name="Gas_NOpt_PT_1" localSheetId="7">#REF!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 localSheetId="2">#REF!</definedName>
    <definedName name="HISTORICDOLLAR" localSheetId="7">#REF!</definedName>
    <definedName name="HISTORICDOLLAR">#REF!</definedName>
    <definedName name="Hydro" localSheetId="2">#REF!</definedName>
    <definedName name="Hydro" localSheetId="7">#REF!</definedName>
    <definedName name="Hydro">#REF!</definedName>
    <definedName name="Interest_Rates_Upload_Date">[3]Check!$B$30</definedName>
    <definedName name="IR_Web_Query">[4]InterestRates!$B$26</definedName>
    <definedName name="ITEMTYPE" localSheetId="2">#REF!</definedName>
    <definedName name="ITEMTYPE" localSheetId="7">#REF!</definedName>
    <definedName name="ITEMTYPE">#REF!</definedName>
    <definedName name="Level" localSheetId="2">#REF!</definedName>
    <definedName name="Level" localSheetId="7">#REF!</definedName>
    <definedName name="Level">#REF!</definedName>
    <definedName name="Liab" localSheetId="2">'[2]GL Master Data lookup'!#REF!</definedName>
    <definedName name="Liab" localSheetId="7">'[2]GL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2">#REF!</definedName>
    <definedName name="Load_Flag" localSheetId="7">#REF!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2">#REF!</definedName>
    <definedName name="MTM_Summary_Compare" localSheetId="7">#REF!</definedName>
    <definedName name="MTM_Summary_Compare">#REF!</definedName>
    <definedName name="NEG" localSheetId="2">#REF!</definedName>
    <definedName name="NEG" localSheetId="7">#REF!</definedName>
    <definedName name="NEG">#REF!</definedName>
    <definedName name="new" localSheetId="2" hidden="1">{#N/A,#N/A,TRUE,"Section6";#N/A,#N/A,TRUE,"OHcycles";#N/A,#N/A,TRUE,"OHtiming";#N/A,#N/A,TRUE,"OHcosts";#N/A,#N/A,TRUE,"GTdegradation";#N/A,#N/A,TRUE,"GTperformance";#N/A,#N/A,TRUE,"GraphEquip"}</definedName>
    <definedName name="new" localSheetId="7"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2">#REF!</definedName>
    <definedName name="Next_Month" localSheetId="7">#REF!</definedName>
    <definedName name="Next_Month">#REF!</definedName>
    <definedName name="NoContamSystems">SUM('[9]Facility Technical Data'!$C$11:$C$12)</definedName>
    <definedName name="OOR" localSheetId="2">'[2]GL Master Data lookup'!#REF!</definedName>
    <definedName name="OOR" localSheetId="7">'[2]GL Master Data lookup'!#REF!</definedName>
    <definedName name="OOR">'[2]GL Master Data lookup'!#REF!</definedName>
    <definedName name="Op_Exp" localSheetId="2">'[2]GL Master Data lookup'!#REF!</definedName>
    <definedName name="Op_Exp" localSheetId="7">'[2]GL Master Data lookup'!#REF!</definedName>
    <definedName name="Op_Exp">'[2]GL Master Data lookup'!#REF!</definedName>
    <definedName name="OracleUploadDate">[10]Renewable!$I$1</definedName>
    <definedName name="ord">'[11]Master Data'!$B$1:$T$118</definedName>
    <definedName name="P_L" localSheetId="2">'[2]GL Master Data lookup'!#REF!</definedName>
    <definedName name="P_L" localSheetId="7">'[2]GL Master Data lookup'!#REF!</definedName>
    <definedName name="P_L">'[2]GL Master Data lookup'!#REF!</definedName>
    <definedName name="Past_Cash" localSheetId="2">'[2]GL Master Data lookup'!#REF!</definedName>
    <definedName name="Past_Cash" localSheetId="7">'[2]GL Master Data lookup'!#REF!</definedName>
    <definedName name="Past_Cash">'[2]GL Master Data lookup'!#REF!</definedName>
    <definedName name="PivotTablePoint" localSheetId="2">#REF!</definedName>
    <definedName name="PivotTablePoint" localSheetId="7">#REF!</definedName>
    <definedName name="PivotTablePoint">#REF!</definedName>
    <definedName name="Posting_Keys" localSheetId="2">#REF!</definedName>
    <definedName name="Posting_Keys" localSheetId="7">#REF!</definedName>
    <definedName name="Posting_Keys">#REF!</definedName>
    <definedName name="Power" localSheetId="2">#REF!</definedName>
    <definedName name="Power" localSheetId="7">#REF!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Explanation'!$A$1:$F$29</definedName>
    <definedName name="_xlnm.Print_Area" localSheetId="4">'WP-2019 TO2018 Sch20-AandG'!$A$1:$L$105</definedName>
    <definedName name="_xlnm.Print_Area" localSheetId="3">'WP-2019 TO2018 Sch4-TUTRR'!$A$1:$O$109</definedName>
    <definedName name="_xlnm.Print_Area" localSheetId="6">'WP-2019 TO2021 Sch20-AandG'!$A$1:$K$109</definedName>
    <definedName name="_xlnm.Print_Area" localSheetId="5">'WP-2019 TO2021 Sch4-TUTRR'!$A$1:$N$107</definedName>
    <definedName name="_xlnm.Print_Area" localSheetId="2">'WP-2019 True Up TRR Adj'!$B$2:$J$17</definedName>
    <definedName name="_xlnm.Print_Area" localSheetId="9">'WP-2020 Sch20-AandG'!$A$1:$L$109</definedName>
    <definedName name="_xlnm.Print_Area" localSheetId="10">'WP-2020 Sch21-RevenueCredits'!$A$1:$O$275</definedName>
    <definedName name="_xlnm.Print_Area" localSheetId="11">'WP-2020 Sch28-FFU'!$A$1:$J$46</definedName>
    <definedName name="_xlnm.Print_Area" localSheetId="8">'WP-2020 Sch4-TUTRR'!$A$1:$P$107</definedName>
    <definedName name="_xlnm.Print_Area" localSheetId="7">'WP-2020 True Up TRR Adj'!$A$1:$G$15</definedName>
    <definedName name="_xlnm.Print_Area" localSheetId="1">'WP-Total Adj with Int'!$A$1:$K$37</definedName>
    <definedName name="_xlnm.Print_Titles" localSheetId="10">'WP-2020 Sch21-RevenueCredits'!$1:$3</definedName>
    <definedName name="print1" localSheetId="2">#REF!</definedName>
    <definedName name="print1" localSheetId="7">#REF!</definedName>
    <definedName name="print1">#REF!</definedName>
    <definedName name="print2" localSheetId="2">#REF!</definedName>
    <definedName name="print2" localSheetId="7">#REF!</definedName>
    <definedName name="print2">#REF!</definedName>
    <definedName name="PriorMTMdate">'[12]Input And Prices'!$B$3</definedName>
    <definedName name="ProcessDate" localSheetId="2">#REF!</definedName>
    <definedName name="ProcessDate" localSheetId="7">#REF!</definedName>
    <definedName name="ProcessDate">#REF!</definedName>
    <definedName name="ProcessDate2">[10]Check!$B$3</definedName>
    <definedName name="ProcessMonth" localSheetId="2">#REF!</definedName>
    <definedName name="ProcessMonth" localSheetId="7">#REF!</definedName>
    <definedName name="ProcessMonth">#REF!</definedName>
    <definedName name="ProxyList">'[3]Calpine Renewable Cntrct  MTM'!$AT$15:$AT$20</definedName>
    <definedName name="QF_Asgn_List_Capacity" localSheetId="2">#REF!</definedName>
    <definedName name="QF_Asgn_List_Capacity" localSheetId="7">#REF!</definedName>
    <definedName name="QF_Asgn_List_Capacity">#REF!</definedName>
    <definedName name="QF_Asgn_List0212" localSheetId="2">#REF!</definedName>
    <definedName name="QF_Asgn_List0212" localSheetId="7">#REF!</definedName>
    <definedName name="QF_Asgn_List0212">#REF!</definedName>
    <definedName name="QF_Asgn_List0301" localSheetId="2">#REF!</definedName>
    <definedName name="QF_Asgn_List0301" localSheetId="7">#REF!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[8]WS!#REF!</definedName>
    <definedName name="SCE_10K_WK_JAN1" localSheetId="2">#REF!</definedName>
    <definedName name="SCE_10K_WK_JAN1" localSheetId="7">#REF!</definedName>
    <definedName name="SCE_10K_WK_JAN1">#REF!</definedName>
    <definedName name="SCE_10K_WK_LASTMO" localSheetId="2">#REF!</definedName>
    <definedName name="SCE_10K_WK_LASTMO" localSheetId="7">#REF!</definedName>
    <definedName name="SCE_10K_WK_LASTMO">#REF!</definedName>
    <definedName name="SCE_WS" localSheetId="2">#REF!</definedName>
    <definedName name="SCE_WS" localSheetId="7">#REF!</definedName>
    <definedName name="SCE_WS">#REF!</definedName>
    <definedName name="SCE_WS_LASTMO">#REF!</definedName>
    <definedName name="SCE10K">#REF!</definedName>
    <definedName name="SCE10KWksht">#REF!</definedName>
    <definedName name="Season2_data">'[13]LT Volumes'!#REF!</definedName>
    <definedName name="Season4_data">'[13]LT Volumes'!#REF!</definedName>
    <definedName name="Setup_Shape">[4]PowerPrices!$B$63</definedName>
    <definedName name="Solar" localSheetId="2">#REF!</definedName>
    <definedName name="Solar" localSheetId="7">#REF!</definedName>
    <definedName name="Solar">#REF!</definedName>
    <definedName name="SUBMITEM" localSheetId="2">#REF!</definedName>
    <definedName name="SUBMITEM" localSheetId="7">#REF!</definedName>
    <definedName name="SUBMITEM">#REF!</definedName>
    <definedName name="SUBMITEMS" localSheetId="2">#REF!</definedName>
    <definedName name="SUBMITEMS" localSheetId="7">#REF!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[14]DATA!#REF!</definedName>
    <definedName name="TransCapMTM" localSheetId="2">#REF!</definedName>
    <definedName name="TransCapMTM" localSheetId="7">#REF!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2">#REF!</definedName>
    <definedName name="Upload_IR_Access" localSheetId="7">#REF!</definedName>
    <definedName name="Upload_IR_Access">#REF!</definedName>
    <definedName name="Upload_Pwr">[4]PowerPrices!$B$66</definedName>
    <definedName name="Upload_Pwr_Access">[4]PowerPrices!$B$67</definedName>
    <definedName name="UploadAccess">[4]Volatility!$B$34</definedName>
    <definedName name="Uploads_IR_Access" localSheetId="2">#REF!</definedName>
    <definedName name="Uploads_IR_Access" localSheetId="7">#REF!</definedName>
    <definedName name="Uploads_IR_Access">#REF!</definedName>
    <definedName name="UploadVol">[4]Volatility!$B$33</definedName>
    <definedName name="Volatility_Upload_Date">[3]Check!$B$31</definedName>
    <definedName name="Week" localSheetId="2">{0;1;2;3;4;5}</definedName>
    <definedName name="Week" localSheetId="7">{0;1;2;3;4;5}</definedName>
    <definedName name="Week">{0;1;2;3;4;5}</definedName>
    <definedName name="Weekday" localSheetId="2">{1,2,3,4,5,6,7}</definedName>
    <definedName name="Weekday" localSheetId="7">{1,2,3,4,5,6,7}</definedName>
    <definedName name="Weekday">{1,2,3,4,5,6,7}</definedName>
    <definedName name="Wind" localSheetId="2">#REF!</definedName>
    <definedName name="Wind" localSheetId="7">#REF!</definedName>
    <definedName name="Wind">#REF!</definedName>
    <definedName name="WITdata">[15]WIT!$A$1:$S$440</definedName>
    <definedName name="wrn.Cover." localSheetId="2" hidden="1">{#N/A,#N/A,TRUE,"Cover";#N/A,#N/A,TRUE,"Contents"}</definedName>
    <definedName name="wrn.Cover." localSheetId="7" hidden="1">{#N/A,#N/A,TRUE,"Cover";#N/A,#N/A,TRUE,"Contents"}</definedName>
    <definedName name="wrn.Cover." hidden="1">{#N/A,#N/A,TRUE,"Cover";#N/A,#N/A,TRUE,"Contents"}</definedName>
    <definedName name="wrn.CoverContents." localSheetId="2" hidden="1">{#N/A,#N/A,FALSE,"Cover";#N/A,#N/A,FALSE,"Contents"}</definedName>
    <definedName name="wrn.CoverContents." localSheetId="7" hidden="1">{#N/A,#N/A,FALSE,"Cover";#N/A,#N/A,FALSE,"Contents"}</definedName>
    <definedName name="wrn.CoverContents." hidden="1">{#N/A,#N/A,FALSE,"Cover";#N/A,#N/A,FALSE,"Contents"}</definedName>
    <definedName name="wrn.Distributed._.Decon._.Notebook." localSheetId="2"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7"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2" hidden="1">{#N/A,#N/A,TRUE,"EPEsum";#N/A,#N/A,TRUE,"Approve1";#N/A,#N/A,TRUE,"Approve2";#N/A,#N/A,TRUE,"Approve3";#N/A,#N/A,TRUE,"EPE1";#N/A,#N/A,TRUE,"EPE2";#N/A,#N/A,TRUE,"CashCompare";#N/A,#N/A,TRUE,"XIRR";#N/A,#N/A,TRUE,"EPEloan";#N/A,#N/A,TRUE,"GraphEPE";#N/A,#N/A,TRUE,"OrgChart";#N/A,#N/A,TRUE,"SA08B"}</definedName>
    <definedName name="wrn.El._.Paso._.Offshore." localSheetId="7"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2"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7"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2" hidden="1">{#N/A,#N/A,FALSE,"Cover";#N/A,#N/A,FALSE,"ProjectSelector";#N/A,#N/A,FALSE,"ProjectTable";#N/A,#N/A,FALSE,"SanGorgonio";#N/A,#N/A,FALSE,"Tehachapi";#N/A,#N/A,FALSE,"Results";#N/A,#N/A,FALSE,"ReplaceForecast"}</definedName>
    <definedName name="wrn.PrintOther." localSheetId="7"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2"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7"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2" hidden="1">{#N/A,#N/A,TRUE,"Section1";"SavingsTop",#N/A,TRUE,"SumSavings";#N/A,#N/A,TRUE,"GraphSum";"SavingsAll",#N/A,TRUE,"SumSavings";#N/A,#N/A,TRUE,"Inputs";#N/A,#N/A,TRUE,"Scenarios";#N/A,#N/A,TRUE,"LineLoss";#N/A,#N/A,TRUE,"Summary";#N/A,#N/A,TRUE,"TermSummary";#N/A,#N/A,TRUE,"NetRates";#N/A,#N/A,TRUE,"PPAtypes"}</definedName>
    <definedName name="wrn.Section1." localSheetId="7"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2" hidden="1">{#N/A,#N/A,TRUE,"Section1";#N/A,#N/A,TRUE,"SumF";#N/A,#N/A,TRUE,"FigExchange";#N/A,#N/A,TRUE,"Escalation";#N/A,#N/A,TRUE,"GraphEscalate";#N/A,#N/A,TRUE,"Scenarios"}</definedName>
    <definedName name="wrn.Section1Summaries." localSheetId="7"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2" hidden="1">{#N/A,#N/A,TRUE,"Section2";#N/A,#N/A,TRUE,"OverPymt";#N/A,#N/A,TRUE,"Energy";#N/A,#N/A,TRUE,"EnergyDiff1";#N/A,#N/A,TRUE,"EnergyDiff2";#N/A,#N/A,TRUE,"CapPerformance";#N/A,#N/A,TRUE,"BonusPerformance";#N/A,#N/A,TRUE,"BonusFormula";#N/A,#N/A,TRUE,"GraphPymt"}</definedName>
    <definedName name="wrn.Section2." localSheetId="7"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2" hidden="1">{#N/A,#N/A,TRUE,"Section2";#N/A,#N/A,TRUE,"TPCestimate";#N/A,#N/A,TRUE,"SumTPC";#N/A,#N/A,TRUE,"ConstrLoan";#N/A,#N/A,TRUE,"FigBalance";#N/A,#N/A,TRUE,"DEV27air";#N/A,#N/A,TRUE,"Graph27air";#N/A,#N/A,TRUE,"PreOp"}</definedName>
    <definedName name="wrn.Section2TotalProjectCost." localSheetId="7"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2" hidden="1">{#N/A,#N/A,TRUE,"Section3";#N/A,#N/A,TRUE,"BaseYear";#N/A,#N/A,TRUE,"GenHistory";#N/A,#N/A,TRUE,"GenGraph";#N/A,#N/A,TRUE,"MonthCompare";#N/A,#N/A,TRUE,"HourHistory";#N/A,#N/A,TRUE,"PayHistory";#N/A,#N/A,TRUE,"PayGraphs";#N/A,#N/A,TRUE,"ReplaceForecast";#N/A,#N/A,TRUE,"PPAforecast";#N/A,#N/A,TRUE,"OLSier"}</definedName>
    <definedName name="wrn.Section3." localSheetId="7"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2" hidden="1">{#N/A,#N/A,TRUE,"Section3";#N/A,#N/A,TRUE,"Tax";#N/A,#N/A,TRUE,"Dividend";#N/A,#N/A,TRUE,"Depreciation";#N/A,#N/A,TRUE,"Balance";#N/A,#N/A,TRUE,"SaleGain";#N/A,#N/A,TRUE,"RevExp";#N/A,#N/A,TRUE,"PIG";#N/A,#N/A,TRUE,"GraphPlant"}</definedName>
    <definedName name="wrn.Section3PowerPlantCompany." localSheetId="7"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2" hidden="1">{#N/A,#N/A,TRUE,"Section4";#N/A,#N/A,TRUE,"Tariffwksht";#N/A,#N/A,TRUE,"TariffINFO";#N/A,#N/A,TRUE,"Generation";#N/A,#N/A,TRUE,"PPAsum";#N/A,#N/A,TRUE,"PPApayments";#N/A,#N/A,TRUE,"RevExp";#N/A,#N/A,TRUE,"GraphRevenue";#N/A,#N/A,TRUE,"GraphRevExp"}</definedName>
    <definedName name="wrn.Section4." localSheetId="7"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2" hidden="1">{#N/A,#N/A,TRUE,"Section4";#N/A,#N/A,TRUE,"PPAtable";#N/A,#N/A,TRUE,"RFPtable";#N/A,#N/A,TRUE,"RevCap";#N/A,#N/A,TRUE,"RevOther";#N/A,#N/A,TRUE,"RevGas";#N/A,#N/A,TRUE,"GraphRev"}</definedName>
    <definedName name="wrn.Section4Revenue." localSheetId="7"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2" hidden="1">{#N/A,#N/A,TRUE,"Section5";#N/A,#N/A,TRUE,"Coal";#N/A,#N/A,TRUE,"Fuel";#N/A,#N/A,TRUE,"OMwksht";#N/A,#N/A,TRUE,"VOM";#N/A,#N/A,TRUE,"FOM";#N/A,#N/A,TRUE,"Debt";#N/A,#N/A,TRUE,"LoanSchedules";#N/A,#N/A,TRUE,"GraphExp";#N/A,#N/A,TRUE,"Conversions"}</definedName>
    <definedName name="wrn.Section5." localSheetId="7"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2" hidden="1">{#N/A,#N/A,TRUE,"Section5";#N/A,#N/A,TRUE,"Gas";#N/A,#N/A,TRUE,"Oil";#N/A,#N/A,TRUE,"SumOM";#N/A,#N/A,TRUE,"VOM";#N/A,#N/A,TRUE,"FOM";#N/A,#N/A,TRUE,"StartUps";#N/A,#N/A,TRUE,"Labor";#N/A,#N/A,TRUE,"PlantOrg";#N/A,#N/A,TRUE,"Conversions";#N/A,#N/A,TRUE,"GraphExp"}</definedName>
    <definedName name="wrn.Section5Expenses." localSheetId="7"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2" hidden="1">{#N/A,#N/A,TRUE,"Section6";#N/A,#N/A,TRUE,"OHcycles";#N/A,#N/A,TRUE,"OHtiming";#N/A,#N/A,TRUE,"OHcosts";#N/A,#N/A,TRUE,"GTdegradation";#N/A,#N/A,TRUE,"GTperformance";#N/A,#N/A,TRUE,"GraphEquip"}</definedName>
    <definedName name="wrn.Section6Equipment." localSheetId="7"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2" hidden="1">{#N/A,#N/A,TRUE,"Section7";#N/A,#N/A,TRUE,"DebtService";#N/A,#N/A,TRUE,"LoanSchedules";#N/A,#N/A,TRUE,"GraphDebt"}</definedName>
    <definedName name="wrn.Section7DebtService." localSheetId="7" hidden="1">{#N/A,#N/A,TRUE,"Section7";#N/A,#N/A,TRUE,"DebtService";#N/A,#N/A,TRUE,"LoanSchedules";#N/A,#N/A,TRUE,"GraphDebt"}</definedName>
    <definedName name="wrn.Section7DebtService." hidden="1">{#N/A,#N/A,TRUE,"Section7";#N/A,#N/A,TRUE,"DebtService";#N/A,#N/A,TRUE,"LoanSchedules";#N/A,#N/A,TRUE,"GraphDebt"}</definedName>
    <definedName name="wrn.SponsorSection." localSheetId="2" hidden="1">{#N/A,#N/A,TRUE,"Cover";#N/A,#N/A,TRUE,"Contents";#N/A,#N/A,TRUE,"Organization";#N/A,#N/A,TRUE,"SumSponsor";#N/A,#N/A,TRUE,"Plant1";#N/A,#N/A,TRUE,"Plant2";#N/A,#N/A,TRUE,"Sponsors";#N/A,#N/A,TRUE,"ElPaso1";#N/A,#N/A,TRUE,"GraphSponsor"}</definedName>
    <definedName name="wrn.SponsorSection." localSheetId="7"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2" hidden="1">{"Table A",#N/A,FALSE,"Summary";"Table D",#N/A,FALSE,"Summary";"Table E",#N/A,FALSE,"Summary"}</definedName>
    <definedName name="wrn.Summary." localSheetId="7" hidden="1">{"Table A",#N/A,FALSE,"Summary";"Table D",#N/A,FALSE,"Summary";"Table E",#N/A,FALSE,"Summary"}</definedName>
    <definedName name="wrn.Summary." hidden="1">{"Table A",#N/A,FALSE,"Summary";"Table D",#N/A,FALSE,"Summary";"Table E",#N/A,FALSE,"Summary"}</definedName>
    <definedName name="wrn.Total._.Summary." localSheetId="2" hidden="1">{"Total Summary",#N/A,FALSE,"Summary"}</definedName>
    <definedName name="wrn.Total._.Summary." localSheetId="7" hidden="1">{"Total Summary",#N/A,FALSE,"Summary"}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100" l="1"/>
  <c r="E6" i="100"/>
  <c r="C101" i="253"/>
  <c r="F72" i="253"/>
  <c r="E72" i="253"/>
  <c r="H43" i="253" s="1"/>
  <c r="D43" i="253" s="1"/>
  <c r="G12" i="253" s="1"/>
  <c r="H12" i="253" s="1"/>
  <c r="F65" i="253"/>
  <c r="E65" i="253"/>
  <c r="H58" i="253"/>
  <c r="G58" i="253"/>
  <c r="G59" i="253" s="1"/>
  <c r="G37" i="253" s="1"/>
  <c r="D37" i="253" s="1"/>
  <c r="G6" i="253" s="1"/>
  <c r="H6" i="253" s="1"/>
  <c r="H20" i="253" s="1"/>
  <c r="F23" i="253" s="1"/>
  <c r="F25" i="253" s="1"/>
  <c r="F27" i="253" s="1"/>
  <c r="F30" i="253" s="1"/>
  <c r="D50" i="253"/>
  <c r="D49" i="253"/>
  <c r="D48" i="253"/>
  <c r="D47" i="253"/>
  <c r="D46" i="253"/>
  <c r="D45" i="253"/>
  <c r="F44" i="253"/>
  <c r="D44" i="253" s="1"/>
  <c r="G13" i="253" s="1"/>
  <c r="H13" i="253" s="1"/>
  <c r="D42" i="253"/>
  <c r="D41" i="253"/>
  <c r="D40" i="253"/>
  <c r="D39" i="253"/>
  <c r="D38" i="253"/>
  <c r="F24" i="253"/>
  <c r="E20" i="253"/>
  <c r="G19" i="253"/>
  <c r="H19" i="253" s="1"/>
  <c r="H18" i="253"/>
  <c r="G18" i="253"/>
  <c r="H17" i="253"/>
  <c r="G17" i="253"/>
  <c r="H16" i="253"/>
  <c r="G16" i="253"/>
  <c r="H15" i="253"/>
  <c r="G15" i="253"/>
  <c r="G14" i="253"/>
  <c r="H14" i="253" s="1"/>
  <c r="G11" i="253"/>
  <c r="H11" i="253" s="1"/>
  <c r="H10" i="253"/>
  <c r="F29" i="253" s="1"/>
  <c r="G10" i="253"/>
  <c r="H9" i="253"/>
  <c r="G9" i="253"/>
  <c r="H8" i="253"/>
  <c r="G8" i="253"/>
  <c r="A8" i="253"/>
  <c r="A9" i="253" s="1"/>
  <c r="A10" i="253" s="1"/>
  <c r="H7" i="253"/>
  <c r="G7" i="253"/>
  <c r="A7" i="253"/>
  <c r="G8" i="213"/>
  <c r="E6" i="213"/>
  <c r="E7" i="213"/>
  <c r="L80" i="252"/>
  <c r="L82" i="252" s="1"/>
  <c r="F103" i="252"/>
  <c r="F98" i="252"/>
  <c r="E87" i="252"/>
  <c r="J86" i="252"/>
  <c r="L77" i="252"/>
  <c r="J62" i="252"/>
  <c r="H42" i="252"/>
  <c r="H33" i="252"/>
  <c r="J21" i="252"/>
  <c r="J15" i="252"/>
  <c r="A8" i="252"/>
  <c r="A9" i="252" s="1"/>
  <c r="A12" i="252" s="1"/>
  <c r="A7" i="252"/>
  <c r="G24" i="253" l="1"/>
  <c r="A11" i="253"/>
  <c r="A12" i="253" s="1"/>
  <c r="A13" i="253" s="1"/>
  <c r="A14" i="253" s="1"/>
  <c r="A15" i="253" s="1"/>
  <c r="A16" i="253" s="1"/>
  <c r="A17" i="253" s="1"/>
  <c r="A18" i="253" s="1"/>
  <c r="A19" i="253" s="1"/>
  <c r="L81" i="252"/>
  <c r="L83" i="252" s="1"/>
  <c r="E103" i="252"/>
  <c r="J42" i="252" s="1"/>
  <c r="A13" i="252"/>
  <c r="A14" i="252" s="1"/>
  <c r="A15" i="252" s="1"/>
  <c r="A18" i="252" s="1"/>
  <c r="H15" i="252"/>
  <c r="J29" i="252"/>
  <c r="E98" i="252"/>
  <c r="J33" i="252" s="1"/>
  <c r="C78" i="253" l="1"/>
  <c r="A20" i="253"/>
  <c r="J34" i="252"/>
  <c r="J55" i="252" s="1"/>
  <c r="J38" i="252"/>
  <c r="J56" i="252" s="1"/>
  <c r="J41" i="252"/>
  <c r="A19" i="252"/>
  <c r="A20" i="252" s="1"/>
  <c r="A21" i="252" s="1"/>
  <c r="H21" i="252"/>
  <c r="A23" i="253" l="1"/>
  <c r="G23" i="253"/>
  <c r="A23" i="252"/>
  <c r="H29" i="252"/>
  <c r="J59" i="252"/>
  <c r="J64" i="252" s="1"/>
  <c r="E68" i="252" s="1"/>
  <c r="A24" i="253" l="1"/>
  <c r="A25" i="253" s="1"/>
  <c r="E73" i="252"/>
  <c r="J70" i="252" s="1"/>
  <c r="J72" i="252" s="1"/>
  <c r="A24" i="252"/>
  <c r="A25" i="252" s="1"/>
  <c r="A26" i="252" s="1"/>
  <c r="A27" i="252" s="1"/>
  <c r="A29" i="252" s="1"/>
  <c r="G27" i="253" l="1"/>
  <c r="A26" i="253"/>
  <c r="A27" i="253" s="1"/>
  <c r="G25" i="253"/>
  <c r="H41" i="252"/>
  <c r="A33" i="252"/>
  <c r="A34" i="252" s="1"/>
  <c r="H34" i="252"/>
  <c r="H30" i="252"/>
  <c r="A28" i="253" l="1"/>
  <c r="H55" i="252"/>
  <c r="A38" i="252"/>
  <c r="A29" i="253" l="1"/>
  <c r="G29" i="253"/>
  <c r="H56" i="252"/>
  <c r="A41" i="252"/>
  <c r="A42" i="252" s="1"/>
  <c r="A43" i="252" s="1"/>
  <c r="A44" i="252" s="1"/>
  <c r="A45" i="252" s="1"/>
  <c r="A48" i="252" s="1"/>
  <c r="A30" i="253" l="1"/>
  <c r="A37" i="253" s="1"/>
  <c r="G30" i="253"/>
  <c r="A49" i="252"/>
  <c r="A50" i="252" s="1"/>
  <c r="A51" i="252" s="1"/>
  <c r="A52" i="252" s="1"/>
  <c r="A53" i="252" s="1"/>
  <c r="A54" i="252" s="1"/>
  <c r="A55" i="252" s="1"/>
  <c r="A56" i="252" s="1"/>
  <c r="A57" i="252" s="1"/>
  <c r="A58" i="252" s="1"/>
  <c r="A59" i="252" s="1"/>
  <c r="A61" i="252" s="1"/>
  <c r="A64" i="252" s="1"/>
  <c r="G79" i="253" l="1"/>
  <c r="A38" i="253"/>
  <c r="A39" i="253" s="1"/>
  <c r="A40" i="253" s="1"/>
  <c r="A41" i="253" s="1"/>
  <c r="A42" i="253" s="1"/>
  <c r="A43" i="253" s="1"/>
  <c r="A68" i="252"/>
  <c r="G68" i="252"/>
  <c r="H59" i="252"/>
  <c r="C80" i="253" l="1"/>
  <c r="A44" i="253"/>
  <c r="A69" i="252"/>
  <c r="A70" i="252" s="1"/>
  <c r="C74" i="253" l="1"/>
  <c r="A45" i="253"/>
  <c r="A46" i="253" s="1"/>
  <c r="A47" i="253" s="1"/>
  <c r="A48" i="253" s="1"/>
  <c r="A49" i="253" s="1"/>
  <c r="A50" i="253" s="1"/>
  <c r="A71" i="252"/>
  <c r="A72" i="252" s="1"/>
  <c r="A73" i="252" s="1"/>
  <c r="G73" i="252"/>
  <c r="G70" i="252"/>
  <c r="G72" i="252" l="1"/>
  <c r="J72" i="246" l="1"/>
  <c r="E42" i="251" l="1"/>
  <c r="E41" i="251"/>
  <c r="E22" i="251"/>
  <c r="D22" i="251"/>
  <c r="F246" i="250"/>
  <c r="F245" i="250"/>
  <c r="E244" i="250"/>
  <c r="F243" i="250"/>
  <c r="F242" i="250"/>
  <c r="F240" i="250"/>
  <c r="L229" i="250"/>
  <c r="J229" i="250"/>
  <c r="E229" i="250"/>
  <c r="E230" i="250" s="1"/>
  <c r="N226" i="250"/>
  <c r="M226" i="250"/>
  <c r="J226" i="250"/>
  <c r="H226" i="250"/>
  <c r="G226" i="250"/>
  <c r="N225" i="250"/>
  <c r="M225" i="250"/>
  <c r="J225" i="250"/>
  <c r="I225" i="250"/>
  <c r="G225" i="250"/>
  <c r="N224" i="250"/>
  <c r="M224" i="250"/>
  <c r="J224" i="250"/>
  <c r="G224" i="250"/>
  <c r="I224" i="250" s="1"/>
  <c r="N223" i="250"/>
  <c r="M223" i="250"/>
  <c r="J223" i="250"/>
  <c r="G223" i="250"/>
  <c r="I223" i="250" s="1"/>
  <c r="N222" i="250"/>
  <c r="N229" i="250" s="1"/>
  <c r="J222" i="250"/>
  <c r="M222" i="250" s="1"/>
  <c r="G222" i="250"/>
  <c r="I222" i="250" s="1"/>
  <c r="L217" i="250"/>
  <c r="H217" i="250"/>
  <c r="E217" i="250"/>
  <c r="N214" i="250"/>
  <c r="J214" i="250"/>
  <c r="M214" i="250" s="1"/>
  <c r="G214" i="250"/>
  <c r="I214" i="250" s="1"/>
  <c r="N213" i="250"/>
  <c r="J213" i="250"/>
  <c r="M213" i="250" s="1"/>
  <c r="G213" i="250"/>
  <c r="I213" i="250" s="1"/>
  <c r="N212" i="250"/>
  <c r="J212" i="250"/>
  <c r="M212" i="250" s="1"/>
  <c r="I212" i="250"/>
  <c r="G212" i="250"/>
  <c r="N211" i="250"/>
  <c r="J211" i="250"/>
  <c r="M211" i="250" s="1"/>
  <c r="I211" i="250"/>
  <c r="G211" i="250"/>
  <c r="N210" i="250"/>
  <c r="M210" i="250"/>
  <c r="J210" i="250"/>
  <c r="I210" i="250"/>
  <c r="G210" i="250"/>
  <c r="N209" i="250"/>
  <c r="M209" i="250"/>
  <c r="J209" i="250"/>
  <c r="G209" i="250"/>
  <c r="I209" i="250" s="1"/>
  <c r="N208" i="250"/>
  <c r="M208" i="250"/>
  <c r="J208" i="250"/>
  <c r="G208" i="250"/>
  <c r="I208" i="250" s="1"/>
  <c r="N207" i="250"/>
  <c r="J207" i="250"/>
  <c r="M207" i="250" s="1"/>
  <c r="G207" i="250"/>
  <c r="I207" i="250" s="1"/>
  <c r="N206" i="250"/>
  <c r="J206" i="250"/>
  <c r="M206" i="250" s="1"/>
  <c r="G206" i="250"/>
  <c r="I206" i="250" s="1"/>
  <c r="N205" i="250"/>
  <c r="J205" i="250"/>
  <c r="M205" i="250" s="1"/>
  <c r="G205" i="250"/>
  <c r="I205" i="250" s="1"/>
  <c r="N204" i="250"/>
  <c r="J204" i="250"/>
  <c r="M204" i="250" s="1"/>
  <c r="I204" i="250"/>
  <c r="G204" i="250"/>
  <c r="N203" i="250"/>
  <c r="J203" i="250"/>
  <c r="M203" i="250" s="1"/>
  <c r="I203" i="250"/>
  <c r="G203" i="250"/>
  <c r="N202" i="250"/>
  <c r="M202" i="250"/>
  <c r="J202" i="250"/>
  <c r="I202" i="250"/>
  <c r="G202" i="250"/>
  <c r="N201" i="250"/>
  <c r="M201" i="250"/>
  <c r="J201" i="250"/>
  <c r="G201" i="250"/>
  <c r="I201" i="250" s="1"/>
  <c r="N200" i="250"/>
  <c r="M200" i="250"/>
  <c r="J200" i="250"/>
  <c r="G200" i="250"/>
  <c r="I200" i="250" s="1"/>
  <c r="N199" i="250"/>
  <c r="J199" i="250"/>
  <c r="M199" i="250" s="1"/>
  <c r="G199" i="250"/>
  <c r="I199" i="250" s="1"/>
  <c r="N198" i="250"/>
  <c r="J198" i="250"/>
  <c r="M198" i="250" s="1"/>
  <c r="G198" i="250"/>
  <c r="I198" i="250" s="1"/>
  <c r="N197" i="250"/>
  <c r="J197" i="250"/>
  <c r="M197" i="250" s="1"/>
  <c r="G197" i="250"/>
  <c r="I197" i="250" s="1"/>
  <c r="N196" i="250"/>
  <c r="J196" i="250"/>
  <c r="M196" i="250" s="1"/>
  <c r="I196" i="250"/>
  <c r="G196" i="250"/>
  <c r="N195" i="250"/>
  <c r="J195" i="250"/>
  <c r="M195" i="250" s="1"/>
  <c r="I195" i="250"/>
  <c r="G195" i="250"/>
  <c r="N194" i="250"/>
  <c r="M194" i="250"/>
  <c r="J194" i="250"/>
  <c r="I194" i="250"/>
  <c r="G194" i="250"/>
  <c r="N193" i="250"/>
  <c r="M193" i="250"/>
  <c r="J193" i="250"/>
  <c r="G193" i="250"/>
  <c r="I193" i="250" s="1"/>
  <c r="N192" i="250"/>
  <c r="M192" i="250"/>
  <c r="J192" i="250"/>
  <c r="G192" i="250"/>
  <c r="I192" i="250" s="1"/>
  <c r="N191" i="250"/>
  <c r="J191" i="250"/>
  <c r="M191" i="250" s="1"/>
  <c r="G191" i="250"/>
  <c r="I191" i="250" s="1"/>
  <c r="N190" i="250"/>
  <c r="J190" i="250"/>
  <c r="M190" i="250" s="1"/>
  <c r="G190" i="250"/>
  <c r="I190" i="250" s="1"/>
  <c r="N189" i="250"/>
  <c r="J189" i="250"/>
  <c r="M189" i="250" s="1"/>
  <c r="G189" i="250"/>
  <c r="N185" i="250"/>
  <c r="M185" i="250"/>
  <c r="L185" i="250"/>
  <c r="J185" i="250"/>
  <c r="I185" i="250"/>
  <c r="H185" i="250"/>
  <c r="G185" i="250"/>
  <c r="E185" i="250"/>
  <c r="N180" i="250"/>
  <c r="M180" i="250"/>
  <c r="L180" i="250"/>
  <c r="J180" i="250"/>
  <c r="I180" i="250"/>
  <c r="H180" i="250"/>
  <c r="G180" i="250"/>
  <c r="E180" i="250"/>
  <c r="L175" i="250"/>
  <c r="E175" i="250"/>
  <c r="N172" i="250"/>
  <c r="J172" i="250"/>
  <c r="M172" i="250" s="1"/>
  <c r="I172" i="250"/>
  <c r="G172" i="250"/>
  <c r="N171" i="250"/>
  <c r="J171" i="250"/>
  <c r="M171" i="250" s="1"/>
  <c r="I171" i="250"/>
  <c r="G171" i="250"/>
  <c r="N170" i="250"/>
  <c r="M170" i="250"/>
  <c r="J170" i="250"/>
  <c r="I170" i="250"/>
  <c r="G170" i="250"/>
  <c r="N169" i="250"/>
  <c r="M169" i="250"/>
  <c r="J169" i="250"/>
  <c r="G169" i="250"/>
  <c r="I169" i="250" s="1"/>
  <c r="N168" i="250"/>
  <c r="M168" i="250"/>
  <c r="J168" i="250"/>
  <c r="G168" i="250"/>
  <c r="I168" i="250" s="1"/>
  <c r="N167" i="250"/>
  <c r="J167" i="250"/>
  <c r="M167" i="250" s="1"/>
  <c r="G167" i="250"/>
  <c r="I167" i="250" s="1"/>
  <c r="N166" i="250"/>
  <c r="J166" i="250"/>
  <c r="M166" i="250" s="1"/>
  <c r="G166" i="250"/>
  <c r="I166" i="250" s="1"/>
  <c r="N165" i="250"/>
  <c r="J165" i="250"/>
  <c r="M165" i="250" s="1"/>
  <c r="G165" i="250"/>
  <c r="I165" i="250" s="1"/>
  <c r="N164" i="250"/>
  <c r="J164" i="250"/>
  <c r="M164" i="250" s="1"/>
  <c r="I164" i="250"/>
  <c r="G164" i="250"/>
  <c r="N163" i="250"/>
  <c r="J163" i="250"/>
  <c r="M163" i="250" s="1"/>
  <c r="I163" i="250"/>
  <c r="G163" i="250"/>
  <c r="N162" i="250"/>
  <c r="M162" i="250"/>
  <c r="J162" i="250"/>
  <c r="I162" i="250"/>
  <c r="G162" i="250"/>
  <c r="N161" i="250"/>
  <c r="M161" i="250"/>
  <c r="J161" i="250"/>
  <c r="G161" i="250"/>
  <c r="I161" i="250" s="1"/>
  <c r="N160" i="250"/>
  <c r="M160" i="250"/>
  <c r="J160" i="250"/>
  <c r="G160" i="250"/>
  <c r="I160" i="250" s="1"/>
  <c r="N159" i="250"/>
  <c r="J159" i="250"/>
  <c r="M159" i="250" s="1"/>
  <c r="G159" i="250"/>
  <c r="I159" i="250" s="1"/>
  <c r="N158" i="250"/>
  <c r="J158" i="250"/>
  <c r="M158" i="250" s="1"/>
  <c r="G158" i="250"/>
  <c r="I158" i="250" s="1"/>
  <c r="N157" i="250"/>
  <c r="J157" i="250"/>
  <c r="M157" i="250" s="1"/>
  <c r="G157" i="250"/>
  <c r="I157" i="250" s="1"/>
  <c r="N156" i="250"/>
  <c r="J156" i="250"/>
  <c r="M156" i="250" s="1"/>
  <c r="G156" i="250"/>
  <c r="N155" i="250"/>
  <c r="J155" i="250"/>
  <c r="M155" i="250" s="1"/>
  <c r="G155" i="250"/>
  <c r="I155" i="250" s="1"/>
  <c r="N154" i="250"/>
  <c r="J154" i="250"/>
  <c r="M154" i="250" s="1"/>
  <c r="G154" i="250"/>
  <c r="I154" i="250" s="1"/>
  <c r="N153" i="250"/>
  <c r="N175" i="250" s="1"/>
  <c r="J153" i="250"/>
  <c r="M153" i="250" s="1"/>
  <c r="I153" i="250"/>
  <c r="G153" i="250"/>
  <c r="N152" i="250"/>
  <c r="J152" i="250"/>
  <c r="I152" i="250"/>
  <c r="G152" i="250"/>
  <c r="N151" i="250"/>
  <c r="M151" i="250"/>
  <c r="J151" i="250"/>
  <c r="I151" i="250"/>
  <c r="G151" i="250"/>
  <c r="N150" i="250"/>
  <c r="M150" i="250"/>
  <c r="J150" i="250"/>
  <c r="H150" i="250"/>
  <c r="I150" i="250" s="1"/>
  <c r="G150" i="250"/>
  <c r="G175" i="250" s="1"/>
  <c r="L147" i="250"/>
  <c r="E147" i="250"/>
  <c r="N144" i="250"/>
  <c r="J144" i="250"/>
  <c r="M144" i="250" s="1"/>
  <c r="I144" i="250"/>
  <c r="G144" i="250"/>
  <c r="N143" i="250"/>
  <c r="M143" i="250"/>
  <c r="J143" i="250"/>
  <c r="I143" i="250"/>
  <c r="G143" i="250"/>
  <c r="N142" i="250"/>
  <c r="M142" i="250"/>
  <c r="J142" i="250"/>
  <c r="G142" i="250"/>
  <c r="I142" i="250" s="1"/>
  <c r="N141" i="250"/>
  <c r="M141" i="250"/>
  <c r="J141" i="250"/>
  <c r="G141" i="250"/>
  <c r="I141" i="250" s="1"/>
  <c r="N140" i="250"/>
  <c r="J140" i="250"/>
  <c r="M140" i="250" s="1"/>
  <c r="G140" i="250"/>
  <c r="I140" i="250" s="1"/>
  <c r="N139" i="250"/>
  <c r="J139" i="250"/>
  <c r="M139" i="250" s="1"/>
  <c r="G139" i="250"/>
  <c r="I139" i="250" s="1"/>
  <c r="N138" i="250"/>
  <c r="J138" i="250"/>
  <c r="M138" i="250" s="1"/>
  <c r="G138" i="250"/>
  <c r="N137" i="250"/>
  <c r="J137" i="250"/>
  <c r="M137" i="250" s="1"/>
  <c r="G137" i="250"/>
  <c r="I137" i="250" s="1"/>
  <c r="J136" i="250"/>
  <c r="M136" i="250" s="1"/>
  <c r="H136" i="250"/>
  <c r="N136" i="250" s="1"/>
  <c r="G136" i="250"/>
  <c r="N135" i="250"/>
  <c r="J135" i="250"/>
  <c r="M135" i="250" s="1"/>
  <c r="G135" i="250"/>
  <c r="I135" i="250" s="1"/>
  <c r="N134" i="250"/>
  <c r="J134" i="250"/>
  <c r="M134" i="250" s="1"/>
  <c r="I134" i="250"/>
  <c r="G134" i="250"/>
  <c r="N133" i="250"/>
  <c r="J133" i="250"/>
  <c r="M133" i="250" s="1"/>
  <c r="I133" i="250"/>
  <c r="G133" i="250"/>
  <c r="N132" i="250"/>
  <c r="M132" i="250"/>
  <c r="J132" i="250"/>
  <c r="I132" i="250"/>
  <c r="G132" i="250"/>
  <c r="N131" i="250"/>
  <c r="M131" i="250"/>
  <c r="J131" i="250"/>
  <c r="G131" i="250"/>
  <c r="I131" i="250" s="1"/>
  <c r="N130" i="250"/>
  <c r="M130" i="250"/>
  <c r="J130" i="250"/>
  <c r="G130" i="250"/>
  <c r="I130" i="250" s="1"/>
  <c r="N129" i="250"/>
  <c r="J129" i="250"/>
  <c r="M129" i="250" s="1"/>
  <c r="G129" i="250"/>
  <c r="I129" i="250" s="1"/>
  <c r="N128" i="250"/>
  <c r="J128" i="250"/>
  <c r="M128" i="250" s="1"/>
  <c r="G128" i="250"/>
  <c r="I128" i="250" s="1"/>
  <c r="N127" i="250"/>
  <c r="J127" i="250"/>
  <c r="M127" i="250" s="1"/>
  <c r="G127" i="250"/>
  <c r="I127" i="250" s="1"/>
  <c r="N126" i="250"/>
  <c r="J126" i="250"/>
  <c r="M126" i="250" s="1"/>
  <c r="I126" i="250"/>
  <c r="G126" i="250"/>
  <c r="N125" i="250"/>
  <c r="J125" i="250"/>
  <c r="M125" i="250" s="1"/>
  <c r="I125" i="250"/>
  <c r="G125" i="250"/>
  <c r="N124" i="250"/>
  <c r="M124" i="250"/>
  <c r="J124" i="250"/>
  <c r="I124" i="250"/>
  <c r="G124" i="250"/>
  <c r="N123" i="250"/>
  <c r="M123" i="250"/>
  <c r="J123" i="250"/>
  <c r="G123" i="250"/>
  <c r="I123" i="250" s="1"/>
  <c r="N122" i="250"/>
  <c r="M122" i="250"/>
  <c r="J122" i="250"/>
  <c r="G122" i="250"/>
  <c r="I122" i="250" s="1"/>
  <c r="N121" i="250"/>
  <c r="J121" i="250"/>
  <c r="M121" i="250" s="1"/>
  <c r="G121" i="250"/>
  <c r="I121" i="250" s="1"/>
  <c r="N120" i="250"/>
  <c r="J120" i="250"/>
  <c r="M120" i="250" s="1"/>
  <c r="G120" i="250"/>
  <c r="I120" i="250" s="1"/>
  <c r="N119" i="250"/>
  <c r="J119" i="250"/>
  <c r="M119" i="250" s="1"/>
  <c r="G119" i="250"/>
  <c r="I119" i="250" s="1"/>
  <c r="N118" i="250"/>
  <c r="J118" i="250"/>
  <c r="M118" i="250" s="1"/>
  <c r="I118" i="250"/>
  <c r="G118" i="250"/>
  <c r="N117" i="250"/>
  <c r="J117" i="250"/>
  <c r="M117" i="250" s="1"/>
  <c r="I117" i="250"/>
  <c r="G117" i="250"/>
  <c r="N116" i="250"/>
  <c r="M116" i="250"/>
  <c r="J116" i="250"/>
  <c r="I116" i="250"/>
  <c r="G116" i="250"/>
  <c r="N115" i="250"/>
  <c r="M115" i="250"/>
  <c r="J115" i="250"/>
  <c r="G115" i="250"/>
  <c r="I115" i="250" s="1"/>
  <c r="N114" i="250"/>
  <c r="M114" i="250"/>
  <c r="J114" i="250"/>
  <c r="G114" i="250"/>
  <c r="I114" i="250" s="1"/>
  <c r="N113" i="250"/>
  <c r="J113" i="250"/>
  <c r="M113" i="250" s="1"/>
  <c r="G113" i="250"/>
  <c r="I113" i="250" s="1"/>
  <c r="N112" i="250"/>
  <c r="J112" i="250"/>
  <c r="M112" i="250" s="1"/>
  <c r="G112" i="250"/>
  <c r="I112" i="250" s="1"/>
  <c r="N111" i="250"/>
  <c r="J111" i="250"/>
  <c r="M111" i="250" s="1"/>
  <c r="G111" i="250"/>
  <c r="I111" i="250" s="1"/>
  <c r="N110" i="250"/>
  <c r="J110" i="250"/>
  <c r="M110" i="250" s="1"/>
  <c r="I110" i="250"/>
  <c r="G110" i="250"/>
  <c r="N109" i="250"/>
  <c r="J109" i="250"/>
  <c r="M109" i="250" s="1"/>
  <c r="I109" i="250"/>
  <c r="G109" i="250"/>
  <c r="N108" i="250"/>
  <c r="M108" i="250"/>
  <c r="J108" i="250"/>
  <c r="I108" i="250"/>
  <c r="G108" i="250"/>
  <c r="N107" i="250"/>
  <c r="M107" i="250"/>
  <c r="J107" i="250"/>
  <c r="G107" i="250"/>
  <c r="I107" i="250" s="1"/>
  <c r="N106" i="250"/>
  <c r="M106" i="250"/>
  <c r="J106" i="250"/>
  <c r="G106" i="250"/>
  <c r="I106" i="250" s="1"/>
  <c r="N105" i="250"/>
  <c r="J105" i="250"/>
  <c r="M105" i="250" s="1"/>
  <c r="G105" i="250"/>
  <c r="I105" i="250" s="1"/>
  <c r="N104" i="250"/>
  <c r="J104" i="250"/>
  <c r="M104" i="250" s="1"/>
  <c r="G104" i="250"/>
  <c r="I104" i="250" s="1"/>
  <c r="N103" i="250"/>
  <c r="J103" i="250"/>
  <c r="M103" i="250" s="1"/>
  <c r="G103" i="250"/>
  <c r="I103" i="250" s="1"/>
  <c r="N102" i="250"/>
  <c r="J102" i="250"/>
  <c r="M102" i="250" s="1"/>
  <c r="I102" i="250"/>
  <c r="G102" i="250"/>
  <c r="N101" i="250"/>
  <c r="J101" i="250"/>
  <c r="M101" i="250" s="1"/>
  <c r="I101" i="250"/>
  <c r="G101" i="250"/>
  <c r="N100" i="250"/>
  <c r="M100" i="250"/>
  <c r="J100" i="250"/>
  <c r="I100" i="250"/>
  <c r="G100" i="250"/>
  <c r="N99" i="250"/>
  <c r="M99" i="250"/>
  <c r="J99" i="250"/>
  <c r="G99" i="250"/>
  <c r="I99" i="250" s="1"/>
  <c r="N98" i="250"/>
  <c r="M98" i="250"/>
  <c r="J98" i="250"/>
  <c r="G98" i="250"/>
  <c r="I98" i="250" s="1"/>
  <c r="N97" i="250"/>
  <c r="J97" i="250"/>
  <c r="M97" i="250" s="1"/>
  <c r="G97" i="250"/>
  <c r="I97" i="250" s="1"/>
  <c r="N96" i="250"/>
  <c r="J96" i="250"/>
  <c r="M96" i="250" s="1"/>
  <c r="G96" i="250"/>
  <c r="I96" i="250" s="1"/>
  <c r="N95" i="250"/>
  <c r="J95" i="250"/>
  <c r="M95" i="250" s="1"/>
  <c r="G95" i="250"/>
  <c r="I95" i="250" s="1"/>
  <c r="N94" i="250"/>
  <c r="J94" i="250"/>
  <c r="M94" i="250" s="1"/>
  <c r="I94" i="250"/>
  <c r="G94" i="250"/>
  <c r="N93" i="250"/>
  <c r="J93" i="250"/>
  <c r="M93" i="250" s="1"/>
  <c r="I93" i="250"/>
  <c r="G93" i="250"/>
  <c r="M92" i="250"/>
  <c r="J92" i="250"/>
  <c r="H92" i="250"/>
  <c r="G92" i="250" s="1"/>
  <c r="N91" i="250"/>
  <c r="M91" i="250"/>
  <c r="J91" i="250"/>
  <c r="H91" i="250"/>
  <c r="G91" i="250"/>
  <c r="N90" i="250"/>
  <c r="J90" i="250"/>
  <c r="M90" i="250" s="1"/>
  <c r="I90" i="250"/>
  <c r="G90" i="250"/>
  <c r="N89" i="250"/>
  <c r="M89" i="250"/>
  <c r="J89" i="250"/>
  <c r="I89" i="250"/>
  <c r="G89" i="250"/>
  <c r="N88" i="250"/>
  <c r="M88" i="250"/>
  <c r="J88" i="250"/>
  <c r="G88" i="250"/>
  <c r="I88" i="250" s="1"/>
  <c r="N87" i="250"/>
  <c r="M87" i="250"/>
  <c r="J87" i="250"/>
  <c r="G87" i="250"/>
  <c r="I87" i="250" s="1"/>
  <c r="N86" i="250"/>
  <c r="J86" i="250"/>
  <c r="M86" i="250" s="1"/>
  <c r="G86" i="250"/>
  <c r="I86" i="250" s="1"/>
  <c r="N85" i="250"/>
  <c r="J85" i="250"/>
  <c r="M85" i="250" s="1"/>
  <c r="G85" i="250"/>
  <c r="I85" i="250" s="1"/>
  <c r="N84" i="250"/>
  <c r="J84" i="250"/>
  <c r="M84" i="250" s="1"/>
  <c r="G84" i="250"/>
  <c r="N83" i="250"/>
  <c r="J83" i="250"/>
  <c r="M83" i="250" s="1"/>
  <c r="I83" i="250"/>
  <c r="G83" i="250"/>
  <c r="L80" i="250"/>
  <c r="E80" i="250"/>
  <c r="N77" i="250"/>
  <c r="J77" i="250"/>
  <c r="M77" i="250" s="1"/>
  <c r="I77" i="250"/>
  <c r="G77" i="250"/>
  <c r="N76" i="250"/>
  <c r="M76" i="250"/>
  <c r="J76" i="250"/>
  <c r="I76" i="250"/>
  <c r="G76" i="250"/>
  <c r="N75" i="250"/>
  <c r="M75" i="250"/>
  <c r="J75" i="250"/>
  <c r="G75" i="250"/>
  <c r="I75" i="250" s="1"/>
  <c r="N74" i="250"/>
  <c r="M74" i="250"/>
  <c r="J74" i="250"/>
  <c r="G74" i="250"/>
  <c r="I74" i="250" s="1"/>
  <c r="N73" i="250"/>
  <c r="J73" i="250"/>
  <c r="M73" i="250" s="1"/>
  <c r="G73" i="250"/>
  <c r="I73" i="250" s="1"/>
  <c r="M72" i="250"/>
  <c r="J72" i="250"/>
  <c r="H72" i="250"/>
  <c r="N72" i="250" s="1"/>
  <c r="G72" i="250"/>
  <c r="N71" i="250"/>
  <c r="J71" i="250"/>
  <c r="M71" i="250" s="1"/>
  <c r="H71" i="250"/>
  <c r="G71" i="250"/>
  <c r="N70" i="250"/>
  <c r="J70" i="250"/>
  <c r="M70" i="250" s="1"/>
  <c r="I70" i="250"/>
  <c r="G70" i="250"/>
  <c r="N69" i="250"/>
  <c r="J69" i="250"/>
  <c r="M69" i="250" s="1"/>
  <c r="I69" i="250"/>
  <c r="G69" i="250"/>
  <c r="N68" i="250"/>
  <c r="M68" i="250"/>
  <c r="J68" i="250"/>
  <c r="I68" i="250"/>
  <c r="G68" i="250"/>
  <c r="N67" i="250"/>
  <c r="M67" i="250"/>
  <c r="J67" i="250"/>
  <c r="G67" i="250"/>
  <c r="I67" i="250" s="1"/>
  <c r="N66" i="250"/>
  <c r="M66" i="250"/>
  <c r="J66" i="250"/>
  <c r="G66" i="250"/>
  <c r="I66" i="250" s="1"/>
  <c r="N65" i="250"/>
  <c r="J65" i="250"/>
  <c r="M65" i="250" s="1"/>
  <c r="G65" i="250"/>
  <c r="I65" i="250" s="1"/>
  <c r="N64" i="250"/>
  <c r="J64" i="250"/>
  <c r="M64" i="250" s="1"/>
  <c r="G64" i="250"/>
  <c r="I64" i="250" s="1"/>
  <c r="N63" i="250"/>
  <c r="J63" i="250"/>
  <c r="M63" i="250" s="1"/>
  <c r="G63" i="250"/>
  <c r="I63" i="250" s="1"/>
  <c r="N62" i="250"/>
  <c r="J62" i="250"/>
  <c r="M62" i="250" s="1"/>
  <c r="I62" i="250"/>
  <c r="G62" i="250"/>
  <c r="N61" i="250"/>
  <c r="J61" i="250"/>
  <c r="M61" i="250" s="1"/>
  <c r="I61" i="250"/>
  <c r="G61" i="250"/>
  <c r="N60" i="250"/>
  <c r="M60" i="250"/>
  <c r="J60" i="250"/>
  <c r="I60" i="250"/>
  <c r="G60" i="250"/>
  <c r="N59" i="250"/>
  <c r="M59" i="250"/>
  <c r="J59" i="250"/>
  <c r="H59" i="250"/>
  <c r="G59" i="250"/>
  <c r="M58" i="250"/>
  <c r="J58" i="250"/>
  <c r="H58" i="250"/>
  <c r="N58" i="250" s="1"/>
  <c r="G58" i="250"/>
  <c r="N57" i="250"/>
  <c r="J57" i="250"/>
  <c r="M57" i="250" s="1"/>
  <c r="H57" i="250"/>
  <c r="I57" i="250" s="1"/>
  <c r="G57" i="250"/>
  <c r="N56" i="250"/>
  <c r="M56" i="250"/>
  <c r="J56" i="250"/>
  <c r="H56" i="250"/>
  <c r="G56" i="250"/>
  <c r="N55" i="250"/>
  <c r="M55" i="250"/>
  <c r="J55" i="250"/>
  <c r="I55" i="250"/>
  <c r="G55" i="250"/>
  <c r="N54" i="250"/>
  <c r="J54" i="250"/>
  <c r="M54" i="250" s="1"/>
  <c r="G54" i="250"/>
  <c r="I54" i="250" s="1"/>
  <c r="N53" i="250"/>
  <c r="M53" i="250"/>
  <c r="J53" i="250"/>
  <c r="G53" i="250"/>
  <c r="I53" i="250" s="1"/>
  <c r="N52" i="250"/>
  <c r="J52" i="250"/>
  <c r="M52" i="250" s="1"/>
  <c r="G52" i="250"/>
  <c r="I52" i="250" s="1"/>
  <c r="N51" i="250"/>
  <c r="J51" i="250"/>
  <c r="M51" i="250" s="1"/>
  <c r="I51" i="250"/>
  <c r="G51" i="250"/>
  <c r="N50" i="250"/>
  <c r="J50" i="250"/>
  <c r="M50" i="250" s="1"/>
  <c r="I50" i="250"/>
  <c r="G50" i="250"/>
  <c r="N49" i="250"/>
  <c r="M49" i="250"/>
  <c r="J49" i="250"/>
  <c r="I49" i="250"/>
  <c r="G49" i="250"/>
  <c r="N48" i="250"/>
  <c r="M48" i="250"/>
  <c r="J48" i="250"/>
  <c r="G48" i="250"/>
  <c r="I48" i="250" s="1"/>
  <c r="N47" i="250"/>
  <c r="M47" i="250"/>
  <c r="J47" i="250"/>
  <c r="G47" i="250"/>
  <c r="L44" i="250"/>
  <c r="H44" i="250"/>
  <c r="G44" i="250"/>
  <c r="E44" i="250"/>
  <c r="N41" i="250"/>
  <c r="J41" i="250"/>
  <c r="M41" i="250" s="1"/>
  <c r="G41" i="250"/>
  <c r="I41" i="250" s="1"/>
  <c r="N40" i="250"/>
  <c r="N44" i="250" s="1"/>
  <c r="J40" i="250"/>
  <c r="J44" i="250" s="1"/>
  <c r="G40" i="250"/>
  <c r="I40" i="250" s="1"/>
  <c r="I44" i="250" s="1"/>
  <c r="L37" i="250"/>
  <c r="H37" i="250"/>
  <c r="E37" i="250"/>
  <c r="N34" i="250"/>
  <c r="J34" i="250"/>
  <c r="M34" i="250" s="1"/>
  <c r="G34" i="250"/>
  <c r="I34" i="250" s="1"/>
  <c r="N33" i="250"/>
  <c r="J33" i="250"/>
  <c r="M33" i="250" s="1"/>
  <c r="I33" i="250"/>
  <c r="G33" i="250"/>
  <c r="N32" i="250"/>
  <c r="J32" i="250"/>
  <c r="M32" i="250" s="1"/>
  <c r="I32" i="250"/>
  <c r="G32" i="250"/>
  <c r="N31" i="250"/>
  <c r="M31" i="250"/>
  <c r="J31" i="250"/>
  <c r="I31" i="250"/>
  <c r="G31" i="250"/>
  <c r="N30" i="250"/>
  <c r="M30" i="250"/>
  <c r="J30" i="250"/>
  <c r="G30" i="250"/>
  <c r="I30" i="250" s="1"/>
  <c r="N29" i="250"/>
  <c r="M29" i="250"/>
  <c r="J29" i="250"/>
  <c r="G29" i="250"/>
  <c r="I29" i="250" s="1"/>
  <c r="N28" i="250"/>
  <c r="J28" i="250"/>
  <c r="M28" i="250" s="1"/>
  <c r="G28" i="250"/>
  <c r="I28" i="250" s="1"/>
  <c r="N27" i="250"/>
  <c r="J27" i="250"/>
  <c r="M27" i="250" s="1"/>
  <c r="G27" i="250"/>
  <c r="I27" i="250" s="1"/>
  <c r="N26" i="250"/>
  <c r="J26" i="250"/>
  <c r="M26" i="250" s="1"/>
  <c r="G26" i="250"/>
  <c r="I26" i="250" s="1"/>
  <c r="N25" i="250"/>
  <c r="J25" i="250"/>
  <c r="M25" i="250" s="1"/>
  <c r="I25" i="250"/>
  <c r="G25" i="250"/>
  <c r="N24" i="250"/>
  <c r="J24" i="250"/>
  <c r="M24" i="250" s="1"/>
  <c r="I24" i="250"/>
  <c r="G24" i="250"/>
  <c r="N23" i="250"/>
  <c r="M23" i="250"/>
  <c r="J23" i="250"/>
  <c r="I23" i="250"/>
  <c r="G23" i="250"/>
  <c r="N22" i="250"/>
  <c r="M22" i="250"/>
  <c r="J22" i="250"/>
  <c r="G22" i="250"/>
  <c r="I22" i="250" s="1"/>
  <c r="N21" i="250"/>
  <c r="M21" i="250"/>
  <c r="J21" i="250"/>
  <c r="G21" i="250"/>
  <c r="I21" i="250" s="1"/>
  <c r="N20" i="250"/>
  <c r="J20" i="250"/>
  <c r="M20" i="250" s="1"/>
  <c r="G20" i="250"/>
  <c r="I20" i="250" s="1"/>
  <c r="N19" i="250"/>
  <c r="J19" i="250"/>
  <c r="M19" i="250" s="1"/>
  <c r="G19" i="250"/>
  <c r="I19" i="250" s="1"/>
  <c r="N18" i="250"/>
  <c r="J18" i="250"/>
  <c r="M18" i="250" s="1"/>
  <c r="G18" i="250"/>
  <c r="I18" i="250" s="1"/>
  <c r="N17" i="250"/>
  <c r="J17" i="250"/>
  <c r="M17" i="250" s="1"/>
  <c r="I17" i="250"/>
  <c r="G17" i="250"/>
  <c r="N16" i="250"/>
  <c r="J16" i="250"/>
  <c r="M16" i="250" s="1"/>
  <c r="I16" i="250"/>
  <c r="G16" i="250"/>
  <c r="N15" i="250"/>
  <c r="M15" i="250"/>
  <c r="J15" i="250"/>
  <c r="I15" i="250"/>
  <c r="G15" i="250"/>
  <c r="N14" i="250"/>
  <c r="M14" i="250"/>
  <c r="J14" i="250"/>
  <c r="G14" i="250"/>
  <c r="I14" i="250" s="1"/>
  <c r="N13" i="250"/>
  <c r="M13" i="250"/>
  <c r="J13" i="250"/>
  <c r="G13" i="250"/>
  <c r="I13" i="250" s="1"/>
  <c r="N12" i="250"/>
  <c r="J12" i="250"/>
  <c r="M12" i="250" s="1"/>
  <c r="G12" i="250"/>
  <c r="I12" i="250" s="1"/>
  <c r="N11" i="250"/>
  <c r="J11" i="250"/>
  <c r="G11" i="250"/>
  <c r="L8" i="250"/>
  <c r="I8" i="250"/>
  <c r="H8" i="250"/>
  <c r="E8" i="250"/>
  <c r="N5" i="250"/>
  <c r="J5" i="250"/>
  <c r="M5" i="250" s="1"/>
  <c r="G5" i="250"/>
  <c r="I5" i="250" s="1"/>
  <c r="N4" i="250"/>
  <c r="N8" i="250" s="1"/>
  <c r="J4" i="250"/>
  <c r="J8" i="250" s="1"/>
  <c r="I4" i="250"/>
  <c r="G4" i="250"/>
  <c r="G8" i="250" s="1"/>
  <c r="C100" i="249"/>
  <c r="F71" i="249"/>
  <c r="E71" i="249"/>
  <c r="F64" i="249"/>
  <c r="E64" i="249"/>
  <c r="G58" i="249"/>
  <c r="G37" i="249" s="1"/>
  <c r="D37" i="249" s="1"/>
  <c r="G6" i="249" s="1"/>
  <c r="H6" i="249" s="1"/>
  <c r="H57" i="249"/>
  <c r="G57" i="249"/>
  <c r="D50" i="249"/>
  <c r="D49" i="249"/>
  <c r="D48" i="249"/>
  <c r="G17" i="249" s="1"/>
  <c r="H17" i="249" s="1"/>
  <c r="D47" i="249"/>
  <c r="G16" i="249" s="1"/>
  <c r="H16" i="249" s="1"/>
  <c r="D46" i="249"/>
  <c r="D45" i="249"/>
  <c r="F44" i="249"/>
  <c r="D44" i="249"/>
  <c r="H43" i="249"/>
  <c r="D43" i="249" s="1"/>
  <c r="G12" i="249" s="1"/>
  <c r="H12" i="249" s="1"/>
  <c r="D42" i="249"/>
  <c r="D41" i="249"/>
  <c r="D40" i="249"/>
  <c r="G9" i="249" s="1"/>
  <c r="H9" i="249" s="1"/>
  <c r="D39" i="249"/>
  <c r="D38" i="249"/>
  <c r="F24" i="249"/>
  <c r="E20" i="249"/>
  <c r="G19" i="249"/>
  <c r="H19" i="249" s="1"/>
  <c r="G18" i="249"/>
  <c r="H18" i="249" s="1"/>
  <c r="H15" i="249"/>
  <c r="G15" i="249"/>
  <c r="H14" i="249"/>
  <c r="G14" i="249"/>
  <c r="G13" i="249"/>
  <c r="H13" i="249" s="1"/>
  <c r="G11" i="249"/>
  <c r="H11" i="249" s="1"/>
  <c r="G10" i="249"/>
  <c r="H10" i="249" s="1"/>
  <c r="F29" i="249" s="1"/>
  <c r="G8" i="249"/>
  <c r="H8" i="249" s="1"/>
  <c r="A8" i="249"/>
  <c r="A9" i="249" s="1"/>
  <c r="A10" i="249" s="1"/>
  <c r="H7" i="249"/>
  <c r="G7" i="249"/>
  <c r="A7" i="249"/>
  <c r="J147" i="250" l="1"/>
  <c r="M229" i="250"/>
  <c r="E241" i="250"/>
  <c r="E242" i="250" s="1"/>
  <c r="M40" i="250"/>
  <c r="M44" i="250" s="1"/>
  <c r="H80" i="250"/>
  <c r="M147" i="250"/>
  <c r="N37" i="250"/>
  <c r="G80" i="250"/>
  <c r="N80" i="250"/>
  <c r="G147" i="250"/>
  <c r="I84" i="250"/>
  <c r="I147" i="250" s="1"/>
  <c r="G217" i="250"/>
  <c r="E233" i="250"/>
  <c r="I226" i="250"/>
  <c r="I229" i="250" s="1"/>
  <c r="H229" i="250"/>
  <c r="E239" i="250"/>
  <c r="E240" i="250" s="1"/>
  <c r="G37" i="250"/>
  <c r="G233" i="250" s="1"/>
  <c r="J37" i="250"/>
  <c r="J233" i="250" s="1"/>
  <c r="I47" i="250"/>
  <c r="I80" i="250" s="1"/>
  <c r="I138" i="250"/>
  <c r="H138" i="250"/>
  <c r="M217" i="250"/>
  <c r="M80" i="250"/>
  <c r="H147" i="250"/>
  <c r="L233" i="250"/>
  <c r="E236" i="250" s="1"/>
  <c r="E237" i="250" s="1"/>
  <c r="M11" i="250"/>
  <c r="M37" i="250" s="1"/>
  <c r="J80" i="250"/>
  <c r="J175" i="250"/>
  <c r="N217" i="250"/>
  <c r="I91" i="250"/>
  <c r="N92" i="250"/>
  <c r="N147" i="250" s="1"/>
  <c r="G229" i="250"/>
  <c r="M4" i="250"/>
  <c r="M8" i="250" s="1"/>
  <c r="I11" i="250"/>
  <c r="I37" i="250" s="1"/>
  <c r="J217" i="250"/>
  <c r="M152" i="250"/>
  <c r="M175" i="250" s="1"/>
  <c r="I189" i="250"/>
  <c r="I217" i="250" s="1"/>
  <c r="H156" i="250"/>
  <c r="H175" i="250" s="1"/>
  <c r="G24" i="249"/>
  <c r="A11" i="249"/>
  <c r="A12" i="249" s="1"/>
  <c r="A13" i="249" s="1"/>
  <c r="A14" i="249" s="1"/>
  <c r="A15" i="249" s="1"/>
  <c r="A16" i="249" s="1"/>
  <c r="A17" i="249" s="1"/>
  <c r="A18" i="249" s="1"/>
  <c r="A19" i="249" s="1"/>
  <c r="H20" i="249"/>
  <c r="F23" i="249" s="1"/>
  <c r="F25" i="249" s="1"/>
  <c r="F27" i="249" s="1"/>
  <c r="F30" i="249" s="1"/>
  <c r="N233" i="250" l="1"/>
  <c r="E243" i="250"/>
  <c r="E245" i="250" s="1"/>
  <c r="E246" i="250" s="1"/>
  <c r="M233" i="250"/>
  <c r="H233" i="250"/>
  <c r="E249" i="250" s="1"/>
  <c r="I156" i="250"/>
  <c r="I175" i="250" s="1"/>
  <c r="I233" i="250" s="1"/>
  <c r="C77" i="249"/>
  <c r="A20" i="249"/>
  <c r="A23" i="249" l="1"/>
  <c r="G23" i="249"/>
  <c r="A24" i="249" l="1"/>
  <c r="A25" i="249" s="1"/>
  <c r="G25" i="249"/>
  <c r="A26" i="249" l="1"/>
  <c r="A27" i="249" s="1"/>
  <c r="A28" i="249" l="1"/>
  <c r="G27" i="249"/>
  <c r="A29" i="249" l="1"/>
  <c r="G29" i="249"/>
  <c r="A30" i="249" l="1"/>
  <c r="A37" i="249" s="1"/>
  <c r="G30" i="249"/>
  <c r="G78" i="249" l="1"/>
  <c r="A38" i="249"/>
  <c r="A39" i="249" s="1"/>
  <c r="A40" i="249" s="1"/>
  <c r="A41" i="249" s="1"/>
  <c r="A42" i="249" s="1"/>
  <c r="A43" i="249" s="1"/>
  <c r="A44" i="249" l="1"/>
  <c r="C79" i="249"/>
  <c r="C73" i="249" l="1"/>
  <c r="A45" i="249"/>
  <c r="A46" i="249" s="1"/>
  <c r="A47" i="249" s="1"/>
  <c r="A48" i="249" s="1"/>
  <c r="A49" i="249" s="1"/>
  <c r="A50" i="249" s="1"/>
  <c r="E20" i="100" l="1"/>
  <c r="E18" i="100"/>
  <c r="E16" i="100"/>
  <c r="D7" i="194"/>
  <c r="E14" i="100"/>
  <c r="F103" i="248"/>
  <c r="F98" i="248"/>
  <c r="E87" i="248"/>
  <c r="J86" i="248"/>
  <c r="L78" i="248"/>
  <c r="J62" i="248"/>
  <c r="H42" i="248"/>
  <c r="H33" i="248"/>
  <c r="J21" i="248"/>
  <c r="A7" i="248"/>
  <c r="A8" i="248" s="1"/>
  <c r="A9" i="248" s="1"/>
  <c r="A12" i="248" s="1"/>
  <c r="E103" i="248" l="1"/>
  <c r="J42" i="248" s="1"/>
  <c r="J15" i="248"/>
  <c r="E98" i="248"/>
  <c r="J33" i="248" s="1"/>
  <c r="J29" i="248"/>
  <c r="A13" i="248"/>
  <c r="A14" i="248" s="1"/>
  <c r="A15" i="248" s="1"/>
  <c r="A18" i="248" s="1"/>
  <c r="H15" i="248"/>
  <c r="A19" i="248" l="1"/>
  <c r="A20" i="248" s="1"/>
  <c r="A21" i="248" s="1"/>
  <c r="J41" i="248"/>
  <c r="J38" i="248"/>
  <c r="J56" i="248" s="1"/>
  <c r="J34" i="248"/>
  <c r="J55" i="248" s="1"/>
  <c r="J59" i="248" s="1"/>
  <c r="J64" i="248" s="1"/>
  <c r="E68" i="248" s="1"/>
  <c r="E70" i="248" l="1"/>
  <c r="E72" i="248"/>
  <c r="A23" i="248"/>
  <c r="H29" i="248"/>
  <c r="H21" i="248"/>
  <c r="E73" i="248" l="1"/>
  <c r="A24" i="248"/>
  <c r="A25" i="248" s="1"/>
  <c r="A26" i="248" s="1"/>
  <c r="A27" i="248" s="1"/>
  <c r="A29" i="248" s="1"/>
  <c r="J70" i="248" l="1"/>
  <c r="J72" i="248" s="1"/>
  <c r="D6" i="194"/>
  <c r="D8" i="194" s="1"/>
  <c r="H24" i="86" s="1"/>
  <c r="H30" i="248"/>
  <c r="H41" i="248"/>
  <c r="A33" i="248"/>
  <c r="A34" i="248" s="1"/>
  <c r="H34" i="248"/>
  <c r="A38" i="248" l="1"/>
  <c r="H55" i="248"/>
  <c r="H56" i="248" l="1"/>
  <c r="A41" i="248"/>
  <c r="A42" i="248" s="1"/>
  <c r="A43" i="248" s="1"/>
  <c r="A44" i="248" s="1"/>
  <c r="A45" i="248" s="1"/>
  <c r="A48" i="248" s="1"/>
  <c r="A49" i="248" l="1"/>
  <c r="A50" i="248" s="1"/>
  <c r="A51" i="248" s="1"/>
  <c r="A52" i="248" s="1"/>
  <c r="A53" i="248" s="1"/>
  <c r="A54" i="248" s="1"/>
  <c r="A55" i="248" s="1"/>
  <c r="A56" i="248" s="1"/>
  <c r="A57" i="248" s="1"/>
  <c r="A58" i="248" s="1"/>
  <c r="A59" i="248" s="1"/>
  <c r="H59" i="248"/>
  <c r="H64" i="248" l="1"/>
  <c r="A61" i="248"/>
  <c r="A64" i="248" s="1"/>
  <c r="A68" i="248" l="1"/>
  <c r="G68" i="248"/>
  <c r="G70" i="248" l="1"/>
  <c r="G72" i="248"/>
  <c r="A69" i="248"/>
  <c r="A70" i="248" s="1"/>
  <c r="A71" i="248" s="1"/>
  <c r="A72" i="248" s="1"/>
  <c r="A73" i="248" s="1"/>
  <c r="G73" i="248" l="1"/>
  <c r="E10" i="100" l="1"/>
  <c r="C100" i="247"/>
  <c r="F71" i="247"/>
  <c r="E71" i="247"/>
  <c r="H43" i="247" s="1"/>
  <c r="D43" i="247" s="1"/>
  <c r="G12" i="247" s="1"/>
  <c r="H12" i="247" s="1"/>
  <c r="F64" i="247"/>
  <c r="E64" i="247"/>
  <c r="H57" i="247"/>
  <c r="G57" i="247"/>
  <c r="G58" i="247" s="1"/>
  <c r="G37" i="247" s="1"/>
  <c r="D37" i="247" s="1"/>
  <c r="G6" i="247" s="1"/>
  <c r="H6" i="247" s="1"/>
  <c r="H20" i="247" s="1"/>
  <c r="F23" i="247" s="1"/>
  <c r="F25" i="247" s="1"/>
  <c r="F27" i="247" s="1"/>
  <c r="F30" i="247" s="1"/>
  <c r="D50" i="247"/>
  <c r="D49" i="247"/>
  <c r="G18" i="247" s="1"/>
  <c r="H18" i="247" s="1"/>
  <c r="D48" i="247"/>
  <c r="D47" i="247"/>
  <c r="G16" i="247" s="1"/>
  <c r="H16" i="247" s="1"/>
  <c r="D46" i="247"/>
  <c r="G15" i="247" s="1"/>
  <c r="H15" i="247" s="1"/>
  <c r="D45" i="247"/>
  <c r="F44" i="247"/>
  <c r="D44" i="247" s="1"/>
  <c r="G13" i="247" s="1"/>
  <c r="H13" i="247" s="1"/>
  <c r="D42" i="247"/>
  <c r="D41" i="247"/>
  <c r="D40" i="247"/>
  <c r="D39" i="247"/>
  <c r="D38" i="247"/>
  <c r="G7" i="247" s="1"/>
  <c r="H7" i="247" s="1"/>
  <c r="F24" i="247"/>
  <c r="E20" i="247"/>
  <c r="G19" i="247"/>
  <c r="H19" i="247" s="1"/>
  <c r="G17" i="247"/>
  <c r="H17" i="247" s="1"/>
  <c r="G14" i="247"/>
  <c r="H14" i="247" s="1"/>
  <c r="G11" i="247"/>
  <c r="H11" i="247" s="1"/>
  <c r="G10" i="247"/>
  <c r="H10" i="247" s="1"/>
  <c r="F29" i="247" s="1"/>
  <c r="G9" i="247"/>
  <c r="H9" i="247" s="1"/>
  <c r="A9" i="247"/>
  <c r="A10" i="247" s="1"/>
  <c r="H8" i="247"/>
  <c r="G8" i="247"/>
  <c r="A8" i="247"/>
  <c r="A7" i="247"/>
  <c r="A11" i="247" l="1"/>
  <c r="A12" i="247" s="1"/>
  <c r="A13" i="247" s="1"/>
  <c r="A14" i="247" s="1"/>
  <c r="A15" i="247" s="1"/>
  <c r="A16" i="247" s="1"/>
  <c r="A17" i="247" s="1"/>
  <c r="A18" i="247" s="1"/>
  <c r="A19" i="247" s="1"/>
  <c r="G24" i="247"/>
  <c r="C77" i="247" l="1"/>
  <c r="A20" i="247"/>
  <c r="G23" i="247" l="1"/>
  <c r="A23" i="247"/>
  <c r="A24" i="247" l="1"/>
  <c r="A25" i="247" s="1"/>
  <c r="A26" i="247" l="1"/>
  <c r="A27" i="247" s="1"/>
  <c r="G27" i="247"/>
  <c r="G25" i="247"/>
  <c r="A28" i="247" l="1"/>
  <c r="A29" i="247" l="1"/>
  <c r="G29" i="247"/>
  <c r="A30" i="247" l="1"/>
  <c r="A37" i="247" s="1"/>
  <c r="G30" i="247"/>
  <c r="A38" i="247" l="1"/>
  <c r="A39" i="247" s="1"/>
  <c r="A40" i="247" s="1"/>
  <c r="A41" i="247" s="1"/>
  <c r="A42" i="247" s="1"/>
  <c r="A43" i="247" s="1"/>
  <c r="G78" i="247"/>
  <c r="C79" i="247" l="1"/>
  <c r="A44" i="247"/>
  <c r="A45" i="247" l="1"/>
  <c r="A46" i="247" s="1"/>
  <c r="A47" i="247" s="1"/>
  <c r="A48" i="247" s="1"/>
  <c r="A49" i="247" s="1"/>
  <c r="A50" i="247" s="1"/>
  <c r="C73" i="247"/>
  <c r="E10" i="213" l="1"/>
  <c r="E9" i="213"/>
  <c r="L83" i="246"/>
  <c r="L82" i="246"/>
  <c r="L81" i="246"/>
  <c r="L80" i="246"/>
  <c r="F103" i="246"/>
  <c r="F98" i="246"/>
  <c r="E87" i="246"/>
  <c r="J86" i="246"/>
  <c r="L77" i="246"/>
  <c r="J62" i="246"/>
  <c r="H42" i="246"/>
  <c r="H33" i="246"/>
  <c r="A7" i="246"/>
  <c r="E103" i="246" l="1"/>
  <c r="J42" i="246" s="1"/>
  <c r="J21" i="246"/>
  <c r="J15" i="246"/>
  <c r="E98" i="246"/>
  <c r="J33" i="246" s="1"/>
  <c r="J29" i="246"/>
  <c r="A8" i="246"/>
  <c r="A9" i="246" s="1"/>
  <c r="A12" i="246" s="1"/>
  <c r="A13" i="246" l="1"/>
  <c r="A14" i="246" s="1"/>
  <c r="A15" i="246" s="1"/>
  <c r="J41" i="246"/>
  <c r="J34" i="246"/>
  <c r="J55" i="246" s="1"/>
  <c r="J38" i="246"/>
  <c r="J56" i="246" s="1"/>
  <c r="A18" i="246" l="1"/>
  <c r="J59" i="246"/>
  <c r="J64" i="246" s="1"/>
  <c r="E68" i="246" s="1"/>
  <c r="H15" i="246"/>
  <c r="E70" i="246" l="1"/>
  <c r="E72" i="246"/>
  <c r="E73" i="246" s="1"/>
  <c r="J70" i="246" s="1"/>
  <c r="A19" i="246"/>
  <c r="A20" i="246" s="1"/>
  <c r="A21" i="246" s="1"/>
  <c r="A23" i="246" l="1"/>
  <c r="H29" i="246"/>
  <c r="H21" i="246"/>
  <c r="A24" i="246" l="1"/>
  <c r="A25" i="246" s="1"/>
  <c r="A26" i="246" s="1"/>
  <c r="A27" i="246" s="1"/>
  <c r="A29" i="246" s="1"/>
  <c r="H30" i="246"/>
  <c r="H41" i="246" l="1"/>
  <c r="A33" i="246"/>
  <c r="A34" i="246" s="1"/>
  <c r="A38" i="246" l="1"/>
  <c r="H55" i="246"/>
  <c r="H34" i="246"/>
  <c r="H56" i="246" l="1"/>
  <c r="A41" i="246"/>
  <c r="A42" i="246" s="1"/>
  <c r="A43" i="246" s="1"/>
  <c r="A44" i="246" s="1"/>
  <c r="A45" i="246" s="1"/>
  <c r="A48" i="246" s="1"/>
  <c r="A49" i="246" l="1"/>
  <c r="A50" i="246" s="1"/>
  <c r="A51" i="246" s="1"/>
  <c r="A52" i="246" s="1"/>
  <c r="A53" i="246" s="1"/>
  <c r="A54" i="246" s="1"/>
  <c r="A55" i="246" s="1"/>
  <c r="A56" i="246" s="1"/>
  <c r="A57" i="246" s="1"/>
  <c r="A58" i="246" s="1"/>
  <c r="A59" i="246" s="1"/>
  <c r="H64" i="246" l="1"/>
  <c r="A61" i="246"/>
  <c r="A64" i="246" s="1"/>
  <c r="H59" i="246"/>
  <c r="A68" i="246" l="1"/>
  <c r="G68" i="246"/>
  <c r="A69" i="246" l="1"/>
  <c r="A70" i="246" s="1"/>
  <c r="A71" i="246" s="1"/>
  <c r="A72" i="246" s="1"/>
  <c r="A73" i="246" s="1"/>
  <c r="G73" i="246" l="1"/>
  <c r="G72" i="246"/>
  <c r="G70" i="246"/>
  <c r="I12" i="86" l="1"/>
  <c r="J12" i="86" s="1"/>
  <c r="I24" i="86"/>
  <c r="D25" i="86"/>
  <c r="D26" i="86" s="1"/>
  <c r="D27" i="86" s="1"/>
  <c r="J24" i="86" l="1"/>
  <c r="K24" i="86" s="1"/>
  <c r="H25" i="86"/>
  <c r="K12" i="86"/>
  <c r="I13" i="86" s="1"/>
  <c r="D28" i="86"/>
  <c r="H26" i="86" l="1"/>
  <c r="I25" i="86"/>
  <c r="D29" i="86"/>
  <c r="J13" i="86"/>
  <c r="K13" i="86" s="1"/>
  <c r="I14" i="86" s="1"/>
  <c r="J14" i="86" l="1"/>
  <c r="K14" i="86" s="1"/>
  <c r="I15" i="86" s="1"/>
  <c r="D30" i="86"/>
  <c r="J25" i="86"/>
  <c r="K25" i="86" s="1"/>
  <c r="I26" i="86" s="1"/>
  <c r="H27" i="86"/>
  <c r="D31" i="86" l="1"/>
  <c r="H28" i="86"/>
  <c r="J26" i="86"/>
  <c r="K26" i="86" s="1"/>
  <c r="I27" i="86" s="1"/>
  <c r="J15" i="86"/>
  <c r="K15" i="86" s="1"/>
  <c r="I16" i="86" s="1"/>
  <c r="J27" i="86" l="1"/>
  <c r="K27" i="86" s="1"/>
  <c r="I28" i="86" s="1"/>
  <c r="H29" i="86"/>
  <c r="J16" i="86"/>
  <c r="K16" i="86" s="1"/>
  <c r="I17" i="86" s="1"/>
  <c r="D32" i="86"/>
  <c r="J28" i="86" l="1"/>
  <c r="K28" i="86" s="1"/>
  <c r="I29" i="86" s="1"/>
  <c r="H30" i="86"/>
  <c r="D33" i="86"/>
  <c r="J17" i="86"/>
  <c r="K17" i="86" s="1"/>
  <c r="I18" i="86" s="1"/>
  <c r="J29" i="86" l="1"/>
  <c r="K29" i="86" s="1"/>
  <c r="I30" i="86" s="1"/>
  <c r="J18" i="86"/>
  <c r="K18" i="86" s="1"/>
  <c r="I19" i="86" s="1"/>
  <c r="D34" i="86"/>
  <c r="H31" i="86"/>
  <c r="J30" i="86" l="1"/>
  <c r="K30" i="86" s="1"/>
  <c r="I31" i="86" s="1"/>
  <c r="D35" i="86"/>
  <c r="J19" i="86"/>
  <c r="K19" i="86" s="1"/>
  <c r="I20" i="86" s="1"/>
  <c r="H32" i="86"/>
  <c r="J31" i="86" l="1"/>
  <c r="K31" i="86" s="1"/>
  <c r="I32" i="86" s="1"/>
  <c r="H33" i="86"/>
  <c r="J20" i="86"/>
  <c r="K20" i="86" s="1"/>
  <c r="I21" i="86" s="1"/>
  <c r="J21" i="86" l="1"/>
  <c r="K21" i="86" s="1"/>
  <c r="I22" i="86" s="1"/>
  <c r="J32" i="86"/>
  <c r="K32" i="86" s="1"/>
  <c r="I33" i="86" s="1"/>
  <c r="H34" i="86"/>
  <c r="J22" i="86" l="1"/>
  <c r="K22" i="86" s="1"/>
  <c r="I23" i="86" s="1"/>
  <c r="J33" i="86"/>
  <c r="K33" i="86" s="1"/>
  <c r="I34" i="86" s="1"/>
  <c r="H35" i="86"/>
  <c r="H36" i="86" s="1"/>
  <c r="J23" i="86" l="1"/>
  <c r="K23" i="86" s="1"/>
  <c r="J34" i="86"/>
  <c r="K34" i="86" s="1"/>
  <c r="I35" i="86" s="1"/>
  <c r="J35" i="86" l="1"/>
  <c r="K35" i="86" s="1"/>
  <c r="K36" i="86" s="1"/>
  <c r="F22" i="100" l="1"/>
  <c r="E22" i="100"/>
  <c r="E25" i="100" s="1"/>
  <c r="F14" i="100" l="1"/>
  <c r="F10" i="213"/>
  <c r="G10" i="213" s="1"/>
  <c r="F9" i="213"/>
  <c r="G9" i="213" s="1"/>
  <c r="G11" i="213" s="1"/>
  <c r="F7" i="213"/>
  <c r="G7" i="213" s="1"/>
  <c r="F6" i="213"/>
  <c r="G6" i="213" s="1"/>
  <c r="G12" i="213" l="1"/>
  <c r="D12" i="86"/>
  <c r="E12" i="86" l="1"/>
  <c r="F12" i="86" s="1"/>
  <c r="G12" i="86" s="1"/>
  <c r="D13" i="86"/>
  <c r="E13" i="86" l="1"/>
  <c r="F13" i="86" s="1"/>
  <c r="G13" i="86" s="1"/>
  <c r="D14" i="86"/>
  <c r="E14" i="86" l="1"/>
  <c r="F14" i="86" s="1"/>
  <c r="G14" i="86" s="1"/>
  <c r="D15" i="86"/>
  <c r="D16" i="86" s="1"/>
  <c r="D17" i="86" s="1"/>
  <c r="D18" i="86" s="1"/>
  <c r="D19" i="86" s="1"/>
  <c r="D20" i="86" s="1"/>
  <c r="D21" i="86" s="1"/>
  <c r="D22" i="86" s="1"/>
  <c r="D23" i="86" s="1"/>
  <c r="D36" i="86" l="1"/>
  <c r="E15" i="86"/>
  <c r="F15" i="86" s="1"/>
  <c r="G15" i="86" s="1"/>
  <c r="E16" i="86" s="1"/>
  <c r="F16" i="86" s="1"/>
  <c r="G16" i="86" s="1"/>
  <c r="E17" i="86" s="1"/>
  <c r="F17" i="86" s="1"/>
  <c r="G17" i="86" s="1"/>
  <c r="E18" i="86" s="1"/>
  <c r="F18" i="86" s="1"/>
  <c r="G18" i="86" s="1"/>
  <c r="E19" i="86" s="1"/>
  <c r="F19" i="86" s="1"/>
  <c r="G19" i="86" s="1"/>
  <c r="E20" i="86" s="1"/>
  <c r="F20" i="86" s="1"/>
  <c r="G20" i="86" s="1"/>
  <c r="E21" i="86" s="1"/>
  <c r="F21" i="86" s="1"/>
  <c r="G21" i="86" s="1"/>
  <c r="E22" i="86" s="1"/>
  <c r="F22" i="86" s="1"/>
  <c r="G22" i="86" s="1"/>
  <c r="E23" i="86" s="1"/>
  <c r="F23" i="86" s="1"/>
  <c r="G23" i="86" s="1"/>
  <c r="E24" i="86" s="1"/>
  <c r="F24" i="86" s="1"/>
  <c r="G24" i="86" s="1"/>
  <c r="E25" i="86" l="1"/>
  <c r="F25" i="86" s="1"/>
  <c r="G25" i="86" s="1"/>
  <c r="E26" i="86" s="1"/>
  <c r="F26" i="86" s="1"/>
  <c r="G26" i="86" s="1"/>
  <c r="E27" i="86" s="1"/>
  <c r="F27" i="86" s="1"/>
  <c r="G27" i="86" s="1"/>
  <c r="E28" i="86" s="1"/>
  <c r="F28" i="86" s="1"/>
  <c r="G28" i="86" s="1"/>
  <c r="E29" i="86" s="1"/>
  <c r="F29" i="86" s="1"/>
  <c r="G29" i="86" s="1"/>
  <c r="E30" i="86" s="1"/>
  <c r="F30" i="86" s="1"/>
  <c r="G30" i="86" s="1"/>
  <c r="E31" i="86" s="1"/>
  <c r="F31" i="86" s="1"/>
  <c r="G31" i="86" s="1"/>
  <c r="E32" i="86" s="1"/>
  <c r="F32" i="86" s="1"/>
  <c r="G32" i="86" s="1"/>
  <c r="E33" i="86" s="1"/>
  <c r="F33" i="86" s="1"/>
  <c r="G33" i="86" s="1"/>
  <c r="E34" i="86" s="1"/>
  <c r="F34" i="86" s="1"/>
  <c r="G34" i="86" s="1"/>
  <c r="E35" i="86" s="1"/>
  <c r="F35" i="86" s="1"/>
  <c r="G35" i="86" s="1"/>
  <c r="G36" i="86" s="1"/>
  <c r="F18" i="100"/>
  <c r="F20" i="100"/>
  <c r="F16" i="100"/>
  <c r="F10" i="100" l="1"/>
  <c r="F25" i="100" s="1"/>
  <c r="K37" i="86"/>
  <c r="F6" i="100"/>
  <c r="F8" i="10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9C158FC1-76C5-4BEA-B718-F0197F519337}">
      <text>
        <r>
          <rPr>
            <b/>
            <sz val="9"/>
            <color indexed="81"/>
            <rFont val="Tahoma"/>
            <family val="2"/>
          </rPr>
          <t>Changed from $2,246,627 to -$7,717,821 because these CPUC MAs are jurisdictionalized MAs.</t>
        </r>
      </text>
    </comment>
    <comment ref="E38" authorId="0" shapeId="0" xr:uid="{D9A9D796-82BE-4511-8623-4E1A43F0C05A}">
      <text>
        <r>
          <rPr>
            <b/>
            <sz val="9"/>
            <color indexed="81"/>
            <rFont val="Tahoma"/>
            <family val="2"/>
          </rPr>
          <t>Changed from $2,351,967 to $2,352,484 due to removal of outside counsel court fees related to employment litigation or arbitration matters which should have been excluded.</t>
        </r>
      </text>
    </comment>
    <comment ref="E40" authorId="0" shapeId="0" xr:uid="{CFD90809-4531-4E26-B29A-8A6618C9BD21}">
      <text>
        <r>
          <rPr>
            <b/>
            <sz val="9"/>
            <color indexed="81"/>
            <rFont val="Tahoma"/>
            <family val="2"/>
          </rPr>
          <t xml:space="preserve">Changed from $8,896,642 to $9,003,377 due to removal of outside counsel cost related to employment litigation or arbitration matters which should have been excluded.
</t>
        </r>
      </text>
    </comment>
    <comment ref="E47" authorId="0" shapeId="0" xr:uid="{DA8064B8-BAA1-4468-B871-071DFEDEC618}">
      <text>
        <r>
          <rPr>
            <b/>
            <sz val="9"/>
            <color indexed="81"/>
            <rFont val="Tahoma"/>
            <family val="2"/>
          </rPr>
          <t>Changed from $4,498,348 to $0 because this CPUC MA is a jurisdictionalized MA.</t>
        </r>
      </text>
    </comment>
    <comment ref="E50" authorId="0" shapeId="0" xr:uid="{456FE6AE-7BB2-470B-830B-063EA2148D64}">
      <text>
        <r>
          <rPr>
            <b/>
            <sz val="9"/>
            <color indexed="81"/>
            <rFont val="Tahoma"/>
            <family val="2"/>
          </rPr>
          <t>Changed from $811,672 to $769,628 because this CPUC MA is a jurisdictionalized MA.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92C51988-5EC2-4F2A-A786-AA22E72FA593}">
      <text>
        <r>
          <rPr>
            <b/>
            <sz val="9"/>
            <color indexed="81"/>
            <rFont val="Tahoma"/>
            <family val="2"/>
          </rPr>
          <t>Changed from -$2,940,102 to -$12,904,549 because these  CPUC MAs are jurisdictionalized MAs.</t>
        </r>
      </text>
    </comment>
    <comment ref="E38" authorId="0" shapeId="0" xr:uid="{41E06EDC-D506-42FD-9EE9-335053A8CD32}">
      <text>
        <r>
          <rPr>
            <b/>
            <sz val="9"/>
            <color indexed="81"/>
            <rFont val="Tahoma"/>
            <family val="2"/>
          </rPr>
          <t>Changed from $2,351,967 to $2,352,484 due to removal of outside counsel court fees related to employment litigation or arbitration matters which should have been excluded.</t>
        </r>
      </text>
    </comment>
    <comment ref="E40" authorId="0" shapeId="0" xr:uid="{D50D6AB9-DDB7-4D8D-976C-5D4B4BFF41AA}">
      <text>
        <r>
          <rPr>
            <b/>
            <sz val="9"/>
            <color indexed="81"/>
            <rFont val="Tahoma"/>
            <family val="2"/>
          </rPr>
          <t>Changed from $8,884,392 to $8,991,127 due to removal of outside counsel cost related to employment litigation or arbitration matters which should have been excluded.</t>
        </r>
      </text>
    </comment>
    <comment ref="E47" authorId="0" shapeId="0" xr:uid="{C39DB372-D82A-4113-B0CF-2CEFC7F92786}">
      <text>
        <r>
          <rPr>
            <b/>
            <sz val="9"/>
            <color indexed="81"/>
            <rFont val="Tahoma"/>
            <family val="2"/>
          </rPr>
          <t>Changed from $4,498,348 to $0 because this CPUC MA is a jurisdictionalized MA.</t>
        </r>
      </text>
    </comment>
    <comment ref="E50" authorId="0" shapeId="0" xr:uid="{88CB12CE-4E08-49CF-9388-D92638D5A024}">
      <text>
        <r>
          <rPr>
            <b/>
            <sz val="9"/>
            <color indexed="81"/>
            <rFont val="Tahoma"/>
            <family val="2"/>
          </rPr>
          <t>Changed from $811,672 to $769,628 because this CPUC MA is a jurisdictionalized MA.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1BACF239-438B-4D8B-AAA9-9A6EA3F587C8}">
      <text>
        <r>
          <rPr>
            <b/>
            <sz val="9"/>
            <color indexed="81"/>
            <rFont val="Tahoma"/>
            <family val="2"/>
          </rPr>
          <t xml:space="preserve">Changed from $43,427,227 to $5,732,204 due to jurisdictionalized CPUC BAs and MAs. </t>
        </r>
      </text>
    </comment>
    <comment ref="E38" authorId="0" shapeId="0" xr:uid="{229C97A0-A958-4C25-9C96-BBF966854C84}">
      <text>
        <r>
          <rPr>
            <b/>
            <sz val="9"/>
            <color indexed="81"/>
            <rFont val="Tahoma"/>
            <family val="2"/>
          </rPr>
          <t>Changed from $274,499 to $274,716 due to due to removal of outside counsel court fees related to employment litigation or arbitration matters which should have been excluded.</t>
        </r>
      </text>
    </comment>
    <comment ref="E40" authorId="0" shapeId="0" xr:uid="{25F4C047-FF00-48FD-994A-F4BD2221902D}">
      <text>
        <r>
          <rPr>
            <b/>
            <sz val="9"/>
            <color indexed="81"/>
            <rFont val="Tahoma"/>
            <family val="2"/>
          </rPr>
          <t>Changed from $7,163,432 to $2,855,816 due to jurisdictionalized CPUC BAs and MAs. 
Changed from $2,855,816 to $2,925,374 due to to removal of outside counsel cost related to employment litigation or arbitration matters which should have been excluded.</t>
        </r>
      </text>
    </comment>
    <comment ref="E42" authorId="0" shapeId="0" xr:uid="{0C932EEB-0F3F-4F95-AA07-D77687713F60}">
      <text>
        <r>
          <rPr>
            <b/>
            <sz val="9"/>
            <color indexed="81"/>
            <rFont val="Tahoma"/>
            <family val="2"/>
          </rPr>
          <t xml:space="preserve">Changed from $364,795,914 to $366,619,886 due to jurisdictionalized CPUC BAs and MAs. </t>
        </r>
      </text>
    </comment>
    <comment ref="E43" authorId="0" shapeId="0" xr:uid="{017F4B86-121A-4EB0-80B4-2BAFEAE3DA1F}">
      <text>
        <r>
          <rPr>
            <b/>
            <sz val="9"/>
            <color indexed="81"/>
            <rFont val="Tahoma"/>
            <family val="2"/>
          </rPr>
          <t xml:space="preserve">Changed from $15,930,026 to $14,423,298 due to jurisdictionalized CPUC BAs and MAs. </t>
        </r>
      </text>
    </comment>
    <comment ref="E47" authorId="0" shapeId="0" xr:uid="{B24D66A7-EABA-4DB7-A1A6-6399C6528805}">
      <text>
        <r>
          <rPr>
            <b/>
            <sz val="9"/>
            <color indexed="81"/>
            <rFont val="Tahoma"/>
            <family val="2"/>
          </rPr>
          <t xml:space="preserve">Changed from $7,813,090 to $0 due to jurisdictionalized CPUC BAs and MAs. </t>
        </r>
      </text>
    </comment>
    <comment ref="E50" authorId="0" shapeId="0" xr:uid="{B230D0B0-33FE-4667-99B5-B0CE1C95B05F}">
      <text>
        <r>
          <rPr>
            <b/>
            <sz val="9"/>
            <color indexed="81"/>
            <rFont val="Tahoma"/>
            <family val="2"/>
          </rPr>
          <t xml:space="preserve">Changed from $1,049,723 to $536,098 due to jurisdictionalized CPUC BAs and MAs.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K75" authorId="0" shapeId="0" xr:uid="{84E40A1C-9732-40B3-AEE9-B7424A1D7C30}">
      <text>
        <r>
          <rPr>
            <b/>
            <sz val="9"/>
            <color indexed="81"/>
            <rFont val="Tahoma"/>
            <family val="2"/>
          </rPr>
          <t>Changed from blank to P due to inadvertent  error</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06E15B72-1952-46E5-A833-F0E0D23E7E6B}">
      <text>
        <r>
          <rPr>
            <b/>
            <sz val="9"/>
            <color indexed="81"/>
            <rFont val="Tahoma"/>
            <family val="2"/>
          </rPr>
          <t>Changed from 1.14091% to 1.13759% to keep the uncollectible expense $13,789,000</t>
        </r>
        <r>
          <rPr>
            <sz val="9"/>
            <color indexed="81"/>
            <rFont val="Tahoma"/>
            <family val="2"/>
          </rPr>
          <t xml:space="preserve">
</t>
        </r>
      </text>
    </comment>
  </commentList>
</comments>
</file>

<file path=xl/sharedStrings.xml><?xml version="1.0" encoding="utf-8"?>
<sst xmlns="http://schemas.openxmlformats.org/spreadsheetml/2006/main" count="2015" uniqueCount="980">
  <si>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</si>
  <si>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</si>
  <si>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</si>
  <si>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</si>
  <si>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</si>
  <si>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</si>
  <si>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</si>
  <si>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</si>
  <si>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</si>
  <si>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</si>
  <si>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</si>
  <si>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</si>
  <si>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</si>
  <si>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</si>
  <si>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</si>
  <si>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</si>
  <si>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</si>
  <si>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</si>
  <si>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</si>
  <si>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</si>
  <si>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</si>
  <si>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</si>
  <si>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</si>
  <si>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</si>
  <si>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</si>
  <si>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</si>
  <si>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</si>
  <si>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</si>
  <si>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</si>
  <si>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</si>
  <si>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</si>
  <si>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</si>
  <si>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</si>
  <si>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</si>
  <si>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</si>
  <si>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</si>
  <si>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</si>
  <si>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</si>
  <si>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</si>
  <si>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</si>
  <si>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</si>
  <si>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</si>
  <si>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</si>
  <si>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</si>
  <si>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</si>
  <si>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</si>
  <si>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</si>
  <si>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</si>
  <si>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</si>
  <si>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</si>
  <si>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</si>
  <si>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</si>
  <si>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</si>
  <si>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</si>
  <si>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</si>
  <si>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</si>
  <si>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</si>
  <si>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</si>
  <si>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</si>
  <si>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</si>
  <si>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</si>
  <si>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</si>
  <si>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</si>
  <si>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</si>
  <si>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</si>
  <si>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</si>
  <si>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</si>
  <si>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</si>
  <si>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</si>
  <si>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</si>
  <si>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</si>
  <si>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</si>
  <si>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</si>
  <si>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</si>
  <si>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</si>
  <si>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</si>
  <si>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</si>
  <si>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</si>
  <si>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</si>
  <si>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</si>
  <si>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</si>
  <si>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</si>
  <si>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</si>
  <si>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</si>
  <si>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</si>
  <si>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</si>
  <si>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</si>
  <si>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</si>
  <si>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</si>
  <si>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</si>
  <si>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</si>
  <si>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</si>
  <si>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</si>
  <si>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</si>
  <si>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</si>
  <si>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</si>
  <si>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</si>
  <si>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</si>
  <si>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</si>
  <si>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</si>
  <si>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</si>
  <si>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</si>
  <si>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</si>
  <si>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</si>
  <si>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</si>
  <si>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</si>
  <si>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</si>
  <si>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</si>
  <si>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</si>
  <si>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</si>
  <si>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</si>
  <si>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</si>
  <si>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</si>
  <si>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</si>
  <si>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</si>
  <si>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</si>
  <si>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</si>
  <si>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</si>
  <si>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</si>
  <si>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</si>
  <si>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</si>
  <si>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</si>
  <si>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</si>
  <si>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</si>
  <si>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</si>
  <si>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</si>
  <si>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</si>
  <si>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</si>
  <si>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</si>
  <si>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</si>
  <si>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</si>
  <si>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</si>
  <si>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</si>
  <si>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</si>
  <si>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</si>
  <si>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</si>
  <si>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</si>
  <si>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</si>
  <si>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TUTRR Change</t>
  </si>
  <si>
    <t>A</t>
  </si>
  <si>
    <t>One-Time Adj*</t>
  </si>
  <si>
    <t>* Variance Includes Adjustment for:</t>
  </si>
  <si>
    <t>Explanation of One Time Adjustment to Prior Period</t>
  </si>
  <si>
    <t>B</t>
  </si>
  <si>
    <t>1/8 (O&amp;M + A&amp;G)</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</si>
  <si>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</si>
  <si>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</si>
  <si>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</si>
  <si>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39a</t>
  </si>
  <si>
    <t>True Up Incentive Adder Reversal</t>
  </si>
  <si>
    <t>Negative of Line 39, Note 1</t>
  </si>
  <si>
    <t>Line 38 + Line 39 + Line 39a</t>
  </si>
  <si>
    <t>Notes:</t>
  </si>
  <si>
    <t>1) True Up TRR Incentive Adder Reversal backs out the revenue requirement associated with any project-specific Incentive Adders</t>
  </si>
  <si>
    <t xml:space="preserve">    (line 39) for True Up Years during the term of the Second Formula Rate.  Applicable pursuant to settlement under ER18-169.</t>
  </si>
  <si>
    <t xml:space="preserve">Total One-Time Adj with Interest: </t>
  </si>
  <si>
    <t>2.</t>
  </si>
  <si>
    <t>E</t>
  </si>
  <si>
    <t>Changes to 2019</t>
  </si>
  <si>
    <t>One Time Adjustment for Revised 2019 True Up TRR</t>
  </si>
  <si>
    <t>Weighting Factor</t>
  </si>
  <si>
    <t>Weighted Amount</t>
  </si>
  <si>
    <t xml:space="preserve">One Time Adjustment to Reflect 2019 True Up TRR </t>
  </si>
  <si>
    <t xml:space="preserve">TO2021 Weighted One Time Adjustment: </t>
  </si>
  <si>
    <t xml:space="preserve">Total One Time Adjustment: </t>
  </si>
  <si>
    <t xml:space="preserve">TO2018 Weighted One Time Adjustment: </t>
  </si>
  <si>
    <t>TO2021 TUTRR</t>
  </si>
  <si>
    <t>Settlement of TO2019A (ER19-1553)</t>
  </si>
  <si>
    <t>169 FERC ¶ 61,177</t>
  </si>
  <si>
    <t>(Line 39) for True Up Years during the term of the settlement of ER19-1553.</t>
  </si>
  <si>
    <t>Total Adjustment</t>
  </si>
  <si>
    <t>Calculation of Administrative and General Expense</t>
  </si>
  <si>
    <t>Inputs are shaded yellow</t>
  </si>
  <si>
    <t>Col 1</t>
  </si>
  <si>
    <t>Col 2</t>
  </si>
  <si>
    <t>Col 3</t>
  </si>
  <si>
    <t>Col 4</t>
  </si>
  <si>
    <t>See Note 1</t>
  </si>
  <si>
    <t>FERC Form 1</t>
  </si>
  <si>
    <t>Data</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</si>
  <si>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</si>
  <si>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</si>
  <si>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</si>
  <si>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</si>
  <si>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</si>
  <si>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</si>
  <si>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</si>
  <si>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</si>
  <si>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</si>
  <si>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</si>
  <si>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</si>
  <si>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</si>
  <si>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</si>
  <si>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</si>
  <si>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</si>
  <si>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</si>
  <si>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</si>
  <si>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</si>
  <si>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Franchise Requirements</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</si>
  <si>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</si>
  <si>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</si>
  <si>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</si>
  <si>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</si>
  <si>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</si>
  <si>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</si>
  <si>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</si>
  <si>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</si>
  <si>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</si>
  <si>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</si>
  <si>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</si>
  <si>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</si>
  <si>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</si>
  <si>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</si>
  <si>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</si>
  <si>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</si>
  <si>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</si>
  <si>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</si>
  <si>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27-Allocators, Line 5</t>
  </si>
  <si>
    <t>Transmission W&amp;S AF Portion of A&amp;G:</t>
  </si>
  <si>
    <t>Transmission Plant Allocation Factor:</t>
  </si>
  <si>
    <t>27-Allocators, Line 18</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</si>
  <si>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</si>
  <si>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</si>
  <si>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</si>
  <si>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</si>
  <si>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</si>
  <si>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</si>
  <si>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</si>
  <si>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</si>
  <si>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</si>
  <si>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</si>
  <si>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</si>
  <si>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</si>
  <si>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</si>
  <si>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</si>
  <si>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3</t>
  </si>
  <si>
    <t>See Note 4</t>
  </si>
  <si>
    <t xml:space="preserve">Note 2: Non-Officer Incentive Compensation ("NOIC") Adjustment </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</si>
  <si>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</si>
  <si>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</si>
  <si>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</si>
  <si>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</si>
  <si>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</si>
  <si>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</si>
  <si>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</si>
  <si>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</si>
  <si>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</si>
  <si>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</si>
  <si>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</si>
  <si>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</si>
  <si>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Total:</t>
  </si>
  <si>
    <t>Note 3: PBOPs Exclusion Calculation</t>
  </si>
  <si>
    <t>Note:</t>
  </si>
  <si>
    <t>Current Authorized PBOPs Expense Amount:</t>
  </si>
  <si>
    <t>See instruction #4</t>
  </si>
  <si>
    <t>Prior Year Authorized PBOPs Expense Amount:</t>
  </si>
  <si>
    <t>Authorized PBOPs Expense Amount during Prior Year</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</si>
  <si>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</si>
  <si>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</si>
  <si>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</si>
  <si>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</si>
  <si>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</si>
  <si>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</si>
  <si>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</si>
  <si>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</si>
  <si>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</si>
  <si>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</si>
  <si>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</si>
  <si>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</si>
  <si>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</si>
  <si>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</si>
  <si>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</si>
  <si>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</si>
  <si>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</si>
  <si>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</si>
  <si>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</si>
  <si>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</si>
  <si>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or fines.</t>
  </si>
  <si>
    <t>4) Any amount of costs recovered 100% through California Public Utilities Commission ("CPUC") rates.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</si>
  <si>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</si>
  <si>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</si>
  <si>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</si>
  <si>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</si>
  <si>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 expense</t>
  </si>
  <si>
    <t>during the Prior Year is excluded from account 926 (see note 3). Docket or Decision approving authorized PBOPs amount:</t>
  </si>
  <si>
    <t>5) SCE shall make no adjustments to recorded labor amounts related to non-labor labor and/or Indirect labor in Schedule 20.</t>
  </si>
  <si>
    <t>Workpaper:</t>
  </si>
  <si>
    <t>WP Schedule 20 A&amp;G</t>
  </si>
  <si>
    <t>See Instruction 6</t>
  </si>
  <si>
    <t>ER20-1382</t>
  </si>
  <si>
    <t>6) Any A&amp;G costs associated with wildfires other than the 2017/18 Wildfire/Mudslide Events shall be reflected in A&amp;G accounts on a cash basis during the</t>
  </si>
  <si>
    <t xml:space="preserve">year in which associated cash payments are made.  In the event an initial cost accrual is made in a year to one or more A&amp;G accounts 920-935, </t>
  </si>
  <si>
    <t>SCE shall exclude from A&amp;G cost recovery any amount not paid in cash during that year through an entry to Column 1, Lines 24-37 of the</t>
  </si>
  <si>
    <t>"Itemization of Exclusions" matrix to the account in which the initial expense accrual was made.  As cash payments related to the initial expense accrual are</t>
  </si>
  <si>
    <t xml:space="preserve">made in future years, SCE shall also include those expenses in A&amp;G cost recovery on a cash basis through an entry to the Itemization of Exclusions matrix. </t>
  </si>
  <si>
    <t>Weighted Average Percentage</t>
  </si>
  <si>
    <t>Weighted Average</t>
  </si>
  <si>
    <t>3.</t>
  </si>
  <si>
    <t>4.</t>
  </si>
  <si>
    <t>D</t>
  </si>
  <si>
    <t>TO2022 Annual Update Posting - WP Schedule 3 - One Time Adj-Prior Period, Page 27, Line 46</t>
  </si>
  <si>
    <t>6-PlantInService, Line 18</t>
  </si>
  <si>
    <t>6-PlantInService, Line 24</t>
  </si>
  <si>
    <t>11-PHFU, Line 9</t>
  </si>
  <si>
    <t>12-AbandonedPlant Line 4</t>
  </si>
  <si>
    <t>13-WorkCap, Line 17</t>
  </si>
  <si>
    <t>13-WorkCap, Line 33</t>
  </si>
  <si>
    <t>1-Base TRR Line 7</t>
  </si>
  <si>
    <t>1-Base TRR L 59</t>
  </si>
  <si>
    <t>1-Base TRR L 63</t>
  </si>
  <si>
    <t>1-Base TRR L 65</t>
  </si>
  <si>
    <t>1-Base TRR L 66</t>
  </si>
  <si>
    <t>1-Base TRR L 67</t>
  </si>
  <si>
    <t>1-Base TRR L 68</t>
  </si>
  <si>
    <t>1-Base TRR L 69</t>
  </si>
  <si>
    <t>1-Base TRR L 70</t>
  </si>
  <si>
    <t>1-Base TRR L 71</t>
  </si>
  <si>
    <t>1-Base TRR L 72</t>
  </si>
  <si>
    <t>1-Base TRR L 75</t>
  </si>
  <si>
    <t>1-Base TRR L 76</t>
  </si>
  <si>
    <t>1-Base TRR L 51</t>
  </si>
  <si>
    <t>1-Base TRR L 52</t>
  </si>
  <si>
    <t>1-Base TRR L 47 * Line d</t>
  </si>
  <si>
    <t>8-AccDep, Line 14, Col. 12</t>
  </si>
  <si>
    <t>8-AccDep, Line 17, Col. 5</t>
  </si>
  <si>
    <t>8-AccDep, Line 23</t>
  </si>
  <si>
    <t>22-NUCs, Line 7</t>
  </si>
  <si>
    <t>34-UnfundedReserves, Line 7</t>
  </si>
  <si>
    <t>23-RegAssets, Line 15</t>
  </si>
  <si>
    <t>15-IncentiveAdder L 20</t>
  </si>
  <si>
    <t>28-FFU, L 5</t>
  </si>
  <si>
    <t>TO2023</t>
  </si>
  <si>
    <t>TO2021/TO2022</t>
  </si>
  <si>
    <t>Changes to 2020</t>
  </si>
  <si>
    <t>*  The TO2023 One-Time Adjustment is equal to the TO2021/TO2022 TUTRR Change, plus interest through December 31, 2020.</t>
  </si>
  <si>
    <t>TO2022 Annual Update - WP Sch3- One Time Adj Prior Period, Page 21, Line 46</t>
  </si>
  <si>
    <t>A&amp;G CPUC BA&amp;MA Adjustment</t>
  </si>
  <si>
    <t>A&amp;G Outside Counsel &amp; Court Fees Adjustment</t>
  </si>
  <si>
    <t>Total Weighted Adjustment</t>
  </si>
  <si>
    <t>(1) 2019 A&amp;G Jurisdictionalized CPUC BAs and MAs</t>
  </si>
  <si>
    <t>TO2022 Annual Update - WP Schedule 3 - One Time Adj Prior Period, Page 27, Line 46</t>
  </si>
  <si>
    <t>A&amp;G CPUC BA &amp; MA Adjustment</t>
  </si>
  <si>
    <t>A&amp;G Outside Counsel &amp; Court Fees</t>
  </si>
  <si>
    <t>One Time Adjustment for Revised 2020 True Up TRR</t>
  </si>
  <si>
    <t xml:space="preserve">C = A + B </t>
  </si>
  <si>
    <t>F</t>
  </si>
  <si>
    <t xml:space="preserve">One Time Adjustment for Revised 2020 True Up TRR </t>
  </si>
  <si>
    <t>TO2022 TUTRR</t>
  </si>
  <si>
    <t>TO2022 Annual Update - Attachment 1, Sch4, Line 46</t>
  </si>
  <si>
    <t>A&amp;G Outside Counsel &amp; Court fee Adjustment</t>
  </si>
  <si>
    <t>Revenue Credits GRSM Passive Income Indicator Adjustment</t>
  </si>
  <si>
    <t>Uncollectibles Expense Factor Adjustment</t>
  </si>
  <si>
    <t>Total Retroactive Adjustment</t>
  </si>
  <si>
    <t>Revised TO2018 Model True Up TRR in TO2022</t>
  </si>
  <si>
    <t>Updated TO2018 Model True Up TRR in TO2023</t>
  </si>
  <si>
    <t>Updated TO2021 Model True Up TRR in TO2023</t>
  </si>
  <si>
    <t>Revised TO2021 Model True Up TRR in TO2022</t>
  </si>
  <si>
    <t>Revised TO2020 True Up TRR in TO2023 Posting</t>
  </si>
  <si>
    <t>TO2020 True Up TRR in TO2022</t>
  </si>
  <si>
    <t>G</t>
  </si>
  <si>
    <t xml:space="preserve">H = D + E+ F + G </t>
  </si>
  <si>
    <t>I = C + H</t>
  </si>
  <si>
    <t>Total One-Time Adjustment for 2019 Reflected in the June TO2023 Draft Annual Update Posting</t>
  </si>
  <si>
    <t>Total One-Time Adjustment for 2020 Reflected in the June TO2023 Draft Annual Update Posting</t>
  </si>
  <si>
    <t>Total One-Time Adjustment for 2019 through 2020 Reflected in the June TO2023 Draft Annual Update Posting</t>
  </si>
  <si>
    <t>WP Schedule 20</t>
  </si>
  <si>
    <t>Docket No. ER21-1521</t>
  </si>
  <si>
    <t>9-ADIT-1, Line 15</t>
  </si>
  <si>
    <t>14-IncentivePlant, L 13, C2</t>
  </si>
  <si>
    <t>27-Allocators, Line 9</t>
  </si>
  <si>
    <t>27-Allocators, Line 22</t>
  </si>
  <si>
    <t>TO2022 Annual Update Filing - WP Schedule 3 - One Time Adj-Prior Period, Page 21, Line 46</t>
  </si>
  <si>
    <t>TO2023 Draft Annual Posting - WP Schedule 3 - One Time Adj-Prior Period, Page 6, Line 46</t>
  </si>
  <si>
    <t>TO2023 Draft Annual Posting - WP Schedule 3 - One Time Adj-Prior Period, Page 12, Line 46</t>
  </si>
  <si>
    <t>TO2023 Draft Annual Posting - WP Schedule 3 - One Time Adj-Prior Period, Page 19, Line 46</t>
  </si>
  <si>
    <t>(1) 2020 A&amp;G Jurisdictionalized CPUC BAs and MAs</t>
  </si>
  <si>
    <t>(2) 2020 A&amp;G adjustment to remove outside counsel cost and court fees related to employment litigation or arbitration matters which should have been excluded.</t>
  </si>
  <si>
    <t>(2) 2019 A&amp;G adjustment to remove outside counsel cost and court fees related to employment litigation or arbitration matters which should have been excluded.</t>
  </si>
  <si>
    <t>C</t>
  </si>
  <si>
    <t>H</t>
  </si>
  <si>
    <t>I</t>
  </si>
  <si>
    <t>J</t>
  </si>
  <si>
    <t>K</t>
  </si>
  <si>
    <t>L</t>
  </si>
  <si>
    <t>M</t>
  </si>
  <si>
    <t>N</t>
  </si>
  <si>
    <t>Traditional OOR</t>
  </si>
  <si>
    <t>GRSM</t>
  </si>
  <si>
    <t>Other Ratemaking</t>
  </si>
  <si>
    <t>Line</t>
  </si>
  <si>
    <t>FERC ACCT</t>
  </si>
  <si>
    <t>ACCT</t>
  </si>
  <si>
    <t>ACCT DESCRIPTION</t>
  </si>
  <si>
    <t>DOLLARS</t>
  </si>
  <si>
    <t>Category</t>
  </si>
  <si>
    <t>Total</t>
  </si>
  <si>
    <t>ISO</t>
  </si>
  <si>
    <t>Non-ISO</t>
  </si>
  <si>
    <t>A/P</t>
  </si>
  <si>
    <t>Threshold [10]</t>
  </si>
  <si>
    <t>Incremental</t>
  </si>
  <si>
    <t>1a</t>
  </si>
  <si>
    <t>4191110</t>
  </si>
  <si>
    <t>Late Payment Charge- Comm. &amp; Ind.</t>
  </si>
  <si>
    <t>1b</t>
  </si>
  <si>
    <t>4191115</t>
  </si>
  <si>
    <t>Residential Late Payment</t>
  </si>
  <si>
    <t>450 Total</t>
  </si>
  <si>
    <t>FF-1 Total for Acct 450 - Forfeited Discounts, p300.16b (Must Equal Line 2)
(Must Equal Line X)</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</si>
  <si>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</si>
  <si>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</si>
  <si>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</si>
  <si>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</si>
  <si>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</si>
  <si>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</si>
  <si>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</si>
  <si>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</si>
  <si>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</si>
  <si>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</si>
  <si>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</si>
  <si>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</si>
  <si>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</si>
  <si>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</si>
  <si>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</si>
  <si>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</si>
  <si>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</si>
  <si>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</si>
  <si>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</si>
  <si>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</si>
  <si>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</si>
  <si>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</si>
  <si>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</si>
  <si>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</si>
  <si>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</si>
  <si>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</si>
  <si>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</si>
  <si>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</si>
  <si>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4j</t>
  </si>
  <si>
    <t>Uneconomic Line Extension</t>
  </si>
  <si>
    <t>4k</t>
  </si>
  <si>
    <t>Opt Out CARE-Res-Ini</t>
  </si>
  <si>
    <t>4l</t>
  </si>
  <si>
    <t>Opt Out CARE-Res-Mo</t>
  </si>
  <si>
    <t>4m</t>
  </si>
  <si>
    <t>Opt Out NonCARE-Res-Ini</t>
  </si>
  <si>
    <t>4n</t>
  </si>
  <si>
    <t>Opt Out NonCARE-Res-Mo</t>
  </si>
  <si>
    <t>4o</t>
  </si>
  <si>
    <t>Conn-Charge - Residential</t>
  </si>
  <si>
    <t>4p</t>
  </si>
  <si>
    <t>Conn-Charge - Non-Residential</t>
  </si>
  <si>
    <t>4q</t>
  </si>
  <si>
    <t>Conn-Charge - At Pole</t>
  </si>
  <si>
    <t>4r</t>
  </si>
  <si>
    <t>4184515</t>
  </si>
  <si>
    <t>NEM 2.0</t>
  </si>
  <si>
    <t>4s</t>
  </si>
  <si>
    <t>4186927</t>
  </si>
  <si>
    <t>AR Service Guarantee</t>
  </si>
  <si>
    <t>4t</t>
  </si>
  <si>
    <t>4184533</t>
  </si>
  <si>
    <t>Rule 21 Fast Track Application Fee</t>
  </si>
  <si>
    <t>4u</t>
  </si>
  <si>
    <t>WDAT Pre Application Fee</t>
  </si>
  <si>
    <t>4v</t>
  </si>
  <si>
    <t>Rule 21 Pre Application Fee</t>
  </si>
  <si>
    <t>4w</t>
  </si>
  <si>
    <t>WDAT Fast Track Application Fee</t>
  </si>
  <si>
    <t>4x</t>
  </si>
  <si>
    <t>Rule 21 Supplemental Rewview Fee</t>
  </si>
  <si>
    <t>451 Total</t>
  </si>
  <si>
    <t>FF-1 Total for Acct 451 - Misc. Service Revenues, p300.17b 
(Must Equal Line 5)</t>
  </si>
  <si>
    <t>7a</t>
  </si>
  <si>
    <t>APS Palo Verde Water Sales</t>
  </si>
  <si>
    <t>7b</t>
  </si>
  <si>
    <t>Sales of Water &amp; Water Power - San Joaquin</t>
  </si>
  <si>
    <t>453 Total</t>
  </si>
  <si>
    <t>FF-1 Total for Acct 453 - Sales of Water and Power, p300.18b
(Must Equal Line 8)</t>
  </si>
  <si>
    <t>10a</t>
  </si>
  <si>
    <t>4184110</t>
  </si>
  <si>
    <t>Joint Pole - Tariffed Conduit Rental</t>
  </si>
  <si>
    <t>10b</t>
  </si>
  <si>
    <t>4184112</t>
  </si>
  <si>
    <t>Joint Pole - Tariffed Pole Rental - Cable Cos.</t>
  </si>
  <si>
    <t>10c</t>
  </si>
  <si>
    <t>4184114</t>
  </si>
  <si>
    <t>Joint Pole - Tariffed Process &amp; Eng Fees - Cable</t>
  </si>
  <si>
    <t>10d</t>
  </si>
  <si>
    <t>Joint Pole - Aud - Unauth Penalty</t>
  </si>
  <si>
    <t>10e</t>
  </si>
  <si>
    <t>4184510</t>
  </si>
  <si>
    <t>Joint Pole - Non-Tariffed Pole Rental</t>
  </si>
  <si>
    <t>10f</t>
  </si>
  <si>
    <t>4184512</t>
  </si>
  <si>
    <t>Joint Pole - Non-Tariff Process &amp; Engineering Fees</t>
  </si>
  <si>
    <t>10g</t>
  </si>
  <si>
    <t>4184514</t>
  </si>
  <si>
    <t>Joint Pole - Non-Tariff Requests for Information</t>
  </si>
  <si>
    <t>10h</t>
  </si>
  <si>
    <t>4184516</t>
  </si>
  <si>
    <t>Oil And Gas Royalties</t>
  </si>
  <si>
    <t>10i</t>
  </si>
  <si>
    <t>4184518</t>
  </si>
  <si>
    <t>Def Operating Land &amp; Facilities Rent Rev</t>
  </si>
  <si>
    <t>10j</t>
  </si>
  <si>
    <t>4184810</t>
  </si>
  <si>
    <t>Facility Cost -EIX/Nonutility</t>
  </si>
  <si>
    <t>6, 12</t>
  </si>
  <si>
    <t>10k</t>
  </si>
  <si>
    <t>4184815</t>
  </si>
  <si>
    <t>Facility Cost- Utility</t>
  </si>
  <si>
    <t>10l</t>
  </si>
  <si>
    <t>4184820</t>
  </si>
  <si>
    <t>Rent Billed to Non-Utility Affiliates</t>
  </si>
  <si>
    <t>10m</t>
  </si>
  <si>
    <t>4184825</t>
  </si>
  <si>
    <t>Rent Billed to Utility Affiliates</t>
  </si>
  <si>
    <t>10n</t>
  </si>
  <si>
    <t>4194110</t>
  </si>
  <si>
    <t>Meter Leasing Revenue</t>
  </si>
  <si>
    <t>10o</t>
  </si>
  <si>
    <t>4194115</t>
  </si>
  <si>
    <t>Company Financed Added Facilities</t>
  </si>
  <si>
    <t>10p</t>
  </si>
  <si>
    <t>4194120</t>
  </si>
  <si>
    <t>Company Financed Interconnect Facilities</t>
  </si>
  <si>
    <t>10q</t>
  </si>
  <si>
    <t>4194130</t>
  </si>
  <si>
    <t>SCE Financed Added Faclty</t>
  </si>
  <si>
    <t>10r</t>
  </si>
  <si>
    <t>4194135</t>
  </si>
  <si>
    <t>Interconnect Facility Finance Charge</t>
  </si>
  <si>
    <t>10s</t>
  </si>
  <si>
    <t>4204515</t>
  </si>
  <si>
    <t>Operating Land &amp; Facilities Rent Revenue</t>
  </si>
  <si>
    <t>10t</t>
  </si>
  <si>
    <t>4867020</t>
  </si>
  <si>
    <t>Nonoperating Misc Land &amp; Facilities Rent</t>
  </si>
  <si>
    <t>10u</t>
  </si>
  <si>
    <t>-</t>
  </si>
  <si>
    <t>Miscellaneous Adjustments</t>
  </si>
  <si>
    <t>10v</t>
  </si>
  <si>
    <t>Op Misc Land/Fac Rev</t>
  </si>
  <si>
    <t>10w</t>
  </si>
  <si>
    <t>T-Unauth Pole Rent</t>
  </si>
  <si>
    <t>10x</t>
  </si>
  <si>
    <t>T-P&amp;E Fees</t>
  </si>
  <si>
    <t>10y</t>
  </si>
  <si>
    <t>Rent Rev NU-NonBRRBA</t>
  </si>
  <si>
    <t>10z</t>
  </si>
  <si>
    <t>Fac Cost N/U-BRRBA</t>
  </si>
  <si>
    <t>10aa</t>
  </si>
  <si>
    <t>10bb</t>
  </si>
  <si>
    <t>Joint Pole - Tarriffed - PA Inspect</t>
  </si>
  <si>
    <t>10cc</t>
  </si>
  <si>
    <t>Joint Pole - Non-Tarriff PA Inspect</t>
  </si>
  <si>
    <t>10dd</t>
  </si>
  <si>
    <t>Non-606 Def Operating Land &amp; Fac Rent Rev-Pass</t>
  </si>
  <si>
    <t>10ee</t>
  </si>
  <si>
    <t>Nonoperating Land &amp; Facilities Rent Expense</t>
  </si>
  <si>
    <t>454 Total</t>
  </si>
  <si>
    <t>FF-1 Total for Acct 454 - Rent from Elec. Property, p300.19b
(Must Equal Line 11)</t>
  </si>
  <si>
    <t>12a</t>
  </si>
  <si>
    <t>4186114</t>
  </si>
  <si>
    <t>Energy Related Services</t>
  </si>
  <si>
    <t>12b</t>
  </si>
  <si>
    <t>4186118</t>
  </si>
  <si>
    <t>Distribution Miscellaneous Electric Revenues</t>
  </si>
  <si>
    <t>12c</t>
  </si>
  <si>
    <t>4186120</t>
  </si>
  <si>
    <t>Added Facilities - One Time Charge</t>
  </si>
  <si>
    <t>12d</t>
  </si>
  <si>
    <t>4186122</t>
  </si>
  <si>
    <t>Building Rental - Nev Power/Mohave Cr</t>
  </si>
  <si>
    <t>12e</t>
  </si>
  <si>
    <t>4186126</t>
  </si>
  <si>
    <t>Service Fee - Optimal Bill Prd</t>
  </si>
  <si>
    <t>12f</t>
  </si>
  <si>
    <t>4186128</t>
  </si>
  <si>
    <t>Miscellaneous Revenues</t>
  </si>
  <si>
    <t>12g</t>
  </si>
  <si>
    <t>4186130</t>
  </si>
  <si>
    <t>Tule Power Plant - Revenue</t>
  </si>
  <si>
    <t>12h</t>
  </si>
  <si>
    <t>Microwave Agreement</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</si>
  <si>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</si>
  <si>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</si>
  <si>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</si>
  <si>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</si>
  <si>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</si>
  <si>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</si>
  <si>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</si>
  <si>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</si>
  <si>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</si>
  <si>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</si>
  <si>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</si>
  <si>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</si>
  <si>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</si>
  <si>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</si>
  <si>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</si>
  <si>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</si>
  <si>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</si>
  <si>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</si>
  <si>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</si>
  <si>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</si>
  <si>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</si>
  <si>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</si>
  <si>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</si>
  <si>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</si>
  <si>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</si>
  <si>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</si>
  <si>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</si>
  <si>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</si>
  <si>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</si>
  <si>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</si>
  <si>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</si>
  <si>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</si>
  <si>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</si>
  <si>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</si>
  <si>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4186524</t>
  </si>
  <si>
    <t>Revenue From Scrap Paper - General Office</t>
  </si>
  <si>
    <t>12u</t>
  </si>
  <si>
    <t>4186528</t>
  </si>
  <si>
    <t>CTAC Revenues</t>
  </si>
  <si>
    <t>12v</t>
  </si>
  <si>
    <t>4186530</t>
  </si>
  <si>
    <t>AGTAC Revenues</t>
  </si>
  <si>
    <t>12w</t>
  </si>
  <si>
    <t>4186716</t>
  </si>
  <si>
    <t>ADT Vendor Service Revenue</t>
  </si>
  <si>
    <t>12xx</t>
  </si>
  <si>
    <t>4186718</t>
  </si>
  <si>
    <t>Read Water Meters - Irvine Ranch</t>
  </si>
  <si>
    <t>12yy</t>
  </si>
  <si>
    <t>4186720</t>
  </si>
  <si>
    <t>Read Water Meters - Rancho California</t>
  </si>
  <si>
    <t>12zz</t>
  </si>
  <si>
    <t>4186722</t>
  </si>
  <si>
    <t>Read Water Meters - Long Beach</t>
  </si>
  <si>
    <t>12aa</t>
  </si>
  <si>
    <t>4186730</t>
  </si>
  <si>
    <t>SSID Transformer Repair Services Revenue</t>
  </si>
  <si>
    <t>12bb</t>
  </si>
  <si>
    <t>4186815</t>
  </si>
  <si>
    <t>Employee Transfer/Affiliate Fee</t>
  </si>
  <si>
    <t>12cc</t>
  </si>
  <si>
    <t>4186910</t>
  </si>
  <si>
    <t>ITCC/CIAC Revenues</t>
  </si>
  <si>
    <t>12dd</t>
  </si>
  <si>
    <t>4186912</t>
  </si>
  <si>
    <t>Revenue From Decommission Trust Fund</t>
  </si>
  <si>
    <t>12ee</t>
  </si>
  <si>
    <t>4186914</t>
  </si>
  <si>
    <t>Revenue From Decommissioning Trust FAS115</t>
  </si>
  <si>
    <t>12ff</t>
  </si>
  <si>
    <t>4186916</t>
  </si>
  <si>
    <t>Offset to Revenue from NDT Earnings/Realized</t>
  </si>
  <si>
    <t>12gg</t>
  </si>
  <si>
    <t>4186918</t>
  </si>
  <si>
    <t>Offset to Revenue from FAS 115 FMV</t>
  </si>
  <si>
    <t>12hh</t>
  </si>
  <si>
    <t>4186920</t>
  </si>
  <si>
    <t>Revenue From Decommissioning Trust FAS115-1</t>
  </si>
  <si>
    <t>12ii</t>
  </si>
  <si>
    <t>4186922</t>
  </si>
  <si>
    <t>Offset to Revenue from FAS 115-1 Gains &amp; Loss</t>
  </si>
  <si>
    <t>12jj</t>
  </si>
  <si>
    <t>4188712</t>
  </si>
  <si>
    <t>Power Supply Installations - IMS</t>
  </si>
  <si>
    <t>12kk</t>
  </si>
  <si>
    <t>4188714</t>
  </si>
  <si>
    <t>Consulting Fees - IMS</t>
  </si>
  <si>
    <t>12ll</t>
  </si>
  <si>
    <t>4196105</t>
  </si>
  <si>
    <t>DA Revenue</t>
  </si>
  <si>
    <t>12mm</t>
  </si>
  <si>
    <t>4196158</t>
  </si>
  <si>
    <t>EDBL Customer Finance Added Facilities</t>
  </si>
  <si>
    <t>12nn</t>
  </si>
  <si>
    <t>4196162</t>
  </si>
  <si>
    <t>SCE Energy Manager Fee Based Services</t>
  </si>
  <si>
    <t>12oo</t>
  </si>
  <si>
    <t>4196166</t>
  </si>
  <si>
    <t>SCE Energy Manager Fee Based Services Adj</t>
  </si>
  <si>
    <t>12pp</t>
  </si>
  <si>
    <t>4196172</t>
  </si>
  <si>
    <t>Off Grid Photo Voltaic Revenues</t>
  </si>
  <si>
    <t>12qq</t>
  </si>
  <si>
    <t>4196174</t>
  </si>
  <si>
    <t>Scheduling/Dispatch Revenues</t>
  </si>
  <si>
    <t>12rr</t>
  </si>
  <si>
    <t>4196176</t>
  </si>
  <si>
    <t>Interconnect Facilities Charges-Customer Financed</t>
  </si>
  <si>
    <t>12ss</t>
  </si>
  <si>
    <t>4196178</t>
  </si>
  <si>
    <t>Interconnect Facilities Charges - SCE Financed</t>
  </si>
  <si>
    <t>12tt</t>
  </si>
  <si>
    <t>4196184</t>
  </si>
  <si>
    <t>DMS Service Fees</t>
  </si>
  <si>
    <t>12uu</t>
  </si>
  <si>
    <t>4196188</t>
  </si>
  <si>
    <t>CCA - Information Fees</t>
  </si>
  <si>
    <t>12vv</t>
  </si>
  <si>
    <t>12ww</t>
  </si>
  <si>
    <t>Grant Amortization</t>
  </si>
  <si>
    <t>GHG Allowance Revenue</t>
  </si>
  <si>
    <t>Intercon One Time</t>
  </si>
  <si>
    <t>EV Charging Revenue</t>
  </si>
  <si>
    <t>12aaa</t>
  </si>
  <si>
    <t>Energy Reltd Srv-TSP</t>
  </si>
  <si>
    <t>12bbb</t>
  </si>
  <si>
    <t>N/U Labor Mrkp-BRRBA</t>
  </si>
  <si>
    <t>12ccc</t>
  </si>
  <si>
    <t>4188720</t>
  </si>
  <si>
    <t>LCFS CR 411.8</t>
  </si>
  <si>
    <t>12ddd</t>
  </si>
  <si>
    <t>Miscellaneous Revenues - ISO</t>
  </si>
  <si>
    <t>12eee</t>
  </si>
  <si>
    <t>Power Quality C&amp;I Customer Program</t>
  </si>
  <si>
    <t>12fff</t>
  </si>
  <si>
    <t>Gas Sales - ERRA</t>
  </si>
  <si>
    <t>12ggg</t>
  </si>
  <si>
    <t>Miscellaneous Electric Revenue - ERRA</t>
  </si>
  <si>
    <t>12hhh</t>
  </si>
  <si>
    <t>4186119</t>
  </si>
  <si>
    <t>PUCRF Rate Adjustment - Electric</t>
  </si>
  <si>
    <t>12iii</t>
  </si>
  <si>
    <t>4186188</t>
  </si>
  <si>
    <t>Utility Earnings - Mono Power Co</t>
  </si>
  <si>
    <t>12jjj</t>
  </si>
  <si>
    <t>Energy Reltd Srvcs-Tehachapi Storage Project (TSP)</t>
  </si>
  <si>
    <t>456 Total</t>
  </si>
  <si>
    <t>FF-1 Total for Acct 456 - Other electric Revenues, p300.21b
(Must Equal Line 13)</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</si>
  <si>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</si>
  <si>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</si>
  <si>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</si>
  <si>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</si>
  <si>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</si>
  <si>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</si>
  <si>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</si>
  <si>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</si>
  <si>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</si>
  <si>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</si>
  <si>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</si>
  <si>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</si>
  <si>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</si>
  <si>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</si>
  <si>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</si>
  <si>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</si>
  <si>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</si>
  <si>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</si>
  <si>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</si>
  <si>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</si>
  <si>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</si>
  <si>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</si>
  <si>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</si>
  <si>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</si>
  <si>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</si>
  <si>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</si>
  <si>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</si>
  <si>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</si>
  <si>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4198116</t>
  </si>
  <si>
    <t>Radial Line Rev-Base Cost - Reliant Ormond Beach</t>
  </si>
  <si>
    <t>15k</t>
  </si>
  <si>
    <t>4198118</t>
  </si>
  <si>
    <t>Radial Line Rev-O&amp;M - AES Huntington Beach</t>
  </si>
  <si>
    <t>15l</t>
  </si>
  <si>
    <t>4198120</t>
  </si>
  <si>
    <t>Radial Line Rev-O&amp;M - Reliant Mandalay</t>
  </si>
  <si>
    <t>15m</t>
  </si>
  <si>
    <t>4198122</t>
  </si>
  <si>
    <t>Radial Line Rev-O&amp;M - Reliant Coolwater</t>
  </si>
  <si>
    <t>15n</t>
  </si>
  <si>
    <t>4198124</t>
  </si>
  <si>
    <t>Radial Line Rev-O&amp;M - Ormond Beach</t>
  </si>
  <si>
    <t>15o</t>
  </si>
  <si>
    <t>4198126</t>
  </si>
  <si>
    <t>High Desert Tie-Line Rental Rev</t>
  </si>
  <si>
    <t>15p</t>
  </si>
  <si>
    <t>4198130</t>
  </si>
  <si>
    <t>Inland Empire CRT Tie-Line EX</t>
  </si>
  <si>
    <t>15q</t>
  </si>
  <si>
    <t>4198910</t>
  </si>
  <si>
    <t>Reliability Service Revenue - Non-PTO's</t>
  </si>
  <si>
    <t>15r</t>
  </si>
  <si>
    <t>4198132</t>
  </si>
  <si>
    <t>Radial Line Agreement-Base-Mojave Solr</t>
  </si>
  <si>
    <t>15s</t>
  </si>
  <si>
    <t>4198134</t>
  </si>
  <si>
    <t>Radial Line Agreement-O&amp;M-Mojave Solr</t>
  </si>
  <si>
    <t>15t</t>
  </si>
  <si>
    <t>4188716</t>
  </si>
  <si>
    <t>ISO Non-Refundable Interconnection Deposit</t>
  </si>
  <si>
    <t>15u</t>
  </si>
  <si>
    <t>RSR - Non-PTO's - RSBA</t>
  </si>
  <si>
    <t>15v</t>
  </si>
  <si>
    <t>4171022</t>
  </si>
  <si>
    <t>Transmission Sales - ERRA</t>
  </si>
  <si>
    <t>15w</t>
  </si>
  <si>
    <t>4171032</t>
  </si>
  <si>
    <t>Transmission Sales - PABA</t>
  </si>
  <si>
    <t>456.1 Total</t>
  </si>
  <si>
    <t>FF-1 Total for Account 456.1 - Revenues from Trans. Of Electricity of Others, p300.22b (Must Equal Line 16)</t>
  </si>
  <si>
    <t>457.1 Total</t>
  </si>
  <si>
    <t>FF-1 Total for Account 457.1 - Regional Control Service Revenues, p300.23b (Must Equal Line 19)</t>
  </si>
  <si>
    <t>457.2 Total</t>
  </si>
  <si>
    <t>FF-1 Total for Account 457.2- Miscellaneous Revenues, p300.24b 
(Must Equal Line 22)</t>
  </si>
  <si>
    <t>Edison Carrier Solutions (ECS)</t>
  </si>
  <si>
    <t>24a</t>
  </si>
  <si>
    <t>ECS - Distribution Facilities</t>
  </si>
  <si>
    <t>24b</t>
  </si>
  <si>
    <t>ECS - Dark Fiber</t>
  </si>
  <si>
    <t>24c</t>
  </si>
  <si>
    <t>ECS - SCE Net Fiber</t>
  </si>
  <si>
    <t>24d</t>
  </si>
  <si>
    <t>ECS - Transmission Right of Way</t>
  </si>
  <si>
    <t>24e</t>
  </si>
  <si>
    <t>ECS - Wholesale FCC</t>
  </si>
  <si>
    <t>24f</t>
  </si>
  <si>
    <t>ECS - EU FCC Rev</t>
  </si>
  <si>
    <t>24g</t>
  </si>
  <si>
    <t>ECS - Cell Site Rent and Use (Active)</t>
  </si>
  <si>
    <t>24h</t>
  </si>
  <si>
    <t>ECS - Cell Site Reimbursable (Active)</t>
  </si>
  <si>
    <t>24i</t>
  </si>
  <si>
    <t>ECS - Communication Sites</t>
  </si>
  <si>
    <t>24j</t>
  </si>
  <si>
    <t>ECS - Cell Site Rent and Use (Passive)</t>
  </si>
  <si>
    <t>24k</t>
  </si>
  <si>
    <t>ECS - Cell Site Reimbursable (Passive)</t>
  </si>
  <si>
    <t>24l</t>
  </si>
  <si>
    <t>ECS - Micro Cell</t>
  </si>
  <si>
    <t>24m</t>
  </si>
  <si>
    <t>ECS - End User Universal Service Fund Fee</t>
  </si>
  <si>
    <t>24n</t>
  </si>
  <si>
    <t>ECS - Instrastate End User Revenue</t>
  </si>
  <si>
    <t>24o</t>
  </si>
  <si>
    <t>ECS - Intrastate End User Fees</t>
  </si>
  <si>
    <t>24p</t>
  </si>
  <si>
    <t>ECS - Interstate End User Tax Exempt</t>
  </si>
  <si>
    <t>24q</t>
  </si>
  <si>
    <t>ECS- EU USAC E-Rate</t>
  </si>
  <si>
    <t>24r</t>
  </si>
  <si>
    <t>ECS - DF EU Interstate</t>
  </si>
  <si>
    <t>24s</t>
  </si>
  <si>
    <t>ECS - DF EU Intrastate</t>
  </si>
  <si>
    <t>24t</t>
  </si>
  <si>
    <t>ECS - DF EU Interstate USAC E-Rate</t>
  </si>
  <si>
    <t>24u</t>
  </si>
  <si>
    <t>ECS - DF EU Interstate CTF</t>
  </si>
  <si>
    <t>24v</t>
  </si>
  <si>
    <t>ECS-Fin Chrg</t>
  </si>
  <si>
    <t>24w</t>
  </si>
  <si>
    <t>ECS - Pass Pole Attachments</t>
  </si>
  <si>
    <t>24x</t>
  </si>
  <si>
    <t>ECS - LIT EU Interstate CTF</t>
  </si>
  <si>
    <t>24y</t>
  </si>
  <si>
    <t>ECS - LIT EU Interstate USAC E-Rate</t>
  </si>
  <si>
    <t>24z</t>
  </si>
  <si>
    <t>417 ECS Total</t>
  </si>
  <si>
    <t>417 Other</t>
  </si>
  <si>
    <t>FF-1 Total for Account 417 - Revenues From Nonutility Operations  p117.33c (Must Equal Line 25 + 26)</t>
  </si>
  <si>
    <t xml:space="preserve"> </t>
  </si>
  <si>
    <t>Subsidiaries</t>
  </si>
  <si>
    <t>28a</t>
  </si>
  <si>
    <t>ESI (Gross Revenues - Active)</t>
  </si>
  <si>
    <t>2,9</t>
  </si>
  <si>
    <t>28b</t>
  </si>
  <si>
    <t>ESI (Gross Revenues - Passive)</t>
  </si>
  <si>
    <t>28c</t>
  </si>
  <si>
    <t xml:space="preserve">Southern States Realty </t>
  </si>
  <si>
    <t>2, 15</t>
  </si>
  <si>
    <t>28d</t>
  </si>
  <si>
    <t>Mono Power Company</t>
  </si>
  <si>
    <t>28e</t>
  </si>
  <si>
    <t>Edison Material Supply (EMS)</t>
  </si>
  <si>
    <t>7, 17</t>
  </si>
  <si>
    <t>418.1 Subsidiaries Total</t>
  </si>
  <si>
    <t>418.1 Other (See Note 16)</t>
  </si>
  <si>
    <t>FF-1 Total for Account 418.1 -Equity in Earnings of Subsidiary Companies, p117.36c (Must Equal Line 29 + 30)</t>
  </si>
  <si>
    <t>Totals</t>
  </si>
  <si>
    <t>Ratepayers' Share of Threshold Revenue</t>
  </si>
  <si>
    <t>= Line 32K</t>
  </si>
  <si>
    <t xml:space="preserve">ISO Ratepayers' Share of Threshold Revenue </t>
  </si>
  <si>
    <t>Note 11</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</si>
  <si>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</si>
  <si>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</si>
  <si>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</si>
  <si>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</si>
  <si>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</si>
  <si>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</si>
  <si>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</si>
  <si>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</si>
  <si>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see Note 11</t>
  </si>
  <si>
    <t xml:space="preserve">ISO Ratepayers' Share of Incremental Revenue </t>
  </si>
  <si>
    <t>Tot. ISO Ratepayers' Share NTP&amp;S Gross Rev.</t>
  </si>
  <si>
    <t>Total Revenue Credits:</t>
  </si>
  <si>
    <t>Sum of Column D, Line 43 and Column G, Line 32</t>
  </si>
  <si>
    <t>1-</t>
  </si>
  <si>
    <t>CPUC Jurisdictional service related.</t>
  </si>
  <si>
    <t>2-</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</si>
  <si>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</si>
  <si>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3-</t>
  </si>
  <si>
    <t>Generation related.</t>
  </si>
  <si>
    <t>4-</t>
  </si>
  <si>
    <t>Non-ISO facilities related.</t>
  </si>
  <si>
    <t>5-</t>
  </si>
  <si>
    <t>ISO transmission system related.</t>
  </si>
  <si>
    <t>6-</t>
  </si>
  <si>
    <t>Subject to balancing account treatment</t>
  </si>
  <si>
    <t>7-</t>
  </si>
  <si>
    <t>Allocated based on CPUC GRC allocator in effect during the Prior Year.  The weighted average (by time) shall be used if more than one allocator is in effect during the Prior Year.</t>
  </si>
  <si>
    <t>ISO Allocator =</t>
  </si>
  <si>
    <t>Source:</t>
  </si>
  <si>
    <t>CPUC D. 19-05-020</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</si>
  <si>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</si>
  <si>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</si>
  <si>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</si>
  <si>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</si>
  <si>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</si>
  <si>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</si>
  <si>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</si>
  <si>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</si>
  <si>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12-</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</si>
  <si>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</si>
  <si>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13-</t>
  </si>
  <si>
    <t>Mono Power Company is a subsidiary company.  Net Earnings are reported on Acct 418.1, pg 225.11e.  Revenues and costs shall be non-ISO.</t>
  </si>
  <si>
    <t>14-</t>
  </si>
  <si>
    <t>SCE Capital Company is a subsidiary company.  Net Earnings are reported on Acct 418.1, pg 225.23e.  Revenues and costs shall be non-ISO.</t>
  </si>
  <si>
    <t>15-</t>
  </si>
  <si>
    <t>Southern States Realty is a subsidiary company.  Gross revenues are not reported in FF-1, only net earnings.  Net Earnings for Southern States Realty are reported on Acct 418.1, pg 225.17e.</t>
  </si>
  <si>
    <t>16-</t>
  </si>
  <si>
    <t>For subsidiaries that are subject to GRSM, Column D contains gross revenues.  Input on Line 30D contains the associated expenses.</t>
  </si>
  <si>
    <t>17-</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</si>
  <si>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</si>
  <si>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</si>
  <si>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</si>
  <si>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</si>
  <si>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Franchise Fees and Uncollectibles Expense Factors</t>
  </si>
  <si>
    <t>WP Schedule 28 FFU</t>
  </si>
  <si>
    <t>1) Approved Franchise Fee Factor(s)</t>
  </si>
  <si>
    <t xml:space="preserve">Days in </t>
  </si>
  <si>
    <t>Prior Year</t>
  </si>
  <si>
    <t>FF Factor</t>
  </si>
  <si>
    <t>Reference</t>
  </si>
  <si>
    <t>Present</t>
  </si>
  <si>
    <t>Schedule 28 - Workpaper Line 10</t>
  </si>
  <si>
    <t>2) Approved Uncollectibles Expense Factor(s)</t>
  </si>
  <si>
    <t>U Factor</t>
  </si>
  <si>
    <t>Schedule 28 - Workpaper Line 11</t>
  </si>
  <si>
    <t>3) FF and U Factors</t>
  </si>
  <si>
    <t>Prior</t>
  </si>
  <si>
    <t>Calculated according to Instruction 3</t>
  </si>
  <si>
    <t xml:space="preserve">1) Franchise Fees represent payments that SCE makes to municipal entities for the right to locate facilities within </t>
  </si>
  <si>
    <t>the municipality.</t>
  </si>
  <si>
    <t>1) Enter Franchise Fee and Uncollectibles Factors as approved by the California Public Utilities Commission ("CPUC")</t>
  </si>
  <si>
    <t>in modules 1 and 2 above pursuant to Instruction 2.  If approved factors changed during Prior Year, enter both,</t>
  </si>
  <si>
    <t>and note period of time for which each applies in "From" and "To" columns, and number of days each was in effect</t>
  </si>
  <si>
    <t>during the Prior Year in "Days in Prior Year" Column.</t>
  </si>
  <si>
    <t>2) Franchise Fees Factor is calculated from CPUC Decision by dividing adopted Franchise Fees</t>
  </si>
  <si>
    <t xml:space="preserve">by Total Operating Revenues less Franchise Fees.  Uncollectibles Factor is calculated by </t>
  </si>
  <si>
    <t>dividing adopted Uncollectibles expense by Total Operating revenues less Uncollectibles Expense.  Resulting FF &amp; U</t>
  </si>
  <si>
    <t>Factors represent factors that, when applied to TRR without FF and U will correctly determine FF and U expense.</t>
  </si>
  <si>
    <t>3) Calculate in module 3 the weighted average FF and U factors from the factors in modules 1 and 2 based</t>
  </si>
  <si>
    <t>on the number of days each FF and U factor was in effect during the Prior Year at issue.</t>
  </si>
  <si>
    <t>Percent</t>
  </si>
  <si>
    <t>Prior Year FF Factor:</t>
  </si>
  <si>
    <t>((L1 FF Factor * L1 Days) + (L2 FF Factor * L2 Days))/(L1+L2 Days)</t>
  </si>
  <si>
    <t>Prior Year  U Factor:</t>
  </si>
  <si>
    <t>((L3 U Factor * L3 Days) + (L4 U Factor * L4 Days))/(L3+L4 Days)</t>
  </si>
  <si>
    <t>(3) 2020 Revenue Credits GRSM Passive Income Indicator Adjustment</t>
  </si>
  <si>
    <t>(4) 2020 Uncollectibles Expense Factor Adjustment</t>
  </si>
  <si>
    <t>In preparing the TO2023 Draft Annual Update, SCE has identified errors relating to an A&amp;G exclusion affecting the True Up TRR of calendar year 2019.  This error relates to CPUC Balancing Accounts (BAs) and Memo Accounts (MAs) which were erroneously identified as having 100% recovery through CPUC rates, when in fact they are jurisdictionalized.  This error caused A&amp;G exclusions to be overstated.  As such, SCE is correcting A&amp;G to include this additional expense of $14,504,840.  SCE has incorporated this correction that changes the TO2021 A&amp;G expenses and the impact of this change is an increase in the 2019 True Up TRR of $975,390.</t>
  </si>
  <si>
    <t>In preparing the TO2023 Draft Annual Update, SCE has identified errors relating to an A&amp;G exclusion affecting the True Up TRR of calendar year 2020.  This error relates to CPUC Balancing Accounts (BAs) and Memo Accounts (MAs) which were erroneously identified as having 100% recovery through CPUC rates, when in fact they are jurisdictionalized.  This error caused A&amp;G exclusions to be overstated.  As such, SCE is correcting A&amp;G to include this additional expense of  $50,012,110.  SCE has incorporated this correction that changes the TO2022 A&amp;G expenses and the impact of this change is an increase in the 2020 True Up TRR of $3,605,738.</t>
  </si>
  <si>
    <t>In preparing the TO2023 Draft Annual Update, SCE discovered that it had inadvertently removed on line 10cc of the Revenue Credits Schedule the Passive Income Indictor (P) from the Gross Revenue Sharing Mechanism (GRSM).   The amount of expenses were overstated by $8,578 which should have been credited in 2020.  SCE has incorporated this correction that changes the TO2022 Revenue Credits and the impact of this change is a decrease in the 2020 True Up TRR of $855.</t>
  </si>
  <si>
    <t xml:space="preserve">In preparing the TO2023 Draft Annual Update, SCE discovered that it had outside counsel expenses and court fees related to employment litigation or arbitration matters that were subsequently resolved by the Company which were not excluded.  The amount of expenses were overstated by $69,775, which should have been excluded in 2020.  As such, SCE is including an additional TO2021 A&amp;G exclusion of $69,775 to remove these additional expenses.  SCE has incorporated this correction that changes the TO2022 A&amp;G exclusions and the impact of this change is a decrease in the 2020 True Up TRR of $5,031. </t>
  </si>
  <si>
    <t>9-ADIT, Line 15</t>
  </si>
  <si>
    <t>14-IncentivePlant, L 12, C2</t>
  </si>
  <si>
    <t>In preparing the TO2023 Draft Annual Update, SCE discovered that it had outside counsel expenses and court fees related to employment litigation or arbitration matters that were subsequently resolved by the Company which were not excluded.  The amount of expenses were overstated by $107,252, which should have been excluded in 2019.  As such, SCE is including an additional TO2021 A&amp;G exclusion of $107,252 to remove these additional expenses.  SCE has incorporated this correction that changes the TO2021 A&amp;G exclusions and the impact of this change is a decrease in the 2019 True Up TRR of $7,212.</t>
  </si>
  <si>
    <t>In the TO2022 Annual Update, the FERC Uncollectible expense was $13,789,000 for calendar year 2020.  To hold this value constant, SCE has incorporated an additional decrease in the 2020 True Up TRR of $40,240.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</si>
</sst>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 numFmtId="173" formatCode="0.0%"/>
    <numFmt numFmtId="174" formatCode="_-* #,##0\ _D_M_-;\-* #,##0\ _D_M_-;_-* &quot;-&quot;??\ _D_M_-;_-@_-"/>
    <numFmt numFmtId="175" formatCode="0.00000%"/>
  </numFmts>
  <fonts count="7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z val="10"/>
      <name val="Arial"/>
      <family val="2"/>
    </font>
    <font>
      <sz val="10"/>
      <name val="Times New Roman"/>
      <family val="1"/>
    </font>
    <font>
      <b/>
      <sz val="10"/>
      <name val="Times New Roman"/>
      <family val="1"/>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sz val="10"/>
      <name val="Arial"/>
      <family val="2"/>
    </font>
    <font>
      <sz val="10"/>
      <name val="Calibri"/>
      <family val="2"/>
      <scheme val="minor"/>
    </font>
    <font>
      <b/>
      <sz val="11"/>
      <name val="Calibri"/>
      <family val="2"/>
      <scheme val="minor"/>
    </font>
    <font>
      <b/>
      <u/>
      <sz val="11"/>
      <name val="Calibri"/>
      <family val="2"/>
      <scheme val="minor"/>
    </font>
    <font>
      <b/>
      <u/>
      <sz val="11"/>
      <color theme="1"/>
      <name val="Calibri"/>
      <family val="2"/>
      <scheme val="minor"/>
    </font>
    <font>
      <strike/>
      <sz val="10"/>
      <color rgb="FFFF0000"/>
      <name val="Arial"/>
      <family val="2"/>
    </font>
    <font>
      <strike/>
      <sz val="10"/>
      <name val="Arial"/>
      <family val="2"/>
    </font>
    <font>
      <b/>
      <sz val="9"/>
      <color indexed="81"/>
      <name val="Tahoma"/>
      <family val="2"/>
    </font>
    <font>
      <sz val="8"/>
      <name val="Arial"/>
      <family val="2"/>
    </font>
    <font>
      <u/>
      <sz val="11"/>
      <color theme="1"/>
      <name val="Calibri"/>
      <family val="2"/>
      <scheme val="minor"/>
    </font>
    <font>
      <sz val="10"/>
      <color rgb="FF000000"/>
      <name val="Arial"/>
      <family val="2"/>
    </font>
    <font>
      <b/>
      <sz val="10"/>
      <color rgb="FFFF0000"/>
      <name val="Arial"/>
      <family val="2"/>
    </font>
    <font>
      <b/>
      <u/>
      <sz val="10"/>
      <color rgb="FFFF0000"/>
      <name val="Arial"/>
      <family val="2"/>
    </font>
  </fonts>
  <fills count="42">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rgb="FFCCFFCC"/>
        <bgColor indexed="64"/>
      </patternFill>
    </fill>
    <fill>
      <patternFill patternType="solid">
        <fgColor rgb="FFCCECFF"/>
        <bgColor indexed="64"/>
      </patternFill>
    </fill>
    <fill>
      <patternFill patternType="solid">
        <fgColor indexed="13"/>
        <bgColor indexed="64"/>
      </patternFill>
    </fill>
    <fill>
      <patternFill patternType="solid">
        <fgColor theme="1"/>
        <bgColor indexed="64"/>
      </patternFill>
    </fill>
  </fills>
  <borders count="34">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bottom/>
      <diagonal/>
    </border>
    <border>
      <left style="thin">
        <color indexed="64"/>
      </left>
      <right/>
      <top style="thin">
        <color theme="1"/>
      </top>
      <bottom/>
      <diagonal/>
    </border>
    <border>
      <left/>
      <right/>
      <top style="thin">
        <color theme="1"/>
      </top>
      <bottom style="thin">
        <color theme="1"/>
      </bottom>
      <diagonal/>
    </border>
    <border>
      <left style="medium">
        <color rgb="FFFF0000"/>
      </left>
      <right style="medium">
        <color rgb="FFFF0000"/>
      </right>
      <top style="medium">
        <color rgb="FFFF0000"/>
      </top>
      <bottom style="medium">
        <color rgb="FFFF0000"/>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s>
  <cellStyleXfs count="233">
    <xf numFmtId="0" fontId="0" fillId="0" borderId="0"/>
    <xf numFmtId="0" fontId="28" fillId="8" borderId="0" applyNumberFormat="0" applyBorder="0" applyAlignment="0" applyProtection="0"/>
    <xf numFmtId="0" fontId="28" fillId="9" borderId="0" applyNumberFormat="0" applyBorder="0" applyAlignment="0" applyProtection="0"/>
    <xf numFmtId="0" fontId="29" fillId="10"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9" fillId="18"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9" fillId="9" borderId="0" applyNumberFormat="0" applyBorder="0" applyAlignment="0" applyProtection="0"/>
    <xf numFmtId="0" fontId="28" fillId="20" borderId="0" applyNumberFormat="0" applyBorder="0" applyAlignment="0" applyProtection="0"/>
    <xf numFmtId="0" fontId="28" fillId="13" borderId="0" applyNumberFormat="0" applyBorder="0" applyAlignment="0" applyProtection="0"/>
    <xf numFmtId="0" fontId="29" fillId="21" borderId="0" applyNumberFormat="0" applyBorder="0" applyAlignment="0" applyProtection="0"/>
    <xf numFmtId="43" fontId="26" fillId="0" borderId="0" applyFont="0" applyFill="0" applyBorder="0" applyAlignment="0" applyProtection="0"/>
    <xf numFmtId="43" fontId="26" fillId="0" borderId="0" applyFont="0" applyFill="0" applyBorder="0" applyAlignment="0" applyProtection="0"/>
    <xf numFmtId="165" fontId="26" fillId="0" borderId="0" applyFont="0" applyFill="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9" fontId="34" fillId="0" borderId="0" applyFont="0" applyFill="0" applyBorder="0" applyAlignment="0" applyProtection="0"/>
    <xf numFmtId="9" fontId="26" fillId="0" borderId="0" applyFont="0" applyFill="0" applyBorder="0" applyAlignment="0" applyProtection="0"/>
    <xf numFmtId="4" fontId="33" fillId="25" borderId="1" applyNumberFormat="0" applyProtection="0">
      <alignment vertical="center"/>
    </xf>
    <xf numFmtId="4" fontId="35" fillId="25" borderId="1" applyNumberFormat="0" applyProtection="0">
      <alignment vertical="center"/>
    </xf>
    <xf numFmtId="4" fontId="33" fillId="25" borderId="1" applyNumberFormat="0" applyProtection="0">
      <alignment horizontal="left" vertical="center" indent="1"/>
    </xf>
    <xf numFmtId="0" fontId="33" fillId="25" borderId="1" applyNumberFormat="0" applyProtection="0">
      <alignment horizontal="left" vertical="top" indent="1"/>
    </xf>
    <xf numFmtId="4" fontId="33" fillId="27" borderId="0" applyNumberFormat="0" applyProtection="0">
      <alignment horizontal="left" vertical="center" indent="1"/>
    </xf>
    <xf numFmtId="4" fontId="31" fillId="2" borderId="1" applyNumberFormat="0" applyProtection="0">
      <alignment horizontal="right" vertical="center"/>
    </xf>
    <xf numFmtId="4" fontId="31" fillId="4" borderId="1" applyNumberFormat="0" applyProtection="0">
      <alignment horizontal="right" vertical="center"/>
    </xf>
    <xf numFmtId="4" fontId="31" fillId="11" borderId="1" applyNumberFormat="0" applyProtection="0">
      <alignment horizontal="right" vertical="center"/>
    </xf>
    <xf numFmtId="4" fontId="31" fillId="6" borderId="1" applyNumberFormat="0" applyProtection="0">
      <alignment horizontal="right" vertical="center"/>
    </xf>
    <xf numFmtId="4" fontId="31" fillId="7" borderId="1" applyNumberFormat="0" applyProtection="0">
      <alignment horizontal="right" vertical="center"/>
    </xf>
    <xf numFmtId="4" fontId="31" fillId="19" borderId="1" applyNumberFormat="0" applyProtection="0">
      <alignment horizontal="right" vertical="center"/>
    </xf>
    <xf numFmtId="4" fontId="31" fillId="15" borderId="1" applyNumberFormat="0" applyProtection="0">
      <alignment horizontal="right" vertical="center"/>
    </xf>
    <xf numFmtId="4" fontId="31" fillId="28" borderId="1" applyNumberFormat="0" applyProtection="0">
      <alignment horizontal="right" vertical="center"/>
    </xf>
    <xf numFmtId="4" fontId="31" fillId="5" borderId="1" applyNumberFormat="0" applyProtection="0">
      <alignment horizontal="right" vertical="center"/>
    </xf>
    <xf numFmtId="4" fontId="33" fillId="29" borderId="2" applyNumberFormat="0" applyProtection="0">
      <alignment horizontal="left" vertical="center" indent="1"/>
    </xf>
    <xf numFmtId="4" fontId="31" fillId="30" borderId="0" applyNumberFormat="0" applyProtection="0">
      <alignment horizontal="left" vertical="center" indent="1"/>
    </xf>
    <xf numFmtId="4" fontId="36" fillId="31" borderId="0" applyNumberFormat="0" applyProtection="0">
      <alignment horizontal="left" vertical="center" indent="1"/>
    </xf>
    <xf numFmtId="4" fontId="31" fillId="27" borderId="1" applyNumberFormat="0" applyProtection="0">
      <alignment horizontal="right" vertical="center"/>
    </xf>
    <xf numFmtId="4" fontId="31" fillId="30" borderId="0" applyNumberFormat="0" applyProtection="0">
      <alignment horizontal="left" vertical="center" indent="1"/>
    </xf>
    <xf numFmtId="4" fontId="31" fillId="27" borderId="0" applyNumberFormat="0" applyProtection="0">
      <alignment horizontal="left" vertical="center" indent="1"/>
    </xf>
    <xf numFmtId="0" fontId="26" fillId="31" borderId="1" applyNumberFormat="0" applyProtection="0">
      <alignment horizontal="left" vertical="center" indent="1"/>
    </xf>
    <xf numFmtId="0" fontId="26" fillId="31" borderId="1" applyNumberFormat="0" applyProtection="0">
      <alignment horizontal="left" vertical="top" indent="1"/>
    </xf>
    <xf numFmtId="0" fontId="26" fillId="27" borderId="1" applyNumberFormat="0" applyProtection="0">
      <alignment horizontal="left" vertical="center" indent="1"/>
    </xf>
    <xf numFmtId="0" fontId="26" fillId="27" borderId="1" applyNumberFormat="0" applyProtection="0">
      <alignment horizontal="left" vertical="top" indent="1"/>
    </xf>
    <xf numFmtId="0" fontId="26" fillId="3" borderId="1" applyNumberFormat="0" applyProtection="0">
      <alignment horizontal="left" vertical="center" indent="1"/>
    </xf>
    <xf numFmtId="0" fontId="26" fillId="3" borderId="1" applyNumberFormat="0" applyProtection="0">
      <alignment horizontal="left" vertical="top" indent="1"/>
    </xf>
    <xf numFmtId="0" fontId="26" fillId="30" borderId="1" applyNumberFormat="0" applyProtection="0">
      <alignment horizontal="left" vertical="center" indent="1"/>
    </xf>
    <xf numFmtId="0" fontId="26" fillId="30" borderId="1" applyNumberFormat="0" applyProtection="0">
      <alignment horizontal="left" vertical="top" indent="1"/>
    </xf>
    <xf numFmtId="0" fontId="26" fillId="32" borderId="3" applyNumberFormat="0">
      <protection locked="0"/>
    </xf>
    <xf numFmtId="4" fontId="31" fillId="26" borderId="1" applyNumberFormat="0" applyProtection="0">
      <alignment vertical="center"/>
    </xf>
    <xf numFmtId="4" fontId="37" fillId="26" borderId="1" applyNumberFormat="0" applyProtection="0">
      <alignment vertical="center"/>
    </xf>
    <xf numFmtId="4" fontId="31" fillId="26" borderId="1" applyNumberFormat="0" applyProtection="0">
      <alignment horizontal="left" vertical="center" indent="1"/>
    </xf>
    <xf numFmtId="0" fontId="31" fillId="26" borderId="1" applyNumberFormat="0" applyProtection="0">
      <alignment horizontal="left" vertical="top" indent="1"/>
    </xf>
    <xf numFmtId="4" fontId="31" fillId="30" borderId="1" applyNumberFormat="0" applyProtection="0">
      <alignment horizontal="right" vertical="center"/>
    </xf>
    <xf numFmtId="4" fontId="37" fillId="30" borderId="1" applyNumberFormat="0" applyProtection="0">
      <alignment horizontal="right" vertical="center"/>
    </xf>
    <xf numFmtId="4" fontId="31" fillId="27" borderId="1" applyNumberFormat="0" applyProtection="0">
      <alignment horizontal="left" vertical="center" indent="1"/>
    </xf>
    <xf numFmtId="0" fontId="31" fillId="27" borderId="1" applyNumberFormat="0" applyProtection="0">
      <alignment horizontal="left" vertical="top" indent="1"/>
    </xf>
    <xf numFmtId="4" fontId="38" fillId="33" borderId="0" applyNumberFormat="0" applyProtection="0">
      <alignment horizontal="left" vertical="center" indent="1"/>
    </xf>
    <xf numFmtId="4" fontId="32" fillId="30" borderId="1" applyNumberFormat="0" applyProtection="0">
      <alignment horizontal="right" vertical="center"/>
    </xf>
    <xf numFmtId="0" fontId="39" fillId="0" borderId="0" applyNumberFormat="0" applyFill="0" applyBorder="0" applyAlignment="0" applyProtection="0"/>
    <xf numFmtId="0" fontId="24" fillId="0" borderId="0"/>
    <xf numFmtId="0" fontId="23" fillId="0" borderId="0"/>
    <xf numFmtId="0" fontId="23" fillId="0" borderId="0"/>
    <xf numFmtId="165" fontId="24" fillId="0" borderId="0" applyFont="0" applyFill="0" applyBorder="0" applyAlignment="0" applyProtection="0"/>
    <xf numFmtId="0" fontId="24" fillId="31" borderId="1" applyNumberFormat="0" applyProtection="0">
      <alignment horizontal="left" vertical="center" indent="1"/>
    </xf>
    <xf numFmtId="0" fontId="24" fillId="31" borderId="1" applyNumberFormat="0" applyProtection="0">
      <alignment horizontal="left" vertical="top" indent="1"/>
    </xf>
    <xf numFmtId="0" fontId="24" fillId="27" borderId="1" applyNumberFormat="0" applyProtection="0">
      <alignment horizontal="left" vertical="center" indent="1"/>
    </xf>
    <xf numFmtId="0" fontId="24" fillId="27" borderId="1" applyNumberFormat="0" applyProtection="0">
      <alignment horizontal="left" vertical="top" indent="1"/>
    </xf>
    <xf numFmtId="0" fontId="24" fillId="3" borderId="1" applyNumberFormat="0" applyProtection="0">
      <alignment horizontal="left" vertical="center" indent="1"/>
    </xf>
    <xf numFmtId="0" fontId="24" fillId="3" borderId="1" applyNumberFormat="0" applyProtection="0">
      <alignment horizontal="left" vertical="top" indent="1"/>
    </xf>
    <xf numFmtId="0" fontId="24" fillId="30" borderId="1" applyNumberFormat="0" applyProtection="0">
      <alignment horizontal="left" vertical="center" indent="1"/>
    </xf>
    <xf numFmtId="0" fontId="24" fillId="30" borderId="1" applyNumberFormat="0" applyProtection="0">
      <alignment horizontal="left" vertical="top" indent="1"/>
    </xf>
    <xf numFmtId="0" fontId="24" fillId="32" borderId="3" applyNumberFormat="0">
      <protection locked="0"/>
    </xf>
    <xf numFmtId="0" fontId="42"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65" fontId="24" fillId="0" borderId="0" applyFont="0" applyFill="0" applyBorder="0" applyAlignment="0" applyProtection="0"/>
    <xf numFmtId="4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2" fillId="0" borderId="0"/>
    <xf numFmtId="0" fontId="22"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24" fillId="0" borderId="0"/>
    <xf numFmtId="0" fontId="24" fillId="0" borderId="0"/>
    <xf numFmtId="0" fontId="24" fillId="0" borderId="0"/>
    <xf numFmtId="0" fontId="34" fillId="0" borderId="0"/>
    <xf numFmtId="0" fontId="34" fillId="0" borderId="0"/>
    <xf numFmtId="0" fontId="34" fillId="0" borderId="0"/>
    <xf numFmtId="0" fontId="34" fillId="0" borderId="0"/>
    <xf numFmtId="0" fontId="34" fillId="0" borderId="0"/>
    <xf numFmtId="43" fontId="41" fillId="0" borderId="0" applyFont="0" applyFill="0" applyBorder="0" applyAlignment="0" applyProtection="0"/>
    <xf numFmtId="9" fontId="24" fillId="0" borderId="0" applyFont="0" applyFill="0" applyBorder="0" applyAlignment="0" applyProtection="0"/>
    <xf numFmtId="0" fontId="24" fillId="0" borderId="0"/>
    <xf numFmtId="0" fontId="17" fillId="0" borderId="0"/>
    <xf numFmtId="0" fontId="17" fillId="0" borderId="0"/>
    <xf numFmtId="0" fontId="17"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9" fontId="16"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4" fontId="33" fillId="29" borderId="8" applyNumberFormat="0" applyProtection="0">
      <alignment horizontal="left" vertical="center" inden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0" fontId="13" fillId="0" borderId="0"/>
    <xf numFmtId="0" fontId="13" fillId="0" borderId="0"/>
    <xf numFmtId="0" fontId="43" fillId="0" borderId="0"/>
    <xf numFmtId="43" fontId="24" fillId="0" borderId="0" applyFont="0" applyFill="0" applyBorder="0" applyAlignment="0" applyProtection="0"/>
    <xf numFmtId="43" fontId="46"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3" fillId="0" borderId="0" applyFont="0" applyFill="0" applyBorder="0" applyAlignment="0" applyProtection="0"/>
    <xf numFmtId="0" fontId="11" fillId="0" borderId="0"/>
    <xf numFmtId="9" fontId="11" fillId="0" borderId="0" applyFont="0" applyFill="0" applyBorder="0" applyAlignment="0" applyProtection="0"/>
    <xf numFmtId="43" fontId="11" fillId="0" borderId="0" applyFont="0" applyFill="0" applyBorder="0" applyAlignment="0" applyProtection="0"/>
    <xf numFmtId="44" fontId="24" fillId="0" borderId="0" applyFont="0" applyFill="0" applyBorder="0" applyAlignment="0" applyProtection="0"/>
    <xf numFmtId="0" fontId="10" fillId="0" borderId="0"/>
    <xf numFmtId="0" fontId="10" fillId="0" borderId="0"/>
    <xf numFmtId="0" fontId="9" fillId="0" borderId="0"/>
    <xf numFmtId="43" fontId="9" fillId="0" borderId="0" applyFont="0" applyFill="0" applyBorder="0" applyAlignment="0" applyProtection="0"/>
    <xf numFmtId="0" fontId="8" fillId="0" borderId="0"/>
    <xf numFmtId="43" fontId="8" fillId="0" borderId="0" applyFont="0" applyFill="0" applyBorder="0" applyAlignment="0" applyProtection="0"/>
    <xf numFmtId="0" fontId="7" fillId="0" borderId="0"/>
    <xf numFmtId="43" fontId="7" fillId="0" borderId="0" applyFont="0" applyFill="0" applyBorder="0" applyAlignment="0" applyProtection="0"/>
    <xf numFmtId="9" fontId="61" fillId="0" borderId="0" applyFont="0" applyFill="0" applyBorder="0" applyAlignment="0" applyProtection="0"/>
    <xf numFmtId="0" fontId="3" fillId="0" borderId="0"/>
    <xf numFmtId="0" fontId="3" fillId="0" borderId="0"/>
    <xf numFmtId="44" fontId="3" fillId="0" borderId="0" applyFont="0" applyFill="0" applyBorder="0" applyAlignment="0" applyProtection="0"/>
  </cellStyleXfs>
  <cellXfs count="500">
    <xf numFmtId="0" fontId="0" fillId="0" borderId="0" xfId="0"/>
    <xf numFmtId="0" fontId="15" fillId="0" borderId="0" xfId="157"/>
    <xf numFmtId="0" fontId="40" fillId="0" borderId="0" xfId="157" applyFont="1" applyAlignment="1">
      <alignment horizontal="center"/>
    </xf>
    <xf numFmtId="0" fontId="40" fillId="0" borderId="0" xfId="157" applyFont="1"/>
    <xf numFmtId="0" fontId="25" fillId="0" borderId="0" xfId="157" applyFont="1" applyAlignment="1">
      <alignment horizontal="center"/>
    </xf>
    <xf numFmtId="0" fontId="15" fillId="0" borderId="0" xfId="157" quotePrefix="1"/>
    <xf numFmtId="164" fontId="15" fillId="0" borderId="0" xfId="157" applyNumberFormat="1"/>
    <xf numFmtId="0" fontId="15" fillId="0" borderId="0" xfId="157" applyAlignment="1">
      <alignment horizontal="right"/>
    </xf>
    <xf numFmtId="164" fontId="15" fillId="0" borderId="0" xfId="157" applyNumberFormat="1" applyFont="1"/>
    <xf numFmtId="166" fontId="15" fillId="0" borderId="0" xfId="211" applyNumberFormat="1" applyFont="1"/>
    <xf numFmtId="0" fontId="54" fillId="35" borderId="0" xfId="209" applyFont="1" applyFill="1" applyBorder="1" applyAlignment="1">
      <alignment horizontal="left" vertical="top"/>
    </xf>
    <xf numFmtId="0" fontId="54" fillId="35" borderId="0" xfId="209" applyFont="1" applyFill="1" applyBorder="1" applyAlignment="1">
      <alignment horizontal="left" vertical="top" wrapText="1"/>
    </xf>
    <xf numFmtId="0" fontId="54" fillId="35" borderId="0" xfId="209" applyFont="1" applyFill="1" applyBorder="1" applyAlignment="1">
      <alignment horizontal="center" vertical="center"/>
    </xf>
    <xf numFmtId="171" fontId="54" fillId="0" borderId="0" xfId="216" applyNumberFormat="1" applyFont="1" applyFill="1" applyBorder="1" applyAlignment="1">
      <alignment horizontal="left" vertical="center"/>
    </xf>
    <xf numFmtId="164" fontId="24" fillId="0" borderId="0" xfId="157" applyNumberFormat="1" applyFont="1" applyFill="1" applyBorder="1" applyAlignment="1">
      <alignment horizontal="center" vertical="center"/>
    </xf>
    <xf numFmtId="0" fontId="15" fillId="0" borderId="0" xfId="157" applyFill="1"/>
    <xf numFmtId="0" fontId="54" fillId="0" borderId="0" xfId="209" applyFont="1" applyFill="1" applyBorder="1" applyAlignment="1">
      <alignment horizontal="left" vertical="top"/>
    </xf>
    <xf numFmtId="0" fontId="54" fillId="0" borderId="0" xfId="209" applyFont="1" applyFill="1" applyBorder="1" applyAlignment="1">
      <alignment horizontal="center" vertical="center"/>
    </xf>
    <xf numFmtId="0" fontId="45" fillId="0" borderId="0" xfId="209" quotePrefix="1" applyFont="1" applyFill="1" applyBorder="1" applyAlignment="1">
      <alignment horizontal="right" vertical="top"/>
    </xf>
    <xf numFmtId="0" fontId="45" fillId="0" borderId="0" xfId="209" applyFont="1" applyFill="1" applyBorder="1" applyAlignment="1">
      <alignment vertical="top" wrapText="1"/>
    </xf>
    <xf numFmtId="0" fontId="55" fillId="0" borderId="0" xfId="209" applyFont="1" applyFill="1" applyBorder="1" applyAlignment="1">
      <alignment horizontal="center" vertical="center" wrapText="1"/>
    </xf>
    <xf numFmtId="164" fontId="25" fillId="0" borderId="0" xfId="157" applyNumberFormat="1" applyFont="1" applyFill="1" applyBorder="1" applyAlignment="1">
      <alignment horizontal="center" vertical="center"/>
    </xf>
    <xf numFmtId="0" fontId="55" fillId="0" borderId="0" xfId="209" quotePrefix="1" applyFont="1" applyFill="1" applyBorder="1" applyAlignment="1">
      <alignment horizontal="center" vertical="center" wrapText="1"/>
    </xf>
    <xf numFmtId="0" fontId="54" fillId="0" borderId="10" xfId="209" applyFont="1" applyFill="1" applyBorder="1" applyAlignment="1">
      <alignment horizontal="left" vertical="top"/>
    </xf>
    <xf numFmtId="0" fontId="55" fillId="0" borderId="10" xfId="209" applyFont="1" applyFill="1" applyBorder="1" applyAlignment="1">
      <alignment horizontal="center" vertical="center"/>
    </xf>
    <xf numFmtId="0" fontId="54" fillId="0" borderId="0" xfId="209" applyFont="1" applyFill="1" applyBorder="1" applyAlignment="1">
      <alignment horizontal="left" vertical="top" wrapText="1"/>
    </xf>
    <xf numFmtId="0" fontId="45" fillId="0" borderId="0" xfId="209" applyFont="1" applyFill="1" applyBorder="1" applyAlignment="1">
      <alignment horizontal="left" vertical="top"/>
    </xf>
    <xf numFmtId="0" fontId="54" fillId="0" borderId="0" xfId="209" applyFont="1" applyFill="1" applyBorder="1" applyAlignment="1">
      <alignment horizontal="center" vertical="center" wrapText="1"/>
    </xf>
    <xf numFmtId="164" fontId="54" fillId="35" borderId="0" xfId="209" applyNumberFormat="1" applyFont="1" applyFill="1" applyBorder="1" applyAlignment="1">
      <alignment horizontal="left" vertical="top"/>
    </xf>
    <xf numFmtId="0" fontId="8" fillId="0" borderId="0" xfId="225" applyFont="1"/>
    <xf numFmtId="0" fontId="8" fillId="0" borderId="0" xfId="225" applyFont="1" applyFill="1"/>
    <xf numFmtId="166" fontId="8" fillId="0" borderId="23" xfId="225" applyNumberFormat="1" applyFont="1" applyFill="1" applyBorder="1"/>
    <xf numFmtId="166" fontId="40" fillId="0" borderId="24" xfId="225" applyNumberFormat="1" applyFont="1" applyFill="1" applyBorder="1"/>
    <xf numFmtId="0" fontId="25" fillId="0" borderId="0" xfId="118" applyFont="1"/>
    <xf numFmtId="0" fontId="24" fillId="0" borderId="0" xfId="118"/>
    <xf numFmtId="0" fontId="25" fillId="0" borderId="0" xfId="118" applyFont="1" applyAlignment="1">
      <alignment horizontal="left"/>
    </xf>
    <xf numFmtId="0" fontId="25" fillId="0" borderId="0" xfId="118" applyFont="1" applyAlignment="1">
      <alignment horizontal="left" indent="1"/>
    </xf>
    <xf numFmtId="0" fontId="25" fillId="0" borderId="0" xfId="118" applyFont="1" applyAlignment="1">
      <alignment horizontal="center"/>
    </xf>
    <xf numFmtId="0" fontId="27" fillId="0" borderId="0" xfId="118" applyFont="1" applyAlignment="1">
      <alignment horizontal="left"/>
    </xf>
    <xf numFmtId="0" fontId="24" fillId="0" borderId="0" xfId="118" applyAlignment="1">
      <alignment horizontal="left" indent="1"/>
    </xf>
    <xf numFmtId="0" fontId="27" fillId="0" borderId="0" xfId="118" applyFont="1"/>
    <xf numFmtId="0" fontId="27" fillId="0" borderId="0" xfId="118" applyFont="1" applyAlignment="1">
      <alignment horizontal="center"/>
    </xf>
    <xf numFmtId="0" fontId="24" fillId="0" borderId="0" xfId="118" applyAlignment="1">
      <alignment horizontal="left"/>
    </xf>
    <xf numFmtId="164" fontId="24" fillId="0" borderId="0" xfId="118" applyNumberFormat="1"/>
    <xf numFmtId="0" fontId="49" fillId="0" borderId="0" xfId="118" applyFont="1"/>
    <xf numFmtId="164" fontId="49" fillId="36" borderId="0" xfId="118" applyNumberFormat="1" applyFont="1" applyFill="1"/>
    <xf numFmtId="164" fontId="24" fillId="36" borderId="0" xfId="118" applyNumberFormat="1" applyFill="1"/>
    <xf numFmtId="0" fontId="49" fillId="0" borderId="0" xfId="118" applyFont="1" applyAlignment="1">
      <alignment horizontal="left"/>
    </xf>
    <xf numFmtId="0" fontId="25" fillId="0" borderId="0" xfId="93" applyFont="1" applyAlignment="1">
      <alignment horizontal="left"/>
    </xf>
    <xf numFmtId="164" fontId="49" fillId="0" borderId="0" xfId="118" applyNumberFormat="1" applyFont="1"/>
    <xf numFmtId="0" fontId="24" fillId="0" borderId="0" xfId="93" applyAlignment="1">
      <alignment horizontal="left" indent="1"/>
    </xf>
    <xf numFmtId="167" fontId="24" fillId="0" borderId="0" xfId="118" applyNumberFormat="1"/>
    <xf numFmtId="0" fontId="24" fillId="0" borderId="0" xfId="101"/>
    <xf numFmtId="0" fontId="24" fillId="0" borderId="0" xfId="118" applyAlignment="1">
      <alignment horizontal="right"/>
    </xf>
    <xf numFmtId="0" fontId="25" fillId="36" borderId="15" xfId="118" applyFont="1" applyFill="1" applyBorder="1" applyAlignment="1">
      <alignment horizontal="center"/>
    </xf>
    <xf numFmtId="168" fontId="24" fillId="0" borderId="0" xfId="118" applyNumberFormat="1"/>
    <xf numFmtId="0" fontId="25" fillId="36" borderId="16" xfId="118" applyFont="1" applyFill="1" applyBorder="1" applyAlignment="1">
      <alignment horizontal="center"/>
    </xf>
    <xf numFmtId="164" fontId="24" fillId="36" borderId="16" xfId="118" applyNumberFormat="1" applyFill="1" applyBorder="1"/>
    <xf numFmtId="169" fontId="49" fillId="36" borderId="16" xfId="118" applyNumberFormat="1" applyFont="1" applyFill="1" applyBorder="1"/>
    <xf numFmtId="164" fontId="41" fillId="36" borderId="17" xfId="118" applyNumberFormat="1" applyFont="1" applyFill="1" applyBorder="1"/>
    <xf numFmtId="0" fontId="24" fillId="0" borderId="0" xfId="93"/>
    <xf numFmtId="0" fontId="25" fillId="0" borderId="0" xfId="118" quotePrefix="1" applyFont="1" applyAlignment="1">
      <alignment horizontal="center"/>
    </xf>
    <xf numFmtId="10" fontId="24" fillId="0" borderId="0" xfId="118" applyNumberFormat="1"/>
    <xf numFmtId="0" fontId="24" fillId="34" borderId="0" xfId="118" applyFill="1"/>
    <xf numFmtId="10" fontId="24" fillId="0" borderId="0" xfId="118" quotePrefix="1" applyNumberFormat="1" applyAlignment="1">
      <alignment horizontal="right"/>
    </xf>
    <xf numFmtId="0" fontId="24" fillId="0" borderId="0" xfId="118" quotePrefix="1" applyAlignment="1">
      <alignment horizontal="center"/>
    </xf>
    <xf numFmtId="167" fontId="49" fillId="0" borderId="0" xfId="118" applyNumberFormat="1" applyFont="1"/>
    <xf numFmtId="0" fontId="24" fillId="0" borderId="0" xfId="118" applyAlignment="1">
      <alignment horizontal="center"/>
    </xf>
    <xf numFmtId="3" fontId="24" fillId="0" borderId="0" xfId="118" applyNumberFormat="1" applyAlignment="1">
      <alignment horizontal="center"/>
    </xf>
    <xf numFmtId="0" fontId="24" fillId="0" borderId="0" xfId="93" applyAlignment="1">
      <alignment horizontal="left"/>
    </xf>
    <xf numFmtId="1" fontId="24" fillId="0" borderId="0" xfId="93" applyNumberFormat="1" applyAlignment="1">
      <alignment horizontal="center"/>
    </xf>
    <xf numFmtId="0" fontId="27" fillId="0" borderId="0" xfId="93" applyFont="1" applyAlignment="1">
      <alignment horizontal="center"/>
    </xf>
    <xf numFmtId="0" fontId="24" fillId="0" borderId="0" xfId="93" applyAlignment="1">
      <alignment horizontal="right"/>
    </xf>
    <xf numFmtId="0" fontId="27" fillId="0" borderId="0" xfId="118" quotePrefix="1" applyFont="1" applyAlignment="1">
      <alignment horizontal="center"/>
    </xf>
    <xf numFmtId="170" fontId="24" fillId="0" borderId="0" xfId="118" applyNumberFormat="1"/>
    <xf numFmtId="1" fontId="24" fillId="0" borderId="0" xfId="93" applyNumberFormat="1" applyAlignment="1">
      <alignment horizontal="right"/>
    </xf>
    <xf numFmtId="170" fontId="24" fillId="0" borderId="0" xfId="118" applyNumberFormat="1" applyAlignment="1">
      <alignment horizontal="left" indent="1"/>
    </xf>
    <xf numFmtId="167" fontId="50" fillId="0" borderId="0" xfId="118" applyNumberFormat="1" applyFont="1"/>
    <xf numFmtId="167" fontId="51" fillId="0" borderId="0" xfId="118" applyNumberFormat="1" applyFont="1"/>
    <xf numFmtId="172" fontId="24" fillId="34" borderId="0" xfId="118" quotePrefix="1" applyNumberFormat="1" applyFill="1" applyAlignment="1">
      <alignment horizontal="center"/>
    </xf>
    <xf numFmtId="0" fontId="24" fillId="0" borderId="25" xfId="118" applyBorder="1" applyAlignment="1">
      <alignment wrapText="1"/>
    </xf>
    <xf numFmtId="0" fontId="24" fillId="0" borderId="0" xfId="118" applyAlignment="1">
      <alignment wrapText="1"/>
    </xf>
    <xf numFmtId="0" fontId="7" fillId="0" borderId="0" xfId="227"/>
    <xf numFmtId="164" fontId="6" fillId="0" borderId="3" xfId="225" applyNumberFormat="1" applyFont="1" applyBorder="1" applyAlignment="1">
      <alignment horizontal="center" wrapText="1"/>
    </xf>
    <xf numFmtId="0" fontId="6" fillId="0" borderId="0" xfId="227" applyFont="1"/>
    <xf numFmtId="173" fontId="56" fillId="0" borderId="3" xfId="229" applyNumberFormat="1" applyFont="1" applyBorder="1" applyAlignment="1">
      <alignment horizontal="center" wrapText="1"/>
    </xf>
    <xf numFmtId="0" fontId="40" fillId="39" borderId="3" xfId="225" applyFont="1" applyFill="1" applyBorder="1" applyAlignment="1">
      <alignment horizontal="center"/>
    </xf>
    <xf numFmtId="0" fontId="40" fillId="39" borderId="3" xfId="225" applyFont="1" applyFill="1" applyBorder="1" applyAlignment="1">
      <alignment horizontal="center" wrapText="1"/>
    </xf>
    <xf numFmtId="164" fontId="40" fillId="39" borderId="3" xfId="225" applyNumberFormat="1" applyFont="1" applyFill="1" applyBorder="1" applyAlignment="1">
      <alignment horizontal="center" wrapText="1"/>
    </xf>
    <xf numFmtId="164" fontId="40" fillId="39" borderId="27" xfId="225" applyNumberFormat="1" applyFont="1" applyFill="1" applyBorder="1" applyAlignment="1">
      <alignment horizontal="center"/>
    </xf>
    <xf numFmtId="0" fontId="40" fillId="37" borderId="3" xfId="225" applyFont="1" applyFill="1" applyBorder="1" applyAlignment="1">
      <alignment horizontal="center"/>
    </xf>
    <xf numFmtId="164" fontId="24" fillId="0" borderId="0" xfId="210" applyNumberFormat="1" applyFont="1"/>
    <xf numFmtId="164" fontId="0" fillId="0" borderId="0" xfId="210" applyNumberFormat="1" applyFont="1"/>
    <xf numFmtId="0" fontId="5" fillId="0" borderId="0" xfId="157" applyFont="1"/>
    <xf numFmtId="0" fontId="5" fillId="0" borderId="12" xfId="157" applyFont="1" applyBorder="1"/>
    <xf numFmtId="0" fontId="5" fillId="0" borderId="13" xfId="157" applyFont="1" applyBorder="1"/>
    <xf numFmtId="0" fontId="5" fillId="0" borderId="0" xfId="157" applyFont="1" applyBorder="1"/>
    <xf numFmtId="0" fontId="5" fillId="0" borderId="6" xfId="157" applyFont="1" applyBorder="1"/>
    <xf numFmtId="0" fontId="5" fillId="0" borderId="6" xfId="157" applyFont="1" applyFill="1" applyBorder="1"/>
    <xf numFmtId="0" fontId="5" fillId="0" borderId="0" xfId="157" applyFont="1" applyFill="1" applyBorder="1"/>
    <xf numFmtId="164" fontId="40" fillId="0" borderId="0" xfId="157" applyNumberFormat="1" applyFont="1" applyFill="1" applyBorder="1"/>
    <xf numFmtId="0" fontId="40" fillId="0" borderId="0" xfId="157" applyFont="1" applyFill="1" applyBorder="1"/>
    <xf numFmtId="0" fontId="40" fillId="0" borderId="0" xfId="157" applyFont="1" applyFill="1" applyBorder="1" applyAlignment="1">
      <alignment horizontal="right"/>
    </xf>
    <xf numFmtId="164" fontId="40" fillId="0" borderId="6" xfId="157" applyNumberFormat="1" applyFont="1" applyFill="1" applyBorder="1"/>
    <xf numFmtId="164" fontId="40" fillId="0" borderId="7" xfId="157" applyNumberFormat="1" applyFont="1" applyFill="1" applyBorder="1"/>
    <xf numFmtId="0" fontId="5" fillId="0" borderId="10" xfId="157" applyFont="1" applyBorder="1"/>
    <xf numFmtId="0" fontId="40" fillId="0" borderId="10" xfId="157" applyFont="1" applyBorder="1" applyAlignment="1">
      <alignment horizontal="right"/>
    </xf>
    <xf numFmtId="164" fontId="40" fillId="0" borderId="11" xfId="157" applyNumberFormat="1" applyFont="1" applyBorder="1"/>
    <xf numFmtId="0" fontId="63" fillId="0" borderId="13" xfId="157" applyFont="1" applyBorder="1" applyAlignment="1">
      <alignment horizontal="center"/>
    </xf>
    <xf numFmtId="0" fontId="64" fillId="0" borderId="13" xfId="157" quotePrefix="1" applyFont="1" applyBorder="1" applyAlignment="1">
      <alignment horizontal="center"/>
    </xf>
    <xf numFmtId="0" fontId="64" fillId="0" borderId="14" xfId="157" quotePrefix="1" applyFont="1" applyBorder="1" applyAlignment="1">
      <alignment horizontal="center"/>
    </xf>
    <xf numFmtId="0" fontId="63" fillId="0" borderId="0" xfId="157" applyFont="1" applyBorder="1" applyAlignment="1">
      <alignment horizontal="center"/>
    </xf>
    <xf numFmtId="0" fontId="64" fillId="0" borderId="0" xfId="157" quotePrefix="1" applyFont="1" applyBorder="1" applyAlignment="1">
      <alignment horizontal="center"/>
    </xf>
    <xf numFmtId="0" fontId="64" fillId="0" borderId="7" xfId="157" quotePrefix="1" applyFont="1" applyBorder="1" applyAlignment="1">
      <alignment horizontal="center"/>
    </xf>
    <xf numFmtId="0" fontId="63" fillId="0" borderId="7" xfId="157" applyFont="1" applyBorder="1" applyAlignment="1">
      <alignment horizontal="center"/>
    </xf>
    <xf numFmtId="0" fontId="40" fillId="0" borderId="6" xfId="157" applyFont="1" applyBorder="1"/>
    <xf numFmtId="0" fontId="40" fillId="0" borderId="0" xfId="157" applyFont="1" applyBorder="1"/>
    <xf numFmtId="0" fontId="40" fillId="0" borderId="0" xfId="157" applyFont="1" applyBorder="1" applyAlignment="1">
      <alignment horizontal="center" vertical="top" wrapText="1"/>
    </xf>
    <xf numFmtId="0" fontId="40" fillId="0" borderId="0" xfId="157" applyFont="1" applyBorder="1" applyAlignment="1">
      <alignment horizontal="center"/>
    </xf>
    <xf numFmtId="0" fontId="65" fillId="0" borderId="6" xfId="157" applyFont="1" applyBorder="1" applyAlignment="1">
      <alignment horizontal="center" vertical="top"/>
    </xf>
    <xf numFmtId="0" fontId="65" fillId="0" borderId="0" xfId="157" applyFont="1" applyBorder="1" applyAlignment="1">
      <alignment horizontal="center" vertical="top"/>
    </xf>
    <xf numFmtId="0" fontId="64" fillId="0" borderId="0" xfId="157" applyFont="1" applyBorder="1" applyAlignment="1">
      <alignment horizontal="center" vertical="top"/>
    </xf>
    <xf numFmtId="0" fontId="64" fillId="0" borderId="7" xfId="157" applyFont="1" applyBorder="1" applyAlignment="1">
      <alignment horizontal="center" vertical="top"/>
    </xf>
    <xf numFmtId="164" fontId="5" fillId="34" borderId="0" xfId="157" applyNumberFormat="1" applyFont="1" applyFill="1" applyBorder="1"/>
    <xf numFmtId="164" fontId="5" fillId="0" borderId="0" xfId="157" applyNumberFormat="1" applyFont="1" applyBorder="1" applyAlignment="1">
      <alignment horizontal="right"/>
    </xf>
    <xf numFmtId="164" fontId="5" fillId="0" borderId="0" xfId="157" applyNumberFormat="1" applyFont="1" applyFill="1" applyBorder="1" applyAlignment="1">
      <alignment horizontal="right"/>
    </xf>
    <xf numFmtId="164" fontId="5" fillId="0" borderId="7" xfId="157" applyNumberFormat="1" applyFont="1" applyBorder="1" applyAlignment="1">
      <alignment horizontal="right"/>
    </xf>
    <xf numFmtId="164" fontId="5" fillId="34" borderId="6" xfId="157" applyNumberFormat="1" applyFont="1" applyFill="1" applyBorder="1"/>
    <xf numFmtId="0" fontId="40" fillId="0" borderId="9" xfId="157" applyFont="1" applyBorder="1" applyAlignment="1"/>
    <xf numFmtId="0" fontId="40" fillId="0" borderId="10" xfId="157" applyFont="1" applyBorder="1" applyAlignment="1"/>
    <xf numFmtId="0" fontId="45" fillId="0" borderId="0" xfId="209" applyFont="1" applyFill="1" applyBorder="1" applyAlignment="1">
      <alignment horizontal="center" vertical="top" wrapText="1"/>
    </xf>
    <xf numFmtId="0" fontId="25" fillId="0" borderId="0" xfId="93" applyFont="1" applyAlignment="1">
      <alignment horizontal="center"/>
    </xf>
    <xf numFmtId="164" fontId="24" fillId="34" borderId="0" xfId="93" applyNumberFormat="1" applyFill="1"/>
    <xf numFmtId="164" fontId="52" fillId="0" borderId="0" xfId="93" applyNumberFormat="1" applyFont="1"/>
    <xf numFmtId="164" fontId="49" fillId="34" borderId="0" xfId="93" applyNumberFormat="1" applyFont="1" applyFill="1"/>
    <xf numFmtId="0" fontId="8" fillId="0" borderId="0" xfId="225" applyFont="1" applyAlignment="1">
      <alignment vertical="top" wrapText="1"/>
    </xf>
    <xf numFmtId="0" fontId="70" fillId="0" borderId="0" xfId="225" applyFont="1"/>
    <xf numFmtId="164" fontId="49" fillId="0" borderId="0" xfId="210" applyNumberFormat="1" applyFont="1"/>
    <xf numFmtId="0" fontId="24" fillId="40" borderId="0" xfId="118" applyFill="1"/>
    <xf numFmtId="164" fontId="24" fillId="40" borderId="0" xfId="118" applyNumberFormat="1" applyFill="1"/>
    <xf numFmtId="164" fontId="49" fillId="40" borderId="0" xfId="118" applyNumberFormat="1" applyFont="1" applyFill="1"/>
    <xf numFmtId="164" fontId="24" fillId="36" borderId="0" xfId="118" applyNumberFormat="1" applyFill="1" applyAlignment="1">
      <alignment horizontal="right" indent="1"/>
    </xf>
    <xf numFmtId="164" fontId="24" fillId="34" borderId="28" xfId="118" applyNumberFormat="1" applyFill="1" applyBorder="1"/>
    <xf numFmtId="164" fontId="24" fillId="34" borderId="0" xfId="118" applyNumberFormat="1" applyFill="1"/>
    <xf numFmtId="164" fontId="24" fillId="0" borderId="0" xfId="118" applyNumberFormat="1" applyAlignment="1">
      <alignment horizontal="right" indent="1"/>
    </xf>
    <xf numFmtId="164" fontId="24" fillId="0" borderId="0" xfId="118" applyNumberFormat="1" applyAlignment="1">
      <alignment horizontal="right"/>
    </xf>
    <xf numFmtId="164" fontId="24" fillId="34" borderId="0" xfId="118" applyNumberFormat="1" applyFill="1" applyAlignment="1">
      <alignment horizontal="right"/>
    </xf>
    <xf numFmtId="164" fontId="49" fillId="34" borderId="0" xfId="118" applyNumberFormat="1" applyFont="1" applyFill="1"/>
    <xf numFmtId="0" fontId="67" fillId="0" borderId="0" xfId="118" applyFont="1"/>
    <xf numFmtId="0" fontId="24" fillId="0" borderId="0" xfId="118" applyAlignment="1">
      <alignment horizontal="left" indent="2"/>
    </xf>
    <xf numFmtId="164" fontId="40" fillId="38" borderId="3" xfId="0" applyNumberFormat="1" applyFont="1" applyFill="1" applyBorder="1" applyAlignment="1">
      <alignment horizontal="center"/>
    </xf>
    <xf numFmtId="164" fontId="56" fillId="38" borderId="0" xfId="0" applyNumberFormat="1" applyFont="1" applyFill="1" applyAlignment="1">
      <alignment horizontal="center"/>
    </xf>
    <xf numFmtId="164" fontId="56" fillId="38" borderId="26" xfId="226" applyNumberFormat="1" applyFont="1" applyFill="1" applyBorder="1" applyAlignment="1">
      <alignment horizontal="center"/>
    </xf>
    <xf numFmtId="164" fontId="56" fillId="39" borderId="0" xfId="0" applyNumberFormat="1" applyFont="1" applyFill="1" applyAlignment="1">
      <alignment horizontal="center"/>
    </xf>
    <xf numFmtId="164" fontId="56" fillId="39" borderId="3" xfId="226" applyNumberFormat="1" applyFont="1" applyFill="1" applyBorder="1" applyAlignment="1">
      <alignment horizontal="center"/>
    </xf>
    <xf numFmtId="0" fontId="70" fillId="0" borderId="0" xfId="227" applyFont="1"/>
    <xf numFmtId="0" fontId="24" fillId="37" borderId="0" xfId="118" applyFill="1"/>
    <xf numFmtId="173" fontId="24" fillId="38" borderId="0" xfId="229" applyNumberFormat="1" applyFont="1" applyFill="1"/>
    <xf numFmtId="0" fontId="24" fillId="38" borderId="0" xfId="118" applyFill="1"/>
    <xf numFmtId="164" fontId="24" fillId="37" borderId="0" xfId="118" applyNumberFormat="1" applyFill="1"/>
    <xf numFmtId="164" fontId="24" fillId="38" borderId="0" xfId="118" applyNumberFormat="1" applyFill="1"/>
    <xf numFmtId="171" fontId="55" fillId="0" borderId="0" xfId="216" applyNumberFormat="1" applyFont="1" applyFill="1" applyBorder="1" applyAlignment="1">
      <alignment horizontal="center" vertical="center" wrapText="1"/>
    </xf>
    <xf numFmtId="171" fontId="55" fillId="0" borderId="0" xfId="216" applyNumberFormat="1" applyFont="1" applyFill="1" applyBorder="1" applyAlignment="1">
      <alignment horizontal="center" vertical="center"/>
    </xf>
    <xf numFmtId="164" fontId="25" fillId="0" borderId="10" xfId="157" applyNumberFormat="1" applyFont="1" applyFill="1" applyBorder="1" applyAlignment="1">
      <alignment horizontal="center" vertical="center"/>
    </xf>
    <xf numFmtId="164" fontId="25" fillId="0" borderId="11" xfId="157" applyNumberFormat="1" applyFont="1" applyFill="1" applyBorder="1" applyAlignment="1">
      <alignment horizontal="center" vertical="center"/>
    </xf>
    <xf numFmtId="0" fontId="63" fillId="0" borderId="0" xfId="209" applyFont="1" applyFill="1" applyBorder="1" applyAlignment="1">
      <alignment vertical="top"/>
    </xf>
    <xf numFmtId="0" fontId="47" fillId="0" borderId="0" xfId="209" applyFont="1" applyFill="1" applyBorder="1" applyAlignment="1">
      <alignment vertical="top"/>
    </xf>
    <xf numFmtId="0" fontId="57" fillId="0" borderId="0" xfId="209" applyFont="1" applyFill="1" applyBorder="1" applyAlignment="1">
      <alignment horizontal="center" vertical="center"/>
    </xf>
    <xf numFmtId="0" fontId="24" fillId="0" borderId="0" xfId="118" applyFill="1"/>
    <xf numFmtId="173" fontId="24" fillId="37" borderId="0" xfId="99" applyNumberFormat="1" applyFont="1" applyFill="1"/>
    <xf numFmtId="10" fontId="41" fillId="34" borderId="0" xfId="118" applyNumberFormat="1" applyFont="1" applyFill="1" applyAlignment="1">
      <alignment horizontal="center"/>
    </xf>
    <xf numFmtId="0" fontId="24" fillId="34" borderId="0" xfId="118" applyFill="1" applyAlignment="1">
      <alignment horizontal="center"/>
    </xf>
    <xf numFmtId="0" fontId="41" fillId="34" borderId="0" xfId="118" applyFont="1" applyFill="1"/>
    <xf numFmtId="167" fontId="24" fillId="0" borderId="0" xfId="118" applyNumberFormat="1" applyAlignment="1">
      <alignment horizontal="center"/>
    </xf>
    <xf numFmtId="167" fontId="49" fillId="0" borderId="0" xfId="118" applyNumberFormat="1" applyFont="1" applyAlignment="1">
      <alignment horizontal="center"/>
    </xf>
    <xf numFmtId="0" fontId="25" fillId="0" borderId="0" xfId="118" applyFont="1" applyAlignment="1">
      <alignment horizontal="right"/>
    </xf>
    <xf numFmtId="0" fontId="24" fillId="34" borderId="0" xfId="118" applyFill="1" applyAlignment="1">
      <alignment horizontal="left" indent="1"/>
    </xf>
    <xf numFmtId="0" fontId="59" fillId="0" borderId="0" xfId="118" applyFont="1" applyAlignment="1">
      <alignment horizontal="left" indent="2"/>
    </xf>
    <xf numFmtId="0" fontId="71" fillId="0" borderId="0" xfId="118" applyFont="1"/>
    <xf numFmtId="168" fontId="0" fillId="0" borderId="0" xfId="99" applyNumberFormat="1" applyFont="1"/>
    <xf numFmtId="164" fontId="41" fillId="0" borderId="0" xfId="118" applyNumberFormat="1" applyFont="1"/>
    <xf numFmtId="0" fontId="2" fillId="0" borderId="0" xfId="225" applyFont="1" applyFill="1" applyAlignment="1"/>
    <xf numFmtId="0" fontId="25" fillId="0" borderId="0" xfId="0" applyFont="1"/>
    <xf numFmtId="0" fontId="0" fillId="40" borderId="0" xfId="0" applyFill="1"/>
    <xf numFmtId="0" fontId="0" fillId="34" borderId="0" xfId="0" applyFill="1"/>
    <xf numFmtId="0" fontId="0" fillId="0" borderId="0" xfId="0" applyAlignment="1">
      <alignment horizontal="center"/>
    </xf>
    <xf numFmtId="0" fontId="27" fillId="0" borderId="0" xfId="0" quotePrefix="1" applyFont="1" applyAlignment="1">
      <alignment horizontal="center"/>
    </xf>
    <xf numFmtId="0" fontId="25" fillId="0" borderId="0" xfId="0" applyFont="1" applyAlignment="1">
      <alignment horizontal="center"/>
    </xf>
    <xf numFmtId="0" fontId="27" fillId="0" borderId="0" xfId="0" applyFont="1" applyAlignment="1">
      <alignment horizontal="left"/>
    </xf>
    <xf numFmtId="0" fontId="27" fillId="0" borderId="0" xfId="0" applyFont="1" applyAlignment="1">
      <alignment horizontal="center"/>
    </xf>
    <xf numFmtId="164" fontId="0" fillId="40" borderId="0" xfId="0" applyNumberFormat="1" applyFill="1"/>
    <xf numFmtId="164" fontId="0" fillId="36" borderId="0" xfId="0" applyNumberFormat="1" applyFill="1"/>
    <xf numFmtId="0" fontId="24" fillId="0" borderId="0" xfId="0" applyFont="1"/>
    <xf numFmtId="164" fontId="0" fillId="0" borderId="0" xfId="0" applyNumberFormat="1"/>
    <xf numFmtId="164" fontId="49" fillId="40" borderId="0" xfId="0" applyNumberFormat="1" applyFont="1" applyFill="1"/>
    <xf numFmtId="164" fontId="49" fillId="36" borderId="0" xfId="0" applyNumberFormat="1" applyFont="1" applyFill="1"/>
    <xf numFmtId="0" fontId="0" fillId="0" borderId="0" xfId="0" applyAlignment="1">
      <alignment horizontal="right"/>
    </xf>
    <xf numFmtId="164" fontId="24" fillId="36" borderId="0" xfId="0" applyNumberFormat="1" applyFont="1" applyFill="1"/>
    <xf numFmtId="0" fontId="24" fillId="0" borderId="0" xfId="0" applyFont="1" applyAlignment="1">
      <alignment horizontal="right"/>
    </xf>
    <xf numFmtId="0" fontId="24" fillId="0" borderId="0" xfId="0" applyFont="1" applyAlignment="1">
      <alignment horizontal="left" indent="1"/>
    </xf>
    <xf numFmtId="164" fontId="49" fillId="0" borderId="0" xfId="0" applyNumberFormat="1" applyFont="1"/>
    <xf numFmtId="167" fontId="49" fillId="0" borderId="0" xfId="0" applyNumberFormat="1" applyFont="1"/>
    <xf numFmtId="167" fontId="0" fillId="0" borderId="0" xfId="0" applyNumberFormat="1"/>
    <xf numFmtId="0" fontId="0" fillId="0" borderId="0" xfId="0" applyAlignment="1">
      <alignment horizontal="left" indent="1"/>
    </xf>
    <xf numFmtId="0" fontId="25" fillId="0" borderId="0" xfId="0" applyFont="1" applyAlignment="1">
      <alignment horizontal="right"/>
    </xf>
    <xf numFmtId="0" fontId="24" fillId="34" borderId="0" xfId="0" applyFont="1" applyFill="1"/>
    <xf numFmtId="164" fontId="0" fillId="36" borderId="0" xfId="0" applyNumberFormat="1" applyFill="1" applyAlignment="1">
      <alignment horizontal="right" indent="1"/>
    </xf>
    <xf numFmtId="164" fontId="24" fillId="34" borderId="28" xfId="0" applyNumberFormat="1" applyFont="1" applyFill="1" applyBorder="1"/>
    <xf numFmtId="164" fontId="0" fillId="34" borderId="0" xfId="0" applyNumberFormat="1" applyFill="1"/>
    <xf numFmtId="164" fontId="0" fillId="0" borderId="0" xfId="0" applyNumberFormat="1" applyAlignment="1">
      <alignment horizontal="right" indent="1"/>
    </xf>
    <xf numFmtId="164" fontId="24" fillId="34" borderId="0" xfId="0" applyNumberFormat="1" applyFont="1" applyFill="1"/>
    <xf numFmtId="164" fontId="24" fillId="0" borderId="0" xfId="0" applyNumberFormat="1" applyFont="1"/>
    <xf numFmtId="0" fontId="59" fillId="0" borderId="0" xfId="0" applyFont="1" applyAlignment="1">
      <alignment horizontal="left" indent="2"/>
    </xf>
    <xf numFmtId="0" fontId="27" fillId="0" borderId="0" xfId="0" applyFont="1"/>
    <xf numFmtId="164" fontId="24" fillId="0" borderId="0" xfId="0" applyNumberFormat="1" applyFont="1" applyAlignment="1">
      <alignment horizontal="right"/>
    </xf>
    <xf numFmtId="164" fontId="24" fillId="34" borderId="0" xfId="0" applyNumberFormat="1" applyFont="1" applyFill="1" applyAlignment="1">
      <alignment horizontal="right"/>
    </xf>
    <xf numFmtId="164" fontId="49" fillId="34" borderId="0" xfId="0" applyNumberFormat="1" applyFont="1" applyFill="1"/>
    <xf numFmtId="0" fontId="67" fillId="0" borderId="0" xfId="0" applyFont="1"/>
    <xf numFmtId="0" fontId="24" fillId="0" borderId="0" xfId="0" applyFont="1" applyAlignment="1">
      <alignment horizontal="left" indent="2"/>
    </xf>
    <xf numFmtId="0" fontId="71" fillId="0" borderId="0" xfId="0" applyFont="1"/>
    <xf numFmtId="0" fontId="44" fillId="0" borderId="0" xfId="209" applyFont="1" applyFill="1" applyBorder="1" applyAlignment="1">
      <alignment horizontal="left" vertical="top" wrapText="1"/>
    </xf>
    <xf numFmtId="0" fontId="45" fillId="0" borderId="0" xfId="209" applyFont="1" applyFill="1" applyBorder="1" applyAlignment="1">
      <alignment horizontal="left" vertical="top" wrapText="1"/>
    </xf>
    <xf numFmtId="0" fontId="2" fillId="0" borderId="0" xfId="157" quotePrefix="1" applyFont="1" applyFill="1" applyBorder="1" applyAlignment="1">
      <alignment horizontal="center"/>
    </xf>
    <xf numFmtId="10" fontId="56" fillId="0" borderId="0" xfId="159" applyNumberFormat="1" applyFont="1" applyFill="1" applyBorder="1"/>
    <xf numFmtId="0" fontId="5" fillId="0" borderId="0" xfId="157" quotePrefix="1" applyFont="1" applyFill="1" applyBorder="1" applyAlignment="1">
      <alignment horizontal="center"/>
    </xf>
    <xf numFmtId="0" fontId="6" fillId="0" borderId="0" xfId="225" applyFont="1" applyAlignment="1">
      <alignment wrapText="1"/>
    </xf>
    <xf numFmtId="0" fontId="25" fillId="41" borderId="3" xfId="0" applyFont="1" applyFill="1" applyBorder="1" applyAlignment="1">
      <alignment horizontal="center"/>
    </xf>
    <xf numFmtId="0" fontId="25" fillId="0" borderId="3" xfId="0" applyFont="1" applyBorder="1" applyAlignment="1">
      <alignment horizontal="center"/>
    </xf>
    <xf numFmtId="0" fontId="24" fillId="41" borderId="3" xfId="0" applyFont="1" applyFill="1" applyBorder="1" applyAlignment="1">
      <alignment horizontal="center"/>
    </xf>
    <xf numFmtId="0" fontId="24" fillId="41" borderId="3" xfId="0" applyFont="1" applyFill="1" applyBorder="1"/>
    <xf numFmtId="39" fontId="24" fillId="41" borderId="3" xfId="90" applyNumberFormat="1" applyFont="1" applyFill="1" applyBorder="1" applyAlignment="1">
      <alignment horizontal="center"/>
    </xf>
    <xf numFmtId="39" fontId="24" fillId="0" borderId="3" xfId="90" applyNumberFormat="1" applyFont="1" applyBorder="1" applyAlignment="1">
      <alignment horizontal="center" wrapText="1"/>
    </xf>
    <xf numFmtId="0" fontId="25" fillId="0" borderId="3" xfId="0" applyFont="1" applyBorder="1" applyAlignment="1">
      <alignment horizontal="center" wrapText="1"/>
    </xf>
    <xf numFmtId="0" fontId="25" fillId="0" borderId="3" xfId="0" applyFont="1" applyBorder="1" applyAlignment="1">
      <alignment wrapText="1"/>
    </xf>
    <xf numFmtId="39" fontId="25" fillId="0" borderId="3" xfId="90" quotePrefix="1" applyNumberFormat="1" applyFont="1" applyBorder="1" applyAlignment="1">
      <alignment horizontal="center" wrapText="1"/>
    </xf>
    <xf numFmtId="39" fontId="25" fillId="0" borderId="3" xfId="90" applyNumberFormat="1" applyFont="1" applyBorder="1" applyAlignment="1">
      <alignment horizontal="center" wrapText="1"/>
    </xf>
    <xf numFmtId="39" fontId="25" fillId="0" borderId="3" xfId="90" applyNumberFormat="1" applyFont="1" applyFill="1" applyBorder="1" applyAlignment="1">
      <alignment horizontal="center" wrapText="1"/>
    </xf>
    <xf numFmtId="165" fontId="25" fillId="0" borderId="3" xfId="90" applyFont="1" applyBorder="1" applyAlignment="1">
      <alignment horizontal="center" wrapText="1"/>
    </xf>
    <xf numFmtId="0" fontId="24" fillId="0" borderId="3" xfId="0" quotePrefix="1" applyFont="1" applyBorder="1" applyAlignment="1">
      <alignment horizontal="center"/>
    </xf>
    <xf numFmtId="0" fontId="24" fillId="0" borderId="3" xfId="0" quotePrefix="1" applyFont="1" applyBorder="1" applyAlignment="1">
      <alignment horizontal="left"/>
    </xf>
    <xf numFmtId="0" fontId="24" fillId="0" borderId="3" xfId="0" quotePrefix="1" applyFont="1" applyBorder="1"/>
    <xf numFmtId="37" fontId="24" fillId="34" borderId="3" xfId="90" quotePrefix="1" applyNumberFormat="1" applyFont="1" applyFill="1" applyBorder="1" applyAlignment="1">
      <alignment horizontal="center"/>
    </xf>
    <xf numFmtId="37" fontId="24" fillId="0" borderId="3" xfId="90" quotePrefix="1" applyNumberFormat="1" applyFont="1" applyFill="1" applyBorder="1" applyAlignment="1">
      <alignment horizontal="center"/>
    </xf>
    <xf numFmtId="0" fontId="24" fillId="0" borderId="3" xfId="0" applyFont="1" applyBorder="1" applyAlignment="1">
      <alignment horizontal="center"/>
    </xf>
    <xf numFmtId="37" fontId="24" fillId="0" borderId="3" xfId="0" applyNumberFormat="1" applyFont="1" applyBorder="1" applyAlignment="1">
      <alignment horizontal="center"/>
    </xf>
    <xf numFmtId="39" fontId="24" fillId="0" borderId="3" xfId="90" quotePrefix="1" applyNumberFormat="1" applyFont="1" applyFill="1" applyBorder="1" applyAlignment="1">
      <alignment horizontal="center"/>
    </xf>
    <xf numFmtId="0" fontId="24" fillId="34" borderId="3" xfId="0" quotePrefix="1" applyFont="1" applyFill="1" applyBorder="1" applyAlignment="1">
      <alignment horizontal="center"/>
    </xf>
    <xf numFmtId="0" fontId="24" fillId="34" borderId="3" xfId="0" quotePrefix="1" applyFont="1" applyFill="1" applyBorder="1" applyAlignment="1">
      <alignment horizontal="left"/>
    </xf>
    <xf numFmtId="0" fontId="24" fillId="34" borderId="3" xfId="0" quotePrefix="1" applyFont="1" applyFill="1" applyBorder="1"/>
    <xf numFmtId="0" fontId="24" fillId="34" borderId="3" xfId="0" applyFont="1" applyFill="1" applyBorder="1"/>
    <xf numFmtId="39" fontId="24" fillId="34" borderId="20" xfId="90" quotePrefix="1" applyNumberFormat="1" applyFont="1" applyFill="1" applyBorder="1" applyAlignment="1">
      <alignment horizontal="center"/>
    </xf>
    <xf numFmtId="0" fontId="24" fillId="34" borderId="3" xfId="0" applyFont="1" applyFill="1" applyBorder="1" applyAlignment="1">
      <alignment horizontal="center"/>
    </xf>
    <xf numFmtId="37" fontId="24" fillId="34" borderId="3" xfId="0" applyNumberFormat="1" applyFont="1" applyFill="1" applyBorder="1" applyAlignment="1">
      <alignment horizontal="center"/>
    </xf>
    <xf numFmtId="39" fontId="24" fillId="34" borderId="3" xfId="90" quotePrefix="1" applyNumberFormat="1" applyFont="1" applyFill="1" applyBorder="1" applyAlignment="1">
      <alignment horizontal="center"/>
    </xf>
    <xf numFmtId="37" fontId="25" fillId="0" borderId="3" xfId="90" quotePrefix="1" applyNumberFormat="1" applyFont="1" applyFill="1" applyBorder="1" applyAlignment="1">
      <alignment horizontal="center"/>
    </xf>
    <xf numFmtId="37" fontId="25" fillId="41" borderId="3" xfId="90" quotePrefix="1" applyNumberFormat="1" applyFont="1" applyFill="1" applyBorder="1" applyAlignment="1">
      <alignment horizontal="center"/>
    </xf>
    <xf numFmtId="37" fontId="25" fillId="34" borderId="3" xfId="90" quotePrefix="1" applyNumberFormat="1" applyFont="1" applyFill="1" applyBorder="1" applyAlignment="1">
      <alignment horizontal="center"/>
    </xf>
    <xf numFmtId="37" fontId="25" fillId="0" borderId="0" xfId="90" quotePrefix="1" applyNumberFormat="1" applyFont="1" applyFill="1" applyBorder="1" applyAlignment="1">
      <alignment horizontal="center"/>
    </xf>
    <xf numFmtId="37" fontId="25" fillId="0" borderId="0" xfId="90" quotePrefix="1" applyNumberFormat="1" applyFont="1" applyBorder="1" applyAlignment="1">
      <alignment horizontal="center"/>
    </xf>
    <xf numFmtId="0" fontId="25" fillId="0" borderId="0" xfId="0" quotePrefix="1" applyFont="1" applyAlignment="1">
      <alignment horizontal="center"/>
    </xf>
    <xf numFmtId="0" fontId="25" fillId="0" borderId="0" xfId="0" quotePrefix="1" applyFont="1"/>
    <xf numFmtId="3" fontId="24" fillId="0" borderId="3" xfId="90" quotePrefix="1" applyNumberFormat="1" applyFont="1" applyFill="1" applyBorder="1" applyAlignment="1">
      <alignment horizontal="center"/>
    </xf>
    <xf numFmtId="3" fontId="24" fillId="0" borderId="3" xfId="0" applyNumberFormat="1" applyFont="1" applyBorder="1" applyAlignment="1">
      <alignment horizontal="center"/>
    </xf>
    <xf numFmtId="3" fontId="24" fillId="34" borderId="3" xfId="0" applyNumberFormat="1" applyFont="1" applyFill="1" applyBorder="1" applyAlignment="1">
      <alignment horizontal="center"/>
    </xf>
    <xf numFmtId="3" fontId="24" fillId="34" borderId="3" xfId="90" quotePrefix="1" applyNumberFormat="1" applyFont="1" applyFill="1" applyBorder="1" applyAlignment="1">
      <alignment horizontal="center"/>
    </xf>
    <xf numFmtId="3" fontId="24" fillId="0" borderId="3" xfId="90" applyNumberFormat="1" applyFont="1" applyFill="1" applyBorder="1" applyAlignment="1">
      <alignment horizontal="center"/>
    </xf>
    <xf numFmtId="0" fontId="24" fillId="0" borderId="3" xfId="0" applyFont="1" applyBorder="1"/>
    <xf numFmtId="0" fontId="24" fillId="0" borderId="20" xfId="0" applyFont="1" applyBorder="1"/>
    <xf numFmtId="0" fontId="24" fillId="34" borderId="20" xfId="0" applyFont="1" applyFill="1" applyBorder="1"/>
    <xf numFmtId="3" fontId="52" fillId="34" borderId="3" xfId="90" quotePrefix="1" applyNumberFormat="1" applyFont="1" applyFill="1" applyBorder="1" applyAlignment="1">
      <alignment horizontal="center"/>
    </xf>
    <xf numFmtId="3" fontId="52" fillId="34" borderId="3" xfId="0" applyNumberFormat="1" applyFont="1" applyFill="1" applyBorder="1" applyAlignment="1">
      <alignment horizontal="center"/>
    </xf>
    <xf numFmtId="3" fontId="25" fillId="0" borderId="3" xfId="90" quotePrefix="1" applyNumberFormat="1" applyFont="1" applyFill="1" applyBorder="1" applyAlignment="1">
      <alignment horizontal="center"/>
    </xf>
    <xf numFmtId="3" fontId="25" fillId="0" borderId="3" xfId="0" applyNumberFormat="1" applyFont="1" applyBorder="1" applyAlignment="1">
      <alignment horizontal="center"/>
    </xf>
    <xf numFmtId="3" fontId="25" fillId="41" borderId="3" xfId="90" quotePrefix="1" applyNumberFormat="1" applyFont="1" applyFill="1" applyBorder="1" applyAlignment="1">
      <alignment horizontal="center"/>
    </xf>
    <xf numFmtId="37" fontId="24" fillId="0" borderId="0" xfId="0" applyNumberFormat="1" applyFont="1" applyAlignment="1">
      <alignment horizontal="center"/>
    </xf>
    <xf numFmtId="0" fontId="24" fillId="0" borderId="0" xfId="0" applyFont="1" applyAlignment="1">
      <alignment horizontal="center"/>
    </xf>
    <xf numFmtId="0" fontId="24" fillId="0" borderId="0" xfId="0" quotePrefix="1" applyFont="1" applyAlignment="1">
      <alignment horizontal="center"/>
    </xf>
    <xf numFmtId="37" fontId="24" fillId="34" borderId="3" xfId="90" applyNumberFormat="1" applyFont="1" applyFill="1" applyBorder="1" applyAlignment="1">
      <alignment horizontal="center"/>
    </xf>
    <xf numFmtId="37" fontId="25" fillId="34" borderId="21" xfId="90" quotePrefix="1" applyNumberFormat="1" applyFont="1" applyFill="1" applyBorder="1" applyAlignment="1">
      <alignment horizontal="center"/>
    </xf>
    <xf numFmtId="37" fontId="25" fillId="0" borderId="0" xfId="0" applyNumberFormat="1" applyFont="1" applyAlignment="1">
      <alignment horizontal="center"/>
    </xf>
    <xf numFmtId="0" fontId="24" fillId="0" borderId="20" xfId="0" applyFont="1" applyBorder="1" applyAlignment="1">
      <alignment horizontal="center"/>
    </xf>
    <xf numFmtId="0" fontId="24" fillId="0" borderId="29" xfId="0" applyFont="1" applyBorder="1" applyAlignment="1">
      <alignment horizontal="center"/>
    </xf>
    <xf numFmtId="37" fontId="24" fillId="0" borderId="3" xfId="90" applyNumberFormat="1" applyFont="1" applyFill="1" applyBorder="1" applyAlignment="1">
      <alignment horizontal="center"/>
    </xf>
    <xf numFmtId="3" fontId="24" fillId="34" borderId="29" xfId="210" applyNumberFormat="1" applyFont="1" applyFill="1" applyBorder="1" applyAlignment="1">
      <alignment horizontal="center"/>
    </xf>
    <xf numFmtId="0" fontId="24" fillId="0" borderId="3" xfId="0" applyFont="1" applyBorder="1" applyAlignment="1">
      <alignment horizontal="left" vertical="center" wrapText="1"/>
    </xf>
    <xf numFmtId="0" fontId="24" fillId="0" borderId="3" xfId="0" applyFont="1" applyBorder="1" applyAlignment="1">
      <alignment vertical="center" wrapText="1"/>
    </xf>
    <xf numFmtId="0" fontId="24" fillId="34" borderId="3" xfId="0" applyFont="1" applyFill="1" applyBorder="1" applyAlignment="1">
      <alignment horizontal="center" vertical="center" wrapText="1"/>
    </xf>
    <xf numFmtId="37" fontId="24" fillId="0" borderId="30" xfId="90" quotePrefix="1" applyNumberFormat="1" applyFont="1" applyFill="1" applyBorder="1" applyAlignment="1">
      <alignment horizontal="center"/>
    </xf>
    <xf numFmtId="0" fontId="24" fillId="0" borderId="0" xfId="0" applyFont="1" applyAlignment="1">
      <alignment horizontal="left" vertical="center" wrapText="1"/>
    </xf>
    <xf numFmtId="37" fontId="24" fillId="0" borderId="18" xfId="90" quotePrefix="1" applyNumberFormat="1" applyFont="1" applyFill="1" applyBorder="1" applyAlignment="1">
      <alignment horizontal="center"/>
    </xf>
    <xf numFmtId="37" fontId="24" fillId="0" borderId="28" xfId="90" quotePrefix="1" applyNumberFormat="1" applyFont="1" applyFill="1" applyBorder="1" applyAlignment="1">
      <alignment horizontal="center"/>
    </xf>
    <xf numFmtId="37" fontId="24" fillId="34" borderId="20" xfId="0" applyNumberFormat="1" applyFont="1" applyFill="1" applyBorder="1" applyAlignment="1">
      <alignment horizontal="center"/>
    </xf>
    <xf numFmtId="37" fontId="24" fillId="34" borderId="21" xfId="90" quotePrefix="1" applyNumberFormat="1" applyFont="1" applyFill="1" applyBorder="1" applyAlignment="1">
      <alignment horizontal="center"/>
    </xf>
    <xf numFmtId="0" fontId="24" fillId="34" borderId="18" xfId="0" quotePrefix="1" applyFont="1" applyFill="1" applyBorder="1" applyAlignment="1">
      <alignment horizontal="left"/>
    </xf>
    <xf numFmtId="0" fontId="24" fillId="34" borderId="19" xfId="0" quotePrefix="1" applyFont="1" applyFill="1" applyBorder="1"/>
    <xf numFmtId="37" fontId="52" fillId="34" borderId="3" xfId="90" quotePrefix="1" applyNumberFormat="1" applyFont="1" applyFill="1" applyBorder="1" applyAlignment="1">
      <alignment horizontal="center"/>
    </xf>
    <xf numFmtId="37" fontId="52" fillId="34" borderId="3" xfId="0" applyNumberFormat="1" applyFont="1" applyFill="1" applyBorder="1" applyAlignment="1">
      <alignment horizontal="center"/>
    </xf>
    <xf numFmtId="0" fontId="52" fillId="34" borderId="3" xfId="0" applyFont="1" applyFill="1" applyBorder="1" applyAlignment="1">
      <alignment horizontal="center"/>
    </xf>
    <xf numFmtId="37" fontId="72" fillId="0" borderId="0" xfId="90" quotePrefix="1" applyNumberFormat="1" applyFont="1" applyBorder="1" applyAlignment="1">
      <alignment horizontal="center"/>
    </xf>
    <xf numFmtId="3" fontId="24" fillId="34" borderId="31" xfId="210" applyNumberFormat="1" applyFont="1" applyFill="1" applyBorder="1" applyAlignment="1">
      <alignment horizontal="center"/>
    </xf>
    <xf numFmtId="3" fontId="24" fillId="34" borderId="32" xfId="210" applyNumberFormat="1" applyFont="1" applyFill="1" applyBorder="1" applyAlignment="1">
      <alignment horizontal="center"/>
    </xf>
    <xf numFmtId="3" fontId="24" fillId="34" borderId="3" xfId="90" applyNumberFormat="1" applyFont="1" applyFill="1" applyBorder="1" applyAlignment="1">
      <alignment horizontal="center"/>
    </xf>
    <xf numFmtId="0" fontId="24" fillId="0" borderId="31" xfId="0" applyFont="1" applyBorder="1" applyAlignment="1">
      <alignment horizontal="center"/>
    </xf>
    <xf numFmtId="0" fontId="24" fillId="0" borderId="20" xfId="0" applyFont="1" applyBorder="1" applyAlignment="1">
      <alignment vertical="center" wrapText="1"/>
    </xf>
    <xf numFmtId="0" fontId="24" fillId="0" borderId="21" xfId="0" applyFont="1" applyBorder="1" applyAlignment="1">
      <alignment horizontal="left" vertical="center" wrapText="1"/>
    </xf>
    <xf numFmtId="0" fontId="24" fillId="0" borderId="0" xfId="0" applyFont="1" applyAlignment="1">
      <alignment vertical="center" wrapText="1"/>
    </xf>
    <xf numFmtId="0" fontId="41" fillId="34" borderId="3" xfId="0" quotePrefix="1" applyFont="1" applyFill="1" applyBorder="1" applyAlignment="1">
      <alignment horizontal="center"/>
    </xf>
    <xf numFmtId="37" fontId="41" fillId="34" borderId="3" xfId="90" quotePrefix="1" applyNumberFormat="1" applyFont="1" applyFill="1" applyBorder="1" applyAlignment="1">
      <alignment horizontal="center"/>
    </xf>
    <xf numFmtId="0" fontId="24" fillId="0" borderId="3" xfId="0" quotePrefix="1" applyFont="1" applyBorder="1" applyAlignment="1">
      <alignment horizontal="left" vertical="center" wrapText="1"/>
    </xf>
    <xf numFmtId="39" fontId="72" fillId="0" borderId="0" xfId="90" quotePrefix="1" applyNumberFormat="1" applyFont="1" applyBorder="1" applyAlignment="1">
      <alignment horizontal="center"/>
    </xf>
    <xf numFmtId="39" fontId="25" fillId="0" borderId="0" xfId="90" quotePrefix="1" applyNumberFormat="1" applyFont="1" applyFill="1" applyBorder="1" applyAlignment="1">
      <alignment horizontal="center"/>
    </xf>
    <xf numFmtId="39" fontId="25" fillId="0" borderId="0" xfId="90" quotePrefix="1" applyNumberFormat="1" applyFont="1" applyBorder="1" applyAlignment="1">
      <alignment horizontal="center"/>
    </xf>
    <xf numFmtId="0" fontId="24" fillId="34" borderId="3" xfId="0" applyFont="1" applyFill="1" applyBorder="1" applyAlignment="1">
      <alignment horizontal="left"/>
    </xf>
    <xf numFmtId="0" fontId="25" fillId="34" borderId="3" xfId="0" quotePrefix="1" applyFont="1" applyFill="1" applyBorder="1"/>
    <xf numFmtId="39" fontId="25" fillId="34" borderId="3" xfId="90" quotePrefix="1" applyNumberFormat="1" applyFont="1" applyFill="1" applyBorder="1" applyAlignment="1">
      <alignment horizontal="center"/>
    </xf>
    <xf numFmtId="0" fontId="25" fillId="34" borderId="3" xfId="0" applyFont="1" applyFill="1" applyBorder="1"/>
    <xf numFmtId="37" fontId="25" fillId="0" borderId="3" xfId="90" quotePrefix="1" applyNumberFormat="1" applyFont="1" applyBorder="1" applyAlignment="1">
      <alignment horizontal="center"/>
    </xf>
    <xf numFmtId="39" fontId="25" fillId="41" borderId="0" xfId="90" quotePrefix="1" applyNumberFormat="1" applyFont="1" applyFill="1" applyBorder="1" applyAlignment="1">
      <alignment horizontal="center"/>
    </xf>
    <xf numFmtId="39" fontId="25" fillId="0" borderId="33" xfId="90" quotePrefix="1" applyNumberFormat="1" applyFont="1" applyBorder="1" applyAlignment="1">
      <alignment horizontal="center"/>
    </xf>
    <xf numFmtId="0" fontId="24" fillId="0" borderId="3" xfId="0" applyFont="1" applyBorder="1" applyAlignment="1">
      <alignment horizontal="left"/>
    </xf>
    <xf numFmtId="0" fontId="24" fillId="0" borderId="3" xfId="90" applyNumberFormat="1" applyFont="1" applyFill="1" applyBorder="1" applyAlignment="1">
      <alignment horizontal="left"/>
    </xf>
    <xf numFmtId="37" fontId="24" fillId="34" borderId="31" xfId="210" applyNumberFormat="1" applyFont="1" applyFill="1" applyBorder="1" applyAlignment="1">
      <alignment horizontal="center" vertical="center"/>
    </xf>
    <xf numFmtId="37" fontId="24" fillId="34" borderId="3" xfId="210" applyNumberFormat="1" applyFont="1" applyFill="1" applyBorder="1" applyAlignment="1">
      <alignment horizontal="center"/>
    </xf>
    <xf numFmtId="3" fontId="24" fillId="34" borderId="3" xfId="210" applyNumberFormat="1" applyFont="1" applyFill="1" applyBorder="1" applyAlignment="1">
      <alignment horizontal="center"/>
    </xf>
    <xf numFmtId="37" fontId="24" fillId="34" borderId="31" xfId="210" applyNumberFormat="1" applyFont="1" applyFill="1" applyBorder="1" applyAlignment="1">
      <alignment horizontal="center"/>
    </xf>
    <xf numFmtId="37" fontId="24" fillId="34" borderId="32" xfId="210" applyNumberFormat="1" applyFont="1" applyFill="1" applyBorder="1" applyAlignment="1">
      <alignment horizontal="center"/>
    </xf>
    <xf numFmtId="174" fontId="24" fillId="34" borderId="3" xfId="90" applyNumberFormat="1" applyFont="1" applyFill="1" applyBorder="1" applyAlignment="1">
      <alignment horizontal="center"/>
    </xf>
    <xf numFmtId="174" fontId="24" fillId="34" borderId="3" xfId="90" applyNumberFormat="1" applyFont="1" applyFill="1" applyBorder="1"/>
    <xf numFmtId="0" fontId="24" fillId="34" borderId="3" xfId="90" applyNumberFormat="1" applyFont="1" applyFill="1" applyBorder="1" applyAlignment="1">
      <alignment horizontal="left"/>
    </xf>
    <xf numFmtId="174" fontId="52" fillId="34" borderId="3" xfId="90" applyNumberFormat="1" applyFont="1" applyFill="1" applyBorder="1"/>
    <xf numFmtId="37" fontId="25" fillId="0" borderId="0" xfId="90" applyNumberFormat="1" applyFont="1" applyFill="1" applyBorder="1" applyAlignment="1">
      <alignment horizontal="center"/>
    </xf>
    <xf numFmtId="39" fontId="24" fillId="0" borderId="0" xfId="90" applyNumberFormat="1" applyFont="1" applyBorder="1" applyAlignment="1">
      <alignment horizontal="center"/>
    </xf>
    <xf numFmtId="39" fontId="24" fillId="0" borderId="0" xfId="90" applyNumberFormat="1" applyFont="1" applyFill="1" applyBorder="1" applyAlignment="1">
      <alignment horizontal="center"/>
    </xf>
    <xf numFmtId="165" fontId="24" fillId="0" borderId="0" xfId="90" applyFont="1" applyBorder="1" applyAlignment="1">
      <alignment horizontal="center"/>
    </xf>
    <xf numFmtId="37" fontId="52" fillId="34" borderId="3" xfId="90" applyNumberFormat="1" applyFont="1" applyFill="1" applyBorder="1" applyAlignment="1">
      <alignment horizontal="center"/>
    </xf>
    <xf numFmtId="39" fontId="24" fillId="0" borderId="3" xfId="90" applyNumberFormat="1" applyFont="1" applyFill="1" applyBorder="1" applyAlignment="1">
      <alignment horizontal="center"/>
    </xf>
    <xf numFmtId="0" fontId="24" fillId="0" borderId="18" xfId="0" applyFont="1" applyBorder="1" applyAlignment="1">
      <alignment horizontal="left"/>
    </xf>
    <xf numFmtId="0" fontId="24" fillId="0" borderId="20" xfId="0" applyFont="1" applyBorder="1" applyAlignment="1">
      <alignment horizontal="left"/>
    </xf>
    <xf numFmtId="0" fontId="24" fillId="34" borderId="18" xfId="0" applyFont="1" applyFill="1" applyBorder="1"/>
    <xf numFmtId="39" fontId="24" fillId="34" borderId="3" xfId="90" applyNumberFormat="1" applyFont="1" applyFill="1" applyBorder="1" applyAlignment="1">
      <alignment horizontal="center"/>
    </xf>
    <xf numFmtId="39" fontId="24" fillId="34" borderId="3" xfId="0" applyNumberFormat="1" applyFont="1" applyFill="1" applyBorder="1" applyAlignment="1">
      <alignment horizontal="center"/>
    </xf>
    <xf numFmtId="3" fontId="25" fillId="0" borderId="3" xfId="90" applyNumberFormat="1" applyFont="1" applyFill="1" applyBorder="1" applyAlignment="1">
      <alignment horizontal="center"/>
    </xf>
    <xf numFmtId="3" fontId="25" fillId="41" borderId="30" xfId="90" applyNumberFormat="1" applyFont="1" applyFill="1" applyBorder="1" applyAlignment="1">
      <alignment horizontal="center"/>
    </xf>
    <xf numFmtId="39" fontId="25" fillId="41" borderId="3" xfId="90" applyNumberFormat="1" applyFont="1" applyFill="1" applyBorder="1" applyAlignment="1">
      <alignment horizontal="center"/>
    </xf>
    <xf numFmtId="37" fontId="25" fillId="0" borderId="3" xfId="90" applyNumberFormat="1" applyFont="1" applyFill="1" applyBorder="1" applyAlignment="1">
      <alignment horizontal="center"/>
    </xf>
    <xf numFmtId="3" fontId="25" fillId="34" borderId="3" xfId="90" quotePrefix="1" applyNumberFormat="1" applyFont="1" applyFill="1" applyBorder="1" applyAlignment="1">
      <alignment horizontal="center"/>
    </xf>
    <xf numFmtId="3" fontId="25" fillId="0" borderId="0" xfId="90" applyNumberFormat="1" applyFont="1" applyFill="1" applyBorder="1" applyAlignment="1">
      <alignment horizontal="center"/>
    </xf>
    <xf numFmtId="3" fontId="25" fillId="0" borderId="0" xfId="90" applyNumberFormat="1" applyFont="1" applyBorder="1" applyAlignment="1">
      <alignment horizontal="center"/>
    </xf>
    <xf numFmtId="39" fontId="25" fillId="0" borderId="0" xfId="90" applyNumberFormat="1" applyFont="1" applyFill="1" applyBorder="1" applyAlignment="1">
      <alignment horizontal="center"/>
    </xf>
    <xf numFmtId="39" fontId="25" fillId="0" borderId="0" xfId="90" applyNumberFormat="1" applyFont="1" applyBorder="1" applyAlignment="1">
      <alignment horizontal="center"/>
    </xf>
    <xf numFmtId="3" fontId="25" fillId="34" borderId="3" xfId="90" applyNumberFormat="1" applyFont="1" applyFill="1" applyBorder="1" applyAlignment="1">
      <alignment horizontal="center"/>
    </xf>
    <xf numFmtId="0" fontId="25" fillId="41" borderId="0" xfId="0" applyFont="1" applyFill="1"/>
    <xf numFmtId="0" fontId="25" fillId="41" borderId="0" xfId="0" quotePrefix="1" applyFont="1" applyFill="1"/>
    <xf numFmtId="0" fontId="25" fillId="0" borderId="3" xfId="0" applyFont="1" applyBorder="1" applyAlignment="1">
      <alignment horizontal="right"/>
    </xf>
    <xf numFmtId="37" fontId="25" fillId="0" borderId="3" xfId="0" applyNumberFormat="1" applyFont="1" applyBorder="1" applyAlignment="1">
      <alignment horizontal="center"/>
    </xf>
    <xf numFmtId="37" fontId="25" fillId="41" borderId="3" xfId="0" applyNumberFormat="1" applyFont="1" applyFill="1" applyBorder="1" applyAlignment="1">
      <alignment horizontal="center"/>
    </xf>
    <xf numFmtId="0" fontId="24" fillId="0" borderId="0" xfId="0" quotePrefix="1" applyFont="1"/>
    <xf numFmtId="39" fontId="24" fillId="0" borderId="0" xfId="90" quotePrefix="1" applyNumberFormat="1" applyFont="1" applyBorder="1" applyAlignment="1">
      <alignment horizontal="center"/>
    </xf>
    <xf numFmtId="39" fontId="52" fillId="0" borderId="0" xfId="90" quotePrefix="1" applyNumberFormat="1" applyFont="1" applyBorder="1" applyAlignment="1">
      <alignment horizontal="center"/>
    </xf>
    <xf numFmtId="39" fontId="24" fillId="0" borderId="0" xfId="90" quotePrefix="1" applyNumberFormat="1" applyFont="1" applyFill="1" applyBorder="1" applyAlignment="1">
      <alignment horizontal="center"/>
    </xf>
    <xf numFmtId="0" fontId="24" fillId="41" borderId="3" xfId="0" quotePrefix="1" applyFont="1" applyFill="1" applyBorder="1"/>
    <xf numFmtId="39" fontId="24" fillId="0" borderId="3" xfId="90" applyNumberFormat="1" applyFont="1" applyBorder="1" applyAlignment="1">
      <alignment horizontal="right"/>
    </xf>
    <xf numFmtId="49" fontId="24" fillId="0" borderId="0" xfId="90" applyNumberFormat="1" applyFont="1" applyBorder="1" applyAlignment="1">
      <alignment horizontal="left"/>
    </xf>
    <xf numFmtId="49" fontId="24" fillId="0" borderId="0" xfId="90" applyNumberFormat="1" applyFont="1" applyFill="1" applyBorder="1" applyAlignment="1">
      <alignment horizontal="left"/>
    </xf>
    <xf numFmtId="39" fontId="24" fillId="0" borderId="3" xfId="90" quotePrefix="1" applyNumberFormat="1" applyFont="1" applyBorder="1" applyAlignment="1">
      <alignment horizontal="center"/>
    </xf>
    <xf numFmtId="49" fontId="24" fillId="0" borderId="0" xfId="90" quotePrefix="1" applyNumberFormat="1" applyFont="1" applyFill="1" applyBorder="1" applyAlignment="1">
      <alignment horizontal="left"/>
    </xf>
    <xf numFmtId="0" fontId="24" fillId="0" borderId="0" xfId="0" applyFont="1" applyAlignment="1">
      <alignment horizontal="left"/>
    </xf>
    <xf numFmtId="174" fontId="52" fillId="0" borderId="0" xfId="90" applyNumberFormat="1" applyFont="1" applyBorder="1" applyAlignment="1">
      <alignment horizontal="center"/>
    </xf>
    <xf numFmtId="39" fontId="52" fillId="0" borderId="0" xfId="90" applyNumberFormat="1" applyFont="1" applyBorder="1" applyAlignment="1">
      <alignment horizontal="left"/>
    </xf>
    <xf numFmtId="37" fontId="24" fillId="36" borderId="3" xfId="90" applyNumberFormat="1" applyFont="1" applyFill="1" applyBorder="1" applyAlignment="1">
      <alignment horizontal="center"/>
    </xf>
    <xf numFmtId="49" fontId="24" fillId="0" borderId="0" xfId="0" applyNumberFormat="1" applyFont="1" applyAlignment="1">
      <alignment horizontal="left"/>
    </xf>
    <xf numFmtId="10" fontId="24" fillId="0" borderId="3" xfId="31" applyNumberFormat="1" applyFont="1" applyFill="1" applyBorder="1" applyAlignment="1">
      <alignment horizontal="center"/>
    </xf>
    <xf numFmtId="39" fontId="25" fillId="0" borderId="3" xfId="90" applyNumberFormat="1" applyFont="1" applyFill="1" applyBorder="1" applyAlignment="1">
      <alignment horizontal="right" wrapText="1"/>
    </xf>
    <xf numFmtId="37" fontId="25" fillId="36" borderId="3" xfId="90" applyNumberFormat="1" applyFont="1" applyFill="1" applyBorder="1" applyAlignment="1">
      <alignment horizontal="center"/>
    </xf>
    <xf numFmtId="165" fontId="24" fillId="0" borderId="0" xfId="90" applyFont="1" applyFill="1" applyBorder="1" applyAlignment="1">
      <alignment horizontal="center"/>
    </xf>
    <xf numFmtId="39" fontId="24" fillId="0" borderId="0" xfId="210" applyNumberFormat="1" applyFont="1" applyFill="1" applyBorder="1" applyAlignment="1">
      <alignment horizontal="center"/>
    </xf>
    <xf numFmtId="0" fontId="49" fillId="0" borderId="0" xfId="0" applyFont="1" applyAlignment="1">
      <alignment horizontal="center"/>
    </xf>
    <xf numFmtId="39" fontId="24" fillId="0" borderId="0" xfId="210" applyNumberFormat="1" applyFont="1" applyBorder="1" applyAlignment="1">
      <alignment horizontal="center"/>
    </xf>
    <xf numFmtId="164" fontId="24" fillId="36" borderId="0" xfId="210" applyNumberFormat="1" applyFont="1" applyFill="1" applyBorder="1" applyAlignment="1">
      <alignment horizontal="center"/>
    </xf>
    <xf numFmtId="49" fontId="24" fillId="0" borderId="0" xfId="210" applyNumberFormat="1" applyFont="1" applyBorder="1" applyAlignment="1">
      <alignment horizontal="left" indent="1"/>
    </xf>
    <xf numFmtId="164" fontId="24" fillId="0" borderId="0" xfId="210" applyNumberFormat="1" applyFont="1" applyBorder="1" applyAlignment="1">
      <alignment horizontal="right"/>
    </xf>
    <xf numFmtId="0" fontId="24" fillId="0" borderId="0" xfId="0" applyFont="1" applyAlignment="1">
      <alignment vertical="top"/>
    </xf>
    <xf numFmtId="0" fontId="0" fillId="34" borderId="0" xfId="0" applyFill="1" applyAlignment="1">
      <alignment horizontal="left" vertical="top" wrapText="1"/>
    </xf>
    <xf numFmtId="39" fontId="24" fillId="0" borderId="0" xfId="90" applyNumberFormat="1" applyFont="1" applyFill="1" applyBorder="1" applyAlignment="1">
      <alignment horizontal="right"/>
    </xf>
    <xf numFmtId="39" fontId="24" fillId="34" borderId="0" xfId="90" applyNumberFormat="1" applyFont="1" applyFill="1" applyBorder="1" applyAlignment="1">
      <alignment horizontal="center"/>
    </xf>
    <xf numFmtId="0" fontId="73" fillId="0" borderId="0" xfId="0" applyFont="1"/>
    <xf numFmtId="0" fontId="24" fillId="34" borderId="0" xfId="0" applyFont="1" applyFill="1" applyAlignment="1">
      <alignment horizontal="left" indent="1"/>
    </xf>
    <xf numFmtId="0" fontId="0" fillId="34" borderId="0" xfId="0" quotePrefix="1" applyFill="1" applyAlignment="1">
      <alignment horizontal="center"/>
    </xf>
    <xf numFmtId="0" fontId="24" fillId="34" borderId="0" xfId="0" applyFont="1" applyFill="1" applyAlignment="1">
      <alignment horizontal="center"/>
    </xf>
    <xf numFmtId="0" fontId="0" fillId="34" borderId="0" xfId="0" applyFill="1" applyAlignment="1">
      <alignment horizontal="center"/>
    </xf>
    <xf numFmtId="167" fontId="41" fillId="40" borderId="0" xfId="0" applyNumberFormat="1" applyFont="1" applyFill="1" applyAlignment="1">
      <alignment wrapText="1"/>
    </xf>
    <xf numFmtId="0" fontId="24" fillId="34" borderId="0" xfId="0" applyFont="1" applyFill="1" applyAlignment="1">
      <alignment wrapText="1"/>
    </xf>
    <xf numFmtId="175" fontId="41" fillId="40" borderId="28" xfId="0" applyNumberFormat="1" applyFont="1" applyFill="1" applyBorder="1"/>
    <xf numFmtId="175" fontId="0" fillId="40" borderId="0" xfId="0" applyNumberFormat="1" applyFill="1"/>
    <xf numFmtId="175" fontId="0" fillId="0" borderId="0" xfId="0" applyNumberFormat="1"/>
    <xf numFmtId="0" fontId="1" fillId="0" borderId="0" xfId="225" applyFont="1"/>
    <xf numFmtId="0" fontId="45" fillId="0" borderId="0" xfId="209" applyFont="1" applyFill="1" applyBorder="1" applyAlignment="1">
      <alignment horizontal="left" vertical="top" wrapText="1"/>
    </xf>
    <xf numFmtId="0" fontId="52" fillId="0" borderId="0" xfId="0" applyFont="1"/>
    <xf numFmtId="0" fontId="52" fillId="0" borderId="0" xfId="0" applyFont="1" applyAlignment="1">
      <alignment horizontal="right"/>
    </xf>
    <xf numFmtId="0" fontId="0" fillId="0" borderId="0" xfId="0"/>
    <xf numFmtId="0" fontId="25" fillId="0" borderId="0" xfId="0" applyFont="1" applyAlignment="1">
      <alignment horizontal="left"/>
    </xf>
    <xf numFmtId="0" fontId="25" fillId="0" borderId="0" xfId="0" applyFont="1" applyAlignment="1">
      <alignment horizontal="left" indent="1"/>
    </xf>
    <xf numFmtId="0" fontId="49" fillId="0" borderId="0" xfId="0" applyFont="1"/>
    <xf numFmtId="0" fontId="49" fillId="0" borderId="0" xfId="0" applyFont="1" applyAlignment="1">
      <alignment horizontal="left"/>
    </xf>
    <xf numFmtId="0" fontId="0" fillId="0" borderId="0" xfId="0" applyAlignment="1">
      <alignment horizontal="left"/>
    </xf>
    <xf numFmtId="167" fontId="24" fillId="0" borderId="0" xfId="0" applyNumberFormat="1" applyFont="1"/>
    <xf numFmtId="168" fontId="0" fillId="0" borderId="0" xfId="0" applyNumberFormat="1"/>
    <xf numFmtId="10" fontId="41" fillId="34" borderId="0" xfId="0" applyNumberFormat="1" applyFont="1" applyFill="1" applyAlignment="1">
      <alignment horizontal="center"/>
    </xf>
    <xf numFmtId="172" fontId="24" fillId="34" borderId="0" xfId="0" quotePrefix="1" applyNumberFormat="1" applyFont="1" applyFill="1" applyAlignment="1">
      <alignment horizontal="center"/>
    </xf>
    <xf numFmtId="10" fontId="24" fillId="0" borderId="0" xfId="0" quotePrefix="1" applyNumberFormat="1" applyFont="1" applyAlignment="1">
      <alignment horizontal="right"/>
    </xf>
    <xf numFmtId="10" fontId="0" fillId="0" borderId="0" xfId="0" applyNumberFormat="1"/>
    <xf numFmtId="0" fontId="41" fillId="34" borderId="0" xfId="0" applyFont="1" applyFill="1"/>
    <xf numFmtId="167" fontId="0" fillId="0" borderId="0" xfId="0" applyNumberFormat="1" applyAlignment="1">
      <alignment horizontal="center"/>
    </xf>
    <xf numFmtId="167" fontId="49" fillId="0" borderId="0" xfId="0" applyNumberFormat="1" applyFont="1" applyAlignment="1">
      <alignment horizontal="center"/>
    </xf>
    <xf numFmtId="167" fontId="24" fillId="0" borderId="0" xfId="0" applyNumberFormat="1" applyFont="1" applyAlignment="1">
      <alignment horizontal="center"/>
    </xf>
    <xf numFmtId="3" fontId="0" fillId="0" borderId="0" xfId="0" applyNumberFormat="1" applyAlignment="1">
      <alignment horizontal="center"/>
    </xf>
    <xf numFmtId="170" fontId="0" fillId="0" borderId="0" xfId="0" applyNumberFormat="1"/>
    <xf numFmtId="170" fontId="24" fillId="0" borderId="0" xfId="0" applyNumberFormat="1" applyFont="1" applyAlignment="1">
      <alignment horizontal="left" indent="1"/>
    </xf>
    <xf numFmtId="167" fontId="50" fillId="0" borderId="0" xfId="0" applyNumberFormat="1" applyFont="1"/>
    <xf numFmtId="167" fontId="51" fillId="0" borderId="0" xfId="0" applyNumberFormat="1" applyFont="1"/>
    <xf numFmtId="164" fontId="66" fillId="0" borderId="0" xfId="0" quotePrefix="1" applyNumberFormat="1" applyFont="1" applyAlignment="1">
      <alignment horizontal="right" wrapText="1"/>
    </xf>
    <xf numFmtId="0" fontId="1" fillId="0" borderId="0" xfId="225" applyFont="1" applyFill="1" applyAlignment="1">
      <alignment horizontal="left"/>
    </xf>
    <xf numFmtId="0" fontId="2" fillId="0" borderId="0" xfId="225" applyFont="1" applyFill="1" applyAlignment="1">
      <alignment horizontal="left"/>
    </xf>
    <xf numFmtId="0" fontId="44" fillId="0" borderId="9" xfId="209" applyFont="1" applyFill="1" applyBorder="1" applyAlignment="1">
      <alignment horizontal="left" vertical="top" wrapText="1"/>
    </xf>
    <xf numFmtId="0" fontId="44" fillId="0" borderId="10" xfId="209" applyFont="1" applyFill="1" applyBorder="1" applyAlignment="1">
      <alignment horizontal="left" vertical="top" wrapText="1"/>
    </xf>
    <xf numFmtId="0" fontId="44" fillId="0" borderId="0" xfId="209" applyFont="1" applyFill="1" applyBorder="1" applyAlignment="1">
      <alignment horizontal="left" vertical="top" wrapText="1"/>
    </xf>
    <xf numFmtId="0" fontId="45" fillId="0" borderId="0" xfId="209" applyFont="1" applyFill="1" applyBorder="1" applyAlignment="1">
      <alignment horizontal="left" vertical="top" wrapText="1"/>
    </xf>
    <xf numFmtId="0" fontId="44" fillId="0" borderId="0" xfId="209" applyFont="1" applyFill="1" applyBorder="1" applyAlignment="1">
      <alignment horizontal="center" vertical="top" wrapText="1"/>
    </xf>
    <xf numFmtId="0" fontId="45" fillId="0" borderId="0" xfId="209" applyFont="1" applyFill="1" applyBorder="1" applyAlignment="1">
      <alignment horizontal="center" vertical="top" wrapText="1"/>
    </xf>
    <xf numFmtId="0" fontId="40" fillId="37" borderId="9" xfId="157" applyFont="1" applyFill="1" applyBorder="1" applyAlignment="1">
      <alignment horizontal="center"/>
    </xf>
    <xf numFmtId="0" fontId="40" fillId="37" borderId="10" xfId="157" applyFont="1" applyFill="1" applyBorder="1" applyAlignment="1">
      <alignment horizontal="center"/>
    </xf>
    <xf numFmtId="0" fontId="40" fillId="37" borderId="11" xfId="157" applyFont="1" applyFill="1" applyBorder="1" applyAlignment="1">
      <alignment horizontal="center"/>
    </xf>
    <xf numFmtId="0" fontId="40" fillId="37" borderId="6" xfId="157" applyFont="1" applyFill="1" applyBorder="1" applyAlignment="1">
      <alignment horizontal="center" vertical="center"/>
    </xf>
    <xf numFmtId="0" fontId="40" fillId="37" borderId="0" xfId="157" applyFont="1" applyFill="1" applyBorder="1" applyAlignment="1">
      <alignment horizontal="center" vertical="center"/>
    </xf>
    <xf numFmtId="0" fontId="40" fillId="37" borderId="4" xfId="157" applyFont="1" applyFill="1" applyBorder="1" applyAlignment="1">
      <alignment horizontal="center" vertical="center"/>
    </xf>
    <xf numFmtId="0" fontId="40" fillId="37" borderId="5" xfId="157" applyFont="1" applyFill="1" applyBorder="1" applyAlignment="1">
      <alignment horizontal="center" vertical="center"/>
    </xf>
    <xf numFmtId="0" fontId="48" fillId="39" borderId="3" xfId="225" applyFont="1" applyFill="1" applyBorder="1" applyAlignment="1">
      <alignment horizontal="center" vertical="center" wrapText="1"/>
    </xf>
    <xf numFmtId="0" fontId="40" fillId="39" borderId="3" xfId="225" quotePrefix="1" applyFont="1" applyFill="1" applyBorder="1" applyAlignment="1">
      <alignment horizontal="center"/>
    </xf>
    <xf numFmtId="0" fontId="2" fillId="0" borderId="18" xfId="225" applyFont="1" applyBorder="1" applyAlignment="1">
      <alignment horizontal="center" wrapText="1"/>
    </xf>
    <xf numFmtId="0" fontId="6" fillId="0" borderId="19" xfId="225" applyFont="1" applyBorder="1" applyAlignment="1">
      <alignment horizontal="center" wrapText="1"/>
    </xf>
    <xf numFmtId="0" fontId="6" fillId="0" borderId="20" xfId="225" applyFont="1" applyBorder="1" applyAlignment="1">
      <alignment horizontal="center" wrapText="1"/>
    </xf>
    <xf numFmtId="0" fontId="56" fillId="0" borderId="18" xfId="225" applyFont="1" applyBorder="1" applyAlignment="1">
      <alignment horizontal="center" wrapText="1"/>
    </xf>
    <xf numFmtId="0" fontId="56" fillId="0" borderId="3" xfId="225" applyFont="1" applyFill="1" applyBorder="1" applyAlignment="1">
      <alignment wrapText="1"/>
    </xf>
    <xf numFmtId="0" fontId="1" fillId="0" borderId="0" xfId="225" applyFont="1" applyAlignment="1">
      <alignment horizontal="left" vertical="top" wrapText="1"/>
    </xf>
    <xf numFmtId="0" fontId="4" fillId="0" borderId="0" xfId="225" applyFont="1" applyAlignment="1">
      <alignment horizontal="left" vertical="top" wrapText="1"/>
    </xf>
    <xf numFmtId="0" fontId="2" fillId="0" borderId="0" xfId="225" applyFont="1" applyAlignment="1">
      <alignment horizontal="left" wrapText="1"/>
    </xf>
    <xf numFmtId="0" fontId="6" fillId="0" borderId="0" xfId="225" applyFont="1" applyAlignment="1">
      <alignment horizontal="left" wrapText="1"/>
    </xf>
    <xf numFmtId="0" fontId="40" fillId="39" borderId="3" xfId="225" applyFont="1" applyFill="1" applyBorder="1" applyAlignment="1">
      <alignment horizontal="center"/>
    </xf>
    <xf numFmtId="0" fontId="40" fillId="39" borderId="18" xfId="225" applyFont="1" applyFill="1" applyBorder="1" applyAlignment="1">
      <alignment horizontal="right"/>
    </xf>
    <xf numFmtId="0" fontId="40" fillId="39" borderId="19" xfId="225" applyFont="1" applyFill="1" applyBorder="1" applyAlignment="1">
      <alignment horizontal="right"/>
    </xf>
    <xf numFmtId="0" fontId="40" fillId="39" borderId="20" xfId="225" applyFont="1" applyFill="1" applyBorder="1" applyAlignment="1">
      <alignment horizontal="right"/>
    </xf>
    <xf numFmtId="0" fontId="62" fillId="39" borderId="18" xfId="225" applyFont="1" applyFill="1" applyBorder="1" applyAlignment="1">
      <alignment horizontal="center" wrapText="1"/>
    </xf>
    <xf numFmtId="0" fontId="62" fillId="39" borderId="19" xfId="225" applyFont="1" applyFill="1" applyBorder="1" applyAlignment="1">
      <alignment horizontal="center" wrapText="1"/>
    </xf>
    <xf numFmtId="0" fontId="62" fillId="39" borderId="20" xfId="225" applyFont="1" applyFill="1" applyBorder="1" applyAlignment="1">
      <alignment horizontal="center" wrapText="1"/>
    </xf>
    <xf numFmtId="0" fontId="56" fillId="0" borderId="3" xfId="0" applyFont="1" applyBorder="1" applyAlignment="1">
      <alignment horizontal="center" wrapText="1"/>
    </xf>
    <xf numFmtId="0" fontId="40" fillId="38" borderId="3" xfId="225" applyFont="1" applyFill="1" applyBorder="1" applyAlignment="1">
      <alignment horizontal="right"/>
    </xf>
    <xf numFmtId="0" fontId="62" fillId="38" borderId="18" xfId="225" applyFont="1" applyFill="1" applyBorder="1" applyAlignment="1">
      <alignment horizontal="center" wrapText="1"/>
    </xf>
    <xf numFmtId="0" fontId="62" fillId="38" borderId="19" xfId="225" applyFont="1" applyFill="1" applyBorder="1" applyAlignment="1">
      <alignment horizontal="center" wrapText="1"/>
    </xf>
    <xf numFmtId="0" fontId="62" fillId="38" borderId="20" xfId="225" applyFont="1" applyFill="1" applyBorder="1" applyAlignment="1">
      <alignment horizontal="center" wrapText="1"/>
    </xf>
    <xf numFmtId="0" fontId="6" fillId="39" borderId="3" xfId="225" applyFont="1" applyFill="1" applyBorder="1" applyAlignment="1">
      <alignment horizontal="left"/>
    </xf>
    <xf numFmtId="0" fontId="50" fillId="0" borderId="25" xfId="118" applyFont="1" applyBorder="1" applyAlignment="1">
      <alignment horizontal="left" vertical="top" wrapText="1"/>
    </xf>
    <xf numFmtId="0" fontId="50" fillId="0" borderId="0" xfId="118" applyFont="1" applyAlignment="1">
      <alignment horizontal="left" vertical="top" wrapText="1"/>
    </xf>
    <xf numFmtId="0" fontId="24" fillId="37" borderId="0" xfId="118" applyFill="1" applyAlignment="1">
      <alignment horizontal="left" wrapText="1"/>
    </xf>
    <xf numFmtId="0" fontId="49" fillId="0" borderId="0" xfId="118" applyFont="1" applyAlignment="1">
      <alignment horizontal="left" wrapText="1"/>
    </xf>
    <xf numFmtId="0" fontId="49" fillId="0" borderId="0" xfId="0" applyFont="1" applyAlignment="1">
      <alignment horizontal="left" wrapText="1"/>
    </xf>
    <xf numFmtId="0" fontId="24" fillId="0" borderId="0" xfId="118" applyAlignment="1">
      <alignment horizontal="left" wrapText="1"/>
    </xf>
    <xf numFmtId="0" fontId="24" fillId="0" borderId="0" xfId="118" applyAlignment="1">
      <alignment horizontal="left" vertical="top" wrapText="1"/>
    </xf>
    <xf numFmtId="0" fontId="1" fillId="0" borderId="0" xfId="225" applyFont="1" applyAlignment="1">
      <alignment horizontal="left" wrapText="1"/>
    </xf>
    <xf numFmtId="0" fontId="48" fillId="37" borderId="3" xfId="225" applyFont="1" applyFill="1" applyBorder="1" applyAlignment="1">
      <alignment horizontal="center" vertical="center" wrapText="1"/>
    </xf>
    <xf numFmtId="0" fontId="40" fillId="37" borderId="3" xfId="225" quotePrefix="1" applyFont="1" applyFill="1" applyBorder="1" applyAlignment="1">
      <alignment horizontal="center"/>
    </xf>
    <xf numFmtId="0" fontId="40" fillId="37" borderId="3" xfId="225" applyFont="1" applyFill="1" applyBorder="1" applyAlignment="1">
      <alignment horizontal="center"/>
    </xf>
    <xf numFmtId="0" fontId="2" fillId="0" borderId="18" xfId="225" applyFont="1" applyFill="1" applyBorder="1" applyAlignment="1">
      <alignment horizontal="left" wrapText="1"/>
    </xf>
    <xf numFmtId="0" fontId="2" fillId="0" borderId="19" xfId="225" applyFont="1" applyFill="1" applyBorder="1" applyAlignment="1">
      <alignment horizontal="left" wrapText="1"/>
    </xf>
    <xf numFmtId="0" fontId="2" fillId="0" borderId="20" xfId="225" applyFont="1" applyFill="1" applyBorder="1" applyAlignment="1">
      <alignment horizontal="left" wrapText="1"/>
    </xf>
    <xf numFmtId="0" fontId="40" fillId="0" borderId="21" xfId="225" applyFont="1" applyFill="1" applyBorder="1" applyAlignment="1">
      <alignment horizontal="right"/>
    </xf>
    <xf numFmtId="0" fontId="40" fillId="0" borderId="22" xfId="225" applyFont="1" applyFill="1" applyBorder="1" applyAlignment="1">
      <alignment horizontal="right"/>
    </xf>
    <xf numFmtId="0" fontId="8" fillId="0" borderId="3" xfId="225" applyFont="1" applyFill="1" applyBorder="1" applyAlignment="1">
      <alignment horizontal="left"/>
    </xf>
    <xf numFmtId="0" fontId="8" fillId="0" borderId="19" xfId="225" applyFont="1" applyFill="1" applyBorder="1" applyAlignment="1">
      <alignment horizontal="left" wrapText="1"/>
    </xf>
    <xf numFmtId="0" fontId="8" fillId="0" borderId="20" xfId="225" applyFont="1" applyFill="1" applyBorder="1" applyAlignment="1">
      <alignment horizontal="left" wrapText="1"/>
    </xf>
    <xf numFmtId="0" fontId="5" fillId="0" borderId="3" xfId="225" applyFont="1" applyFill="1" applyBorder="1" applyAlignment="1">
      <alignment wrapText="1"/>
    </xf>
    <xf numFmtId="0" fontId="8" fillId="0" borderId="3" xfId="225" applyFont="1" applyFill="1" applyBorder="1" applyAlignment="1">
      <alignment wrapText="1"/>
    </xf>
    <xf numFmtId="0" fontId="24" fillId="0" borderId="0" xfId="0" applyFont="1" applyAlignment="1">
      <alignment vertical="top" wrapText="1"/>
    </xf>
    <xf numFmtId="0" fontId="0" fillId="0" borderId="0" xfId="0" applyAlignment="1">
      <alignment vertical="top" wrapText="1"/>
    </xf>
    <xf numFmtId="0" fontId="0" fillId="0" borderId="0" xfId="0" applyAlignment="1">
      <alignment wrapText="1"/>
    </xf>
    <xf numFmtId="0" fontId="0" fillId="0" borderId="0" xfId="0"/>
    <xf numFmtId="0" fontId="24" fillId="0" borderId="18" xfId="0" applyFont="1" applyBorder="1" applyAlignment="1">
      <alignment horizontal="left"/>
    </xf>
    <xf numFmtId="0" fontId="24" fillId="0" borderId="20" xfId="0" applyFont="1" applyBorder="1" applyAlignment="1">
      <alignment horizontal="left"/>
    </xf>
    <xf numFmtId="0" fontId="25" fillId="0" borderId="18" xfId="0" applyFont="1" applyBorder="1"/>
    <xf numFmtId="0" fontId="0" fillId="0" borderId="19" xfId="0" applyBorder="1"/>
    <xf numFmtId="0" fontId="0" fillId="0" borderId="20" xfId="0" applyBorder="1"/>
    <xf numFmtId="0" fontId="25" fillId="0" borderId="3" xfId="0" applyFont="1" applyBorder="1" applyAlignment="1">
      <alignment wrapText="1"/>
    </xf>
    <xf numFmtId="0" fontId="0" fillId="0" borderId="3" xfId="0" applyBorder="1" applyAlignment="1">
      <alignment wrapText="1"/>
    </xf>
    <xf numFmtId="0" fontId="24" fillId="0" borderId="0" xfId="0" applyFont="1" applyAlignment="1">
      <alignment wrapText="1"/>
    </xf>
    <xf numFmtId="0" fontId="25" fillId="0" borderId="18" xfId="0" applyFont="1" applyBorder="1" applyAlignment="1">
      <alignment wrapText="1"/>
    </xf>
    <xf numFmtId="0" fontId="0" fillId="0" borderId="19" xfId="0" applyBorder="1" applyAlignment="1">
      <alignment wrapText="1"/>
    </xf>
    <xf numFmtId="0" fontId="0" fillId="0" borderId="20" xfId="0" applyBorder="1" applyAlignment="1">
      <alignment wrapText="1"/>
    </xf>
    <xf numFmtId="0" fontId="25" fillId="0" borderId="22" xfId="0" applyFont="1" applyBorder="1" applyAlignment="1">
      <alignment wrapText="1"/>
    </xf>
    <xf numFmtId="0" fontId="0" fillId="0" borderId="33" xfId="0" applyBorder="1" applyAlignment="1">
      <alignment wrapText="1"/>
    </xf>
    <xf numFmtId="0" fontId="0" fillId="0" borderId="29" xfId="0" applyBorder="1" applyAlignment="1">
      <alignment wrapText="1"/>
    </xf>
    <xf numFmtId="39" fontId="24" fillId="0" borderId="18" xfId="90" applyNumberFormat="1" applyFont="1" applyBorder="1" applyAlignment="1">
      <alignment horizontal="center"/>
    </xf>
  </cellXfs>
  <cellStyles count="233">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6 3 3 2" xfId="228" xr:uid="{F6ACF71D-C97A-435E-B10F-790206711C9C}"/>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Currency 5" xfId="232" xr:uid="{E713A125-0837-4DF2-BBB0-AF2FD681BFD4}"/>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7 3 3 4" xfId="227" xr:uid="{2F65AD12-CED2-4BC5-9653-4B9E983446BE}"/>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2 8" xfId="231" xr:uid="{28FEAA29-6C6D-4AB8-88AB-75231A58310E}"/>
    <cellStyle name="Normal 20" xfId="230" xr:uid="{3C1D16CE-1931-4CC4-88AE-76085458B2D5}"/>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xfId="229" builtinId="5"/>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15">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99CCFF"/>
      <color rgb="FFCCFFCC"/>
      <color rgb="FF99FFCC"/>
      <color rgb="FFCCECFF"/>
      <color rgb="FFFFCCCC"/>
      <color rgb="FFCCFFFF"/>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disonintl.sharepoint.com/teams/rcms365/InProgress%20Data%20Request%20Library/FERC-Audit-03%20-%202062%20Accounting/Claims%20Settlements%20-%20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row r="2">
          <cell r="A2">
            <v>101010</v>
          </cell>
        </row>
      </sheetData>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1">
          <cell r="D1" t="str">
            <v>MTM Calculation of Calpine Renewable QF Contract</v>
          </cell>
        </row>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5">
          <cell r="B5">
            <v>38028</v>
          </cell>
        </row>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 Data"/>
      <sheetName val="Data"/>
      <sheetName val="Claims - 2017 (JE)"/>
    </sheetNames>
    <sheetDataSet>
      <sheetData sheetId="0">
        <row r="2">
          <cell r="U2">
            <v>125</v>
          </cell>
        </row>
        <row r="3">
          <cell r="U3">
            <v>100</v>
          </cell>
        </row>
        <row r="4">
          <cell r="U4">
            <v>590</v>
          </cell>
        </row>
        <row r="5">
          <cell r="U5">
            <v>175</v>
          </cell>
        </row>
        <row r="6">
          <cell r="U6">
            <v>85</v>
          </cell>
        </row>
        <row r="7">
          <cell r="U7">
            <v>645</v>
          </cell>
        </row>
        <row r="8">
          <cell r="U8">
            <v>1235</v>
          </cell>
        </row>
        <row r="9">
          <cell r="U9">
            <v>1020.05</v>
          </cell>
        </row>
        <row r="10">
          <cell r="U10">
            <v>360</v>
          </cell>
        </row>
        <row r="11">
          <cell r="U11">
            <v>320</v>
          </cell>
        </row>
        <row r="12">
          <cell r="U12">
            <v>100</v>
          </cell>
        </row>
        <row r="13">
          <cell r="U13">
            <v>339.99</v>
          </cell>
        </row>
        <row r="14">
          <cell r="U14">
            <v>384.39</v>
          </cell>
        </row>
        <row r="15">
          <cell r="U15">
            <v>35000</v>
          </cell>
        </row>
        <row r="16">
          <cell r="U16">
            <v>1819.57</v>
          </cell>
        </row>
        <row r="17">
          <cell r="U17">
            <v>1181.02</v>
          </cell>
        </row>
        <row r="18">
          <cell r="U18">
            <v>657.51</v>
          </cell>
        </row>
        <row r="19">
          <cell r="U19">
            <v>70</v>
          </cell>
        </row>
        <row r="20">
          <cell r="U20">
            <v>67798.38</v>
          </cell>
        </row>
        <row r="21">
          <cell r="U21">
            <v>889.33</v>
          </cell>
        </row>
        <row r="22">
          <cell r="U22">
            <v>139</v>
          </cell>
        </row>
        <row r="23">
          <cell r="U23">
            <v>215</v>
          </cell>
        </row>
        <row r="24">
          <cell r="U24">
            <v>180</v>
          </cell>
        </row>
        <row r="25">
          <cell r="U25">
            <v>100</v>
          </cell>
        </row>
        <row r="26">
          <cell r="U26">
            <v>461</v>
          </cell>
        </row>
        <row r="27">
          <cell r="U27">
            <v>125</v>
          </cell>
        </row>
        <row r="28">
          <cell r="U28">
            <v>1570.5</v>
          </cell>
        </row>
        <row r="29">
          <cell r="U29">
            <v>1203.3499999999999</v>
          </cell>
        </row>
        <row r="30">
          <cell r="U30">
            <v>622</v>
          </cell>
        </row>
        <row r="31">
          <cell r="U31">
            <v>2773.6</v>
          </cell>
        </row>
        <row r="32">
          <cell r="U32">
            <v>303</v>
          </cell>
        </row>
        <row r="33">
          <cell r="U33">
            <v>5000</v>
          </cell>
        </row>
        <row r="34">
          <cell r="U34">
            <v>550</v>
          </cell>
        </row>
        <row r="35">
          <cell r="U35">
            <v>100</v>
          </cell>
        </row>
        <row r="36">
          <cell r="U36">
            <v>3796.62</v>
          </cell>
        </row>
        <row r="37">
          <cell r="U37">
            <v>953</v>
          </cell>
        </row>
        <row r="38">
          <cell r="U38">
            <v>1200.94</v>
          </cell>
        </row>
        <row r="39">
          <cell r="U39">
            <v>230</v>
          </cell>
        </row>
        <row r="40">
          <cell r="U40">
            <v>4952</v>
          </cell>
        </row>
        <row r="41">
          <cell r="U41">
            <v>2554.06</v>
          </cell>
        </row>
        <row r="42">
          <cell r="U42">
            <v>100</v>
          </cell>
        </row>
        <row r="43">
          <cell r="U43">
            <v>225</v>
          </cell>
        </row>
        <row r="44">
          <cell r="U44">
            <v>100</v>
          </cell>
        </row>
        <row r="45">
          <cell r="U45">
            <v>139</v>
          </cell>
        </row>
        <row r="46">
          <cell r="U46">
            <v>225</v>
          </cell>
        </row>
        <row r="47">
          <cell r="U47">
            <v>794.45</v>
          </cell>
        </row>
        <row r="48">
          <cell r="U48">
            <v>1100</v>
          </cell>
        </row>
        <row r="49">
          <cell r="U49">
            <v>325</v>
          </cell>
        </row>
        <row r="50">
          <cell r="U50">
            <v>499.55</v>
          </cell>
        </row>
        <row r="51">
          <cell r="U51">
            <v>1050</v>
          </cell>
        </row>
        <row r="52">
          <cell r="U52">
            <v>1022.92</v>
          </cell>
        </row>
        <row r="53">
          <cell r="U53">
            <v>450</v>
          </cell>
        </row>
        <row r="54">
          <cell r="U54">
            <v>106.25</v>
          </cell>
        </row>
        <row r="55">
          <cell r="U55">
            <v>649.99</v>
          </cell>
        </row>
        <row r="56">
          <cell r="U56">
            <v>474</v>
          </cell>
        </row>
        <row r="57">
          <cell r="U57">
            <v>280</v>
          </cell>
        </row>
        <row r="58">
          <cell r="U58">
            <v>1750</v>
          </cell>
        </row>
        <row r="59">
          <cell r="U59">
            <v>2300</v>
          </cell>
        </row>
        <row r="60">
          <cell r="U60">
            <v>17560.61</v>
          </cell>
        </row>
        <row r="61">
          <cell r="U61">
            <v>20.09</v>
          </cell>
        </row>
        <row r="62">
          <cell r="U62">
            <v>73.14</v>
          </cell>
        </row>
        <row r="63">
          <cell r="U63">
            <v>918</v>
          </cell>
        </row>
        <row r="64">
          <cell r="U64">
            <v>800</v>
          </cell>
        </row>
        <row r="65">
          <cell r="U65">
            <v>1012</v>
          </cell>
        </row>
        <row r="66">
          <cell r="U66">
            <v>3106.25</v>
          </cell>
        </row>
        <row r="67">
          <cell r="U67">
            <v>742.28</v>
          </cell>
        </row>
        <row r="68">
          <cell r="U68">
            <v>230</v>
          </cell>
        </row>
        <row r="69">
          <cell r="U69">
            <v>120</v>
          </cell>
        </row>
        <row r="70">
          <cell r="U70">
            <v>200</v>
          </cell>
        </row>
        <row r="71">
          <cell r="U71">
            <v>568.98</v>
          </cell>
        </row>
        <row r="72">
          <cell r="U72">
            <v>985.5</v>
          </cell>
        </row>
        <row r="73">
          <cell r="U73">
            <v>718.97</v>
          </cell>
        </row>
        <row r="74">
          <cell r="U74">
            <v>1004</v>
          </cell>
        </row>
        <row r="75">
          <cell r="U75">
            <v>455</v>
          </cell>
        </row>
        <row r="76">
          <cell r="U76">
            <v>100</v>
          </cell>
        </row>
        <row r="77">
          <cell r="U77">
            <v>70</v>
          </cell>
        </row>
        <row r="78">
          <cell r="U78">
            <v>1717.8</v>
          </cell>
        </row>
        <row r="79">
          <cell r="U79">
            <v>519</v>
          </cell>
        </row>
        <row r="80">
          <cell r="U80">
            <v>3924.2</v>
          </cell>
        </row>
        <row r="81">
          <cell r="U81">
            <v>787.54</v>
          </cell>
        </row>
        <row r="82">
          <cell r="U82">
            <v>2200</v>
          </cell>
        </row>
        <row r="83">
          <cell r="U83">
            <v>150</v>
          </cell>
        </row>
        <row r="84">
          <cell r="U84">
            <v>1567.02</v>
          </cell>
        </row>
        <row r="85">
          <cell r="U85">
            <v>29188.94</v>
          </cell>
        </row>
        <row r="86">
          <cell r="U86">
            <v>7500000</v>
          </cell>
        </row>
        <row r="87">
          <cell r="U87">
            <v>10000000</v>
          </cell>
        </row>
        <row r="88">
          <cell r="U88">
            <v>250</v>
          </cell>
        </row>
        <row r="89">
          <cell r="U89">
            <v>182.61</v>
          </cell>
        </row>
        <row r="90">
          <cell r="U90">
            <v>604</v>
          </cell>
        </row>
        <row r="91">
          <cell r="U91">
            <v>1000</v>
          </cell>
        </row>
        <row r="92">
          <cell r="U92">
            <v>87.18</v>
          </cell>
        </row>
        <row r="93">
          <cell r="U93">
            <v>707.96</v>
          </cell>
        </row>
        <row r="94">
          <cell r="U94">
            <v>1000</v>
          </cell>
        </row>
        <row r="95">
          <cell r="U95">
            <v>311.8</v>
          </cell>
        </row>
        <row r="96">
          <cell r="U96">
            <v>1082.26</v>
          </cell>
        </row>
        <row r="97">
          <cell r="U97">
            <v>836.75</v>
          </cell>
        </row>
        <row r="98">
          <cell r="U98">
            <v>200</v>
          </cell>
        </row>
        <row r="99">
          <cell r="U99">
            <v>125</v>
          </cell>
        </row>
        <row r="100">
          <cell r="U100">
            <v>1896.15</v>
          </cell>
        </row>
        <row r="101">
          <cell r="U101">
            <v>595</v>
          </cell>
        </row>
        <row r="102">
          <cell r="U102">
            <v>905.79</v>
          </cell>
        </row>
        <row r="103">
          <cell r="U103">
            <v>10000</v>
          </cell>
        </row>
        <row r="104">
          <cell r="U104">
            <v>822.72</v>
          </cell>
        </row>
        <row r="105">
          <cell r="U105">
            <v>9126.77</v>
          </cell>
        </row>
        <row r="106">
          <cell r="U106">
            <v>340</v>
          </cell>
        </row>
        <row r="107">
          <cell r="U107">
            <v>5000</v>
          </cell>
        </row>
        <row r="108">
          <cell r="U108">
            <v>380</v>
          </cell>
        </row>
        <row r="109">
          <cell r="U109">
            <v>896.96</v>
          </cell>
        </row>
        <row r="110">
          <cell r="U110">
            <v>3822</v>
          </cell>
        </row>
        <row r="111">
          <cell r="U111">
            <v>1414.9</v>
          </cell>
        </row>
        <row r="112">
          <cell r="U112">
            <v>750</v>
          </cell>
        </row>
        <row r="113">
          <cell r="U113">
            <v>455</v>
          </cell>
        </row>
        <row r="114">
          <cell r="U114">
            <v>343</v>
          </cell>
        </row>
        <row r="115">
          <cell r="U115">
            <v>306.99</v>
          </cell>
        </row>
        <row r="116">
          <cell r="U116">
            <v>192.9</v>
          </cell>
        </row>
        <row r="117">
          <cell r="U117">
            <v>107.12</v>
          </cell>
        </row>
        <row r="118">
          <cell r="U118">
            <v>7293.56</v>
          </cell>
        </row>
        <row r="119">
          <cell r="U119">
            <v>569</v>
          </cell>
        </row>
        <row r="120">
          <cell r="U120">
            <v>946.2</v>
          </cell>
        </row>
        <row r="121">
          <cell r="U121">
            <v>195.7</v>
          </cell>
        </row>
        <row r="122">
          <cell r="U122">
            <v>2178</v>
          </cell>
        </row>
        <row r="123">
          <cell r="U123">
            <v>2276.1999999999998</v>
          </cell>
        </row>
        <row r="124">
          <cell r="U124">
            <v>5600</v>
          </cell>
        </row>
        <row r="125">
          <cell r="U125">
            <v>514.80999999999995</v>
          </cell>
        </row>
        <row r="126">
          <cell r="U126">
            <v>1200</v>
          </cell>
        </row>
        <row r="127">
          <cell r="U127">
            <v>902.5</v>
          </cell>
        </row>
        <row r="128">
          <cell r="U128">
            <v>407.6</v>
          </cell>
        </row>
        <row r="129">
          <cell r="U129">
            <v>1335</v>
          </cell>
        </row>
        <row r="130">
          <cell r="U130">
            <v>2294.62</v>
          </cell>
        </row>
        <row r="131">
          <cell r="U131">
            <v>700</v>
          </cell>
        </row>
        <row r="132">
          <cell r="U132">
            <v>436.88</v>
          </cell>
        </row>
        <row r="133">
          <cell r="U133">
            <v>68</v>
          </cell>
        </row>
        <row r="134">
          <cell r="U134">
            <v>667</v>
          </cell>
        </row>
        <row r="135">
          <cell r="U135">
            <v>15063.1</v>
          </cell>
        </row>
        <row r="136">
          <cell r="U136">
            <v>54.34</v>
          </cell>
        </row>
        <row r="137">
          <cell r="U137">
            <v>567.41999999999996</v>
          </cell>
        </row>
        <row r="138">
          <cell r="U138">
            <v>1500</v>
          </cell>
        </row>
        <row r="139">
          <cell r="U139">
            <v>703</v>
          </cell>
        </row>
        <row r="140">
          <cell r="U140">
            <v>2200</v>
          </cell>
        </row>
        <row r="141">
          <cell r="U141">
            <v>1100</v>
          </cell>
        </row>
        <row r="142">
          <cell r="U142">
            <v>1051.68</v>
          </cell>
        </row>
        <row r="143">
          <cell r="U143">
            <v>30</v>
          </cell>
        </row>
        <row r="144">
          <cell r="U144">
            <v>55</v>
          </cell>
        </row>
        <row r="145">
          <cell r="U145">
            <v>80000</v>
          </cell>
        </row>
        <row r="146">
          <cell r="U146">
            <v>10000</v>
          </cell>
        </row>
        <row r="147">
          <cell r="U147">
            <v>293.25</v>
          </cell>
        </row>
        <row r="148">
          <cell r="U148">
            <v>727.38</v>
          </cell>
        </row>
        <row r="149">
          <cell r="U149">
            <v>463</v>
          </cell>
        </row>
        <row r="150">
          <cell r="U150">
            <v>2596</v>
          </cell>
        </row>
        <row r="151">
          <cell r="U151">
            <v>204.59</v>
          </cell>
        </row>
        <row r="152">
          <cell r="U152">
            <v>940.11</v>
          </cell>
        </row>
        <row r="153">
          <cell r="U153">
            <v>369.79</v>
          </cell>
        </row>
        <row r="154">
          <cell r="U154">
            <v>1459</v>
          </cell>
        </row>
        <row r="155">
          <cell r="U155">
            <v>800</v>
          </cell>
        </row>
        <row r="156">
          <cell r="U156">
            <v>1125</v>
          </cell>
        </row>
        <row r="157">
          <cell r="U157">
            <v>4834.9399999999996</v>
          </cell>
        </row>
        <row r="158">
          <cell r="U158">
            <v>3441.24</v>
          </cell>
        </row>
        <row r="159">
          <cell r="U159">
            <v>24773.95</v>
          </cell>
        </row>
        <row r="160">
          <cell r="U160">
            <v>44.33</v>
          </cell>
        </row>
        <row r="161">
          <cell r="U161">
            <v>1454.8</v>
          </cell>
        </row>
        <row r="162">
          <cell r="U162">
            <v>410</v>
          </cell>
        </row>
        <row r="163">
          <cell r="U163">
            <v>1600</v>
          </cell>
        </row>
        <row r="164">
          <cell r="U164">
            <v>270.99</v>
          </cell>
        </row>
        <row r="165">
          <cell r="U165">
            <v>430</v>
          </cell>
        </row>
        <row r="166">
          <cell r="U166">
            <v>300</v>
          </cell>
        </row>
        <row r="167">
          <cell r="U167">
            <v>472.64</v>
          </cell>
        </row>
        <row r="168">
          <cell r="U168">
            <v>100</v>
          </cell>
        </row>
        <row r="169">
          <cell r="U169">
            <v>16500</v>
          </cell>
        </row>
        <row r="170">
          <cell r="U170">
            <v>1125</v>
          </cell>
        </row>
        <row r="171">
          <cell r="U171">
            <v>940</v>
          </cell>
        </row>
        <row r="172">
          <cell r="U172">
            <v>450</v>
          </cell>
        </row>
        <row r="173">
          <cell r="U173">
            <v>2590.15</v>
          </cell>
        </row>
        <row r="174">
          <cell r="U174">
            <v>1029.8499999999999</v>
          </cell>
        </row>
        <row r="175">
          <cell r="U175">
            <v>2783.52</v>
          </cell>
        </row>
        <row r="176">
          <cell r="U176">
            <v>2396.85</v>
          </cell>
        </row>
        <row r="177">
          <cell r="U177">
            <v>22500</v>
          </cell>
        </row>
        <row r="178">
          <cell r="U178">
            <v>615</v>
          </cell>
        </row>
        <row r="179">
          <cell r="U179">
            <v>3787.5</v>
          </cell>
        </row>
        <row r="180">
          <cell r="U180">
            <v>880</v>
          </cell>
        </row>
        <row r="181">
          <cell r="U181">
            <v>838.85</v>
          </cell>
        </row>
        <row r="182">
          <cell r="U182">
            <v>185</v>
          </cell>
        </row>
        <row r="183">
          <cell r="U183">
            <v>1550</v>
          </cell>
        </row>
        <row r="184">
          <cell r="U184">
            <v>205</v>
          </cell>
        </row>
        <row r="185">
          <cell r="U185">
            <v>3484.77</v>
          </cell>
        </row>
        <row r="186">
          <cell r="U186">
            <v>333.33</v>
          </cell>
        </row>
        <row r="187">
          <cell r="U187">
            <v>1139.9100000000001</v>
          </cell>
        </row>
        <row r="188">
          <cell r="U188">
            <v>20</v>
          </cell>
        </row>
        <row r="189">
          <cell r="U189">
            <v>300</v>
          </cell>
        </row>
        <row r="190">
          <cell r="U190">
            <v>525</v>
          </cell>
        </row>
        <row r="191">
          <cell r="U191">
            <v>745.66</v>
          </cell>
        </row>
        <row r="192">
          <cell r="U192">
            <v>350</v>
          </cell>
        </row>
        <row r="193">
          <cell r="U193">
            <v>423</v>
          </cell>
        </row>
        <row r="194">
          <cell r="U194">
            <v>3628.4</v>
          </cell>
        </row>
        <row r="195">
          <cell r="U195">
            <v>660</v>
          </cell>
        </row>
        <row r="196">
          <cell r="U196">
            <v>9488.83</v>
          </cell>
        </row>
        <row r="197">
          <cell r="U197">
            <v>552</v>
          </cell>
        </row>
        <row r="198">
          <cell r="U198">
            <v>4153</v>
          </cell>
        </row>
        <row r="199">
          <cell r="U199">
            <v>2080.17</v>
          </cell>
        </row>
        <row r="200">
          <cell r="U200">
            <v>1252.5</v>
          </cell>
        </row>
        <row r="201">
          <cell r="U201">
            <v>1282.07</v>
          </cell>
        </row>
        <row r="202">
          <cell r="U202">
            <v>175</v>
          </cell>
        </row>
        <row r="203">
          <cell r="U203">
            <v>2000.61</v>
          </cell>
        </row>
        <row r="204">
          <cell r="U204">
            <v>8000</v>
          </cell>
        </row>
        <row r="205">
          <cell r="U205">
            <v>175</v>
          </cell>
        </row>
        <row r="206">
          <cell r="U206">
            <v>500</v>
          </cell>
        </row>
        <row r="207">
          <cell r="U207">
            <v>1000</v>
          </cell>
        </row>
        <row r="208">
          <cell r="U208">
            <v>245.38</v>
          </cell>
        </row>
        <row r="209">
          <cell r="U209">
            <v>3050</v>
          </cell>
        </row>
        <row r="210">
          <cell r="U210">
            <v>250</v>
          </cell>
        </row>
        <row r="211">
          <cell r="U211">
            <v>135</v>
          </cell>
        </row>
        <row r="212">
          <cell r="U212">
            <v>300</v>
          </cell>
        </row>
        <row r="213">
          <cell r="U213">
            <v>600</v>
          </cell>
        </row>
        <row r="214">
          <cell r="U214">
            <v>6000</v>
          </cell>
        </row>
        <row r="215">
          <cell r="U215">
            <v>200</v>
          </cell>
        </row>
        <row r="216">
          <cell r="U216">
            <v>550</v>
          </cell>
        </row>
        <row r="217">
          <cell r="U217">
            <v>158</v>
          </cell>
        </row>
        <row r="218">
          <cell r="U218">
            <v>935.29</v>
          </cell>
        </row>
        <row r="219">
          <cell r="U219">
            <v>336</v>
          </cell>
        </row>
        <row r="220">
          <cell r="U220">
            <v>241.56</v>
          </cell>
        </row>
        <row r="221">
          <cell r="U221">
            <v>555</v>
          </cell>
        </row>
        <row r="222">
          <cell r="U222">
            <v>971.42</v>
          </cell>
        </row>
        <row r="223">
          <cell r="U223">
            <v>1881.32</v>
          </cell>
        </row>
        <row r="224">
          <cell r="U224">
            <v>608.95000000000005</v>
          </cell>
        </row>
        <row r="225">
          <cell r="U225">
            <v>1760</v>
          </cell>
        </row>
        <row r="226">
          <cell r="U226">
            <v>231</v>
          </cell>
        </row>
        <row r="227">
          <cell r="U227">
            <v>1784</v>
          </cell>
        </row>
        <row r="228">
          <cell r="U228">
            <v>119</v>
          </cell>
        </row>
        <row r="229">
          <cell r="U229">
            <v>2174.94</v>
          </cell>
        </row>
        <row r="230">
          <cell r="U230">
            <v>995.96</v>
          </cell>
        </row>
        <row r="231">
          <cell r="U231">
            <v>415</v>
          </cell>
        </row>
        <row r="232">
          <cell r="U232">
            <v>612.03</v>
          </cell>
        </row>
        <row r="233">
          <cell r="U233">
            <v>730</v>
          </cell>
        </row>
        <row r="234">
          <cell r="U234">
            <v>889.33</v>
          </cell>
        </row>
        <row r="235">
          <cell r="U235">
            <v>450</v>
          </cell>
        </row>
        <row r="236">
          <cell r="U236">
            <v>50</v>
          </cell>
        </row>
        <row r="237">
          <cell r="U237">
            <v>4930</v>
          </cell>
        </row>
        <row r="238">
          <cell r="U238">
            <v>1269.69</v>
          </cell>
        </row>
        <row r="239">
          <cell r="U239">
            <v>732.88</v>
          </cell>
        </row>
        <row r="240">
          <cell r="U240">
            <v>260</v>
          </cell>
        </row>
        <row r="241">
          <cell r="U241">
            <v>-15527684.380000001</v>
          </cell>
        </row>
        <row r="242">
          <cell r="U242">
            <v>5000</v>
          </cell>
        </row>
        <row r="243">
          <cell r="U243">
            <v>14300</v>
          </cell>
        </row>
        <row r="244">
          <cell r="U244">
            <v>448.26</v>
          </cell>
        </row>
        <row r="245">
          <cell r="U245">
            <v>750</v>
          </cell>
        </row>
        <row r="246">
          <cell r="U246">
            <v>-889.33</v>
          </cell>
        </row>
        <row r="247">
          <cell r="U247">
            <v>435</v>
          </cell>
        </row>
        <row r="248">
          <cell r="U248">
            <v>695</v>
          </cell>
        </row>
        <row r="249">
          <cell r="U249">
            <v>294.7</v>
          </cell>
        </row>
        <row r="250">
          <cell r="U250">
            <v>595</v>
          </cell>
        </row>
        <row r="251">
          <cell r="U251">
            <v>100</v>
          </cell>
        </row>
        <row r="252">
          <cell r="U252">
            <v>100</v>
          </cell>
        </row>
        <row r="253">
          <cell r="U253">
            <v>198</v>
          </cell>
        </row>
        <row r="254">
          <cell r="U254">
            <v>486.93</v>
          </cell>
        </row>
        <row r="255">
          <cell r="U255">
            <v>1200</v>
          </cell>
        </row>
        <row r="256">
          <cell r="U256">
            <v>225</v>
          </cell>
        </row>
        <row r="257">
          <cell r="U257">
            <v>1794.8</v>
          </cell>
        </row>
        <row r="258">
          <cell r="U258">
            <v>500</v>
          </cell>
        </row>
        <row r="259">
          <cell r="U259">
            <v>200</v>
          </cell>
        </row>
        <row r="260">
          <cell r="U260">
            <v>176</v>
          </cell>
        </row>
        <row r="261">
          <cell r="U261">
            <v>50</v>
          </cell>
        </row>
        <row r="262">
          <cell r="U262">
            <v>137</v>
          </cell>
        </row>
        <row r="263">
          <cell r="U263">
            <v>4200</v>
          </cell>
        </row>
        <row r="264">
          <cell r="U264">
            <v>781.24</v>
          </cell>
        </row>
        <row r="265">
          <cell r="U265">
            <v>100</v>
          </cell>
        </row>
        <row r="266">
          <cell r="U266">
            <v>734.95</v>
          </cell>
        </row>
        <row r="267">
          <cell r="U267">
            <v>491.85</v>
          </cell>
        </row>
        <row r="268">
          <cell r="U268">
            <v>398</v>
          </cell>
        </row>
        <row r="269">
          <cell r="U269">
            <v>1854.85</v>
          </cell>
        </row>
        <row r="270">
          <cell r="U270">
            <v>385.95</v>
          </cell>
        </row>
        <row r="271">
          <cell r="U271">
            <v>831.33</v>
          </cell>
        </row>
        <row r="272">
          <cell r="U272">
            <v>1741.79</v>
          </cell>
        </row>
        <row r="273">
          <cell r="U273">
            <v>599</v>
          </cell>
        </row>
        <row r="274">
          <cell r="U274">
            <v>239.58</v>
          </cell>
        </row>
        <row r="275">
          <cell r="U275">
            <v>100</v>
          </cell>
        </row>
        <row r="276">
          <cell r="U276">
            <v>320</v>
          </cell>
        </row>
        <row r="277">
          <cell r="U277">
            <v>350</v>
          </cell>
        </row>
        <row r="278">
          <cell r="U278">
            <v>2753.49</v>
          </cell>
        </row>
        <row r="279">
          <cell r="U279">
            <v>1200</v>
          </cell>
        </row>
        <row r="280">
          <cell r="U280">
            <v>1008.29</v>
          </cell>
        </row>
        <row r="281">
          <cell r="U281">
            <v>1431.99</v>
          </cell>
        </row>
        <row r="282">
          <cell r="U282">
            <v>865.17</v>
          </cell>
        </row>
        <row r="283">
          <cell r="U283">
            <v>967</v>
          </cell>
        </row>
        <row r="284">
          <cell r="U284">
            <v>570</v>
          </cell>
        </row>
        <row r="285">
          <cell r="U285">
            <v>730</v>
          </cell>
        </row>
        <row r="286">
          <cell r="U286">
            <v>260</v>
          </cell>
        </row>
        <row r="287">
          <cell r="U287">
            <v>327</v>
          </cell>
        </row>
        <row r="288">
          <cell r="U288">
            <v>284</v>
          </cell>
        </row>
        <row r="289">
          <cell r="U289">
            <v>2000</v>
          </cell>
        </row>
        <row r="290">
          <cell r="U290">
            <v>350.63</v>
          </cell>
        </row>
        <row r="291">
          <cell r="U291">
            <v>150</v>
          </cell>
        </row>
        <row r="292">
          <cell r="U292">
            <v>1113</v>
          </cell>
        </row>
        <row r="293">
          <cell r="U293">
            <v>2418.67</v>
          </cell>
        </row>
        <row r="294">
          <cell r="U294">
            <v>917.18</v>
          </cell>
        </row>
        <row r="295">
          <cell r="U295">
            <v>1500</v>
          </cell>
        </row>
        <row r="296">
          <cell r="U296">
            <v>555</v>
          </cell>
        </row>
        <row r="297">
          <cell r="U297">
            <v>3500</v>
          </cell>
        </row>
        <row r="298">
          <cell r="U298">
            <v>260.8</v>
          </cell>
        </row>
        <row r="299">
          <cell r="U299">
            <v>256.64</v>
          </cell>
        </row>
        <row r="300">
          <cell r="U300">
            <v>451.05</v>
          </cell>
        </row>
        <row r="301">
          <cell r="U301">
            <v>4270.18</v>
          </cell>
        </row>
        <row r="302">
          <cell r="U302">
            <v>100</v>
          </cell>
        </row>
        <row r="303">
          <cell r="U303">
            <v>1740</v>
          </cell>
        </row>
        <row r="304">
          <cell r="U304">
            <v>1052.6400000000001</v>
          </cell>
        </row>
        <row r="305">
          <cell r="U305">
            <v>1410.62</v>
          </cell>
        </row>
        <row r="306">
          <cell r="U306">
            <v>645</v>
          </cell>
        </row>
        <row r="307">
          <cell r="U307">
            <v>60</v>
          </cell>
        </row>
        <row r="308">
          <cell r="U308">
            <v>3994.11</v>
          </cell>
        </row>
        <row r="309">
          <cell r="U309">
            <v>-33137.18</v>
          </cell>
        </row>
        <row r="310">
          <cell r="U310">
            <v>-72070.38</v>
          </cell>
        </row>
        <row r="311">
          <cell r="U311">
            <v>-266692.43</v>
          </cell>
        </row>
        <row r="312">
          <cell r="U312">
            <v>-29404.45</v>
          </cell>
        </row>
        <row r="313">
          <cell r="U313">
            <v>-16910</v>
          </cell>
        </row>
        <row r="314">
          <cell r="U314">
            <v>-86574.03</v>
          </cell>
        </row>
        <row r="315">
          <cell r="U315">
            <v>-15741.16</v>
          </cell>
        </row>
        <row r="316">
          <cell r="U316">
            <v>-22123.77</v>
          </cell>
        </row>
        <row r="317">
          <cell r="U317">
            <v>-80000</v>
          </cell>
        </row>
        <row r="318">
          <cell r="U318">
            <v>-1973138.34</v>
          </cell>
        </row>
        <row r="319">
          <cell r="U319">
            <v>186</v>
          </cell>
        </row>
        <row r="320">
          <cell r="U320">
            <v>462</v>
          </cell>
        </row>
        <row r="321">
          <cell r="U321">
            <v>159</v>
          </cell>
        </row>
        <row r="322">
          <cell r="U322">
            <v>1065.96</v>
          </cell>
        </row>
        <row r="323">
          <cell r="U323">
            <v>3536.94</v>
          </cell>
        </row>
        <row r="324">
          <cell r="U324">
            <v>410.25</v>
          </cell>
        </row>
        <row r="325">
          <cell r="U325">
            <v>655.16</v>
          </cell>
        </row>
        <row r="326">
          <cell r="U326">
            <v>7884.77</v>
          </cell>
        </row>
        <row r="327">
          <cell r="U327">
            <v>745</v>
          </cell>
        </row>
        <row r="328">
          <cell r="U328">
            <v>750</v>
          </cell>
        </row>
        <row r="329">
          <cell r="U329">
            <v>5587</v>
          </cell>
        </row>
        <row r="330">
          <cell r="U330">
            <v>9780</v>
          </cell>
        </row>
        <row r="331">
          <cell r="U331">
            <v>1010.08</v>
          </cell>
        </row>
        <row r="332">
          <cell r="U332">
            <v>753.41</v>
          </cell>
        </row>
        <row r="333">
          <cell r="U333">
            <v>715</v>
          </cell>
        </row>
        <row r="334">
          <cell r="U334">
            <v>560</v>
          </cell>
        </row>
        <row r="335">
          <cell r="U335">
            <v>5806.48</v>
          </cell>
        </row>
        <row r="336">
          <cell r="U336">
            <v>3373.99</v>
          </cell>
        </row>
        <row r="337">
          <cell r="U337">
            <v>75</v>
          </cell>
        </row>
        <row r="338">
          <cell r="U338">
            <v>160</v>
          </cell>
        </row>
        <row r="339">
          <cell r="U339">
            <v>755</v>
          </cell>
        </row>
        <row r="340">
          <cell r="U340">
            <v>240</v>
          </cell>
        </row>
        <row r="341">
          <cell r="U341">
            <v>-112.15</v>
          </cell>
        </row>
        <row r="342">
          <cell r="U342">
            <v>-84.39</v>
          </cell>
        </row>
        <row r="343">
          <cell r="U343">
            <v>-37931.03</v>
          </cell>
        </row>
        <row r="344">
          <cell r="U344">
            <v>-14.66</v>
          </cell>
        </row>
        <row r="345">
          <cell r="U345">
            <v>-11.08</v>
          </cell>
        </row>
        <row r="346">
          <cell r="U346">
            <v>-86.08</v>
          </cell>
        </row>
        <row r="347">
          <cell r="U347">
            <v>-53.35</v>
          </cell>
        </row>
        <row r="348">
          <cell r="U348">
            <v>2318.38</v>
          </cell>
        </row>
        <row r="349">
          <cell r="U349">
            <v>300</v>
          </cell>
        </row>
        <row r="350">
          <cell r="U350">
            <v>224</v>
          </cell>
        </row>
        <row r="351">
          <cell r="U351">
            <v>1500</v>
          </cell>
        </row>
        <row r="352">
          <cell r="U352">
            <v>1477.46</v>
          </cell>
        </row>
        <row r="353">
          <cell r="U353">
            <v>150</v>
          </cell>
        </row>
        <row r="354">
          <cell r="U354">
            <v>35</v>
          </cell>
        </row>
        <row r="355">
          <cell r="U355">
            <v>1731.54</v>
          </cell>
        </row>
        <row r="356">
          <cell r="U356">
            <v>90</v>
          </cell>
        </row>
        <row r="357">
          <cell r="U357">
            <v>1320.09</v>
          </cell>
        </row>
        <row r="358">
          <cell r="U358">
            <v>977.68</v>
          </cell>
        </row>
        <row r="359">
          <cell r="U359">
            <v>34</v>
          </cell>
        </row>
        <row r="360">
          <cell r="U360">
            <v>1521.19</v>
          </cell>
        </row>
        <row r="361">
          <cell r="U361">
            <v>1755</v>
          </cell>
        </row>
        <row r="362">
          <cell r="U362">
            <v>799.45</v>
          </cell>
        </row>
        <row r="363">
          <cell r="U363">
            <v>4000</v>
          </cell>
        </row>
        <row r="364">
          <cell r="U364">
            <v>250</v>
          </cell>
        </row>
        <row r="365">
          <cell r="U365">
            <v>1245</v>
          </cell>
        </row>
        <row r="366">
          <cell r="U366">
            <v>300</v>
          </cell>
        </row>
        <row r="367">
          <cell r="U367">
            <v>300</v>
          </cell>
        </row>
        <row r="368">
          <cell r="U368">
            <v>9150</v>
          </cell>
        </row>
        <row r="369">
          <cell r="U369">
            <v>930</v>
          </cell>
        </row>
        <row r="370">
          <cell r="U370">
            <v>102.06</v>
          </cell>
        </row>
        <row r="371">
          <cell r="U371">
            <v>1980</v>
          </cell>
        </row>
        <row r="372">
          <cell r="U372">
            <v>725.53</v>
          </cell>
        </row>
        <row r="373">
          <cell r="U373">
            <v>781.8</v>
          </cell>
        </row>
        <row r="374">
          <cell r="U374">
            <v>25000</v>
          </cell>
        </row>
        <row r="375">
          <cell r="U375">
            <v>3000</v>
          </cell>
        </row>
        <row r="376">
          <cell r="U376">
            <v>287.5</v>
          </cell>
        </row>
        <row r="377">
          <cell r="U377">
            <v>216.11</v>
          </cell>
        </row>
        <row r="378">
          <cell r="U378">
            <v>849</v>
          </cell>
        </row>
        <row r="379">
          <cell r="U379">
            <v>850</v>
          </cell>
        </row>
        <row r="380">
          <cell r="U380">
            <v>5800</v>
          </cell>
        </row>
        <row r="381">
          <cell r="U381">
            <v>685</v>
          </cell>
        </row>
        <row r="382">
          <cell r="U382">
            <v>355</v>
          </cell>
        </row>
        <row r="383">
          <cell r="U383">
            <v>271</v>
          </cell>
        </row>
        <row r="384">
          <cell r="U384">
            <v>1450</v>
          </cell>
        </row>
        <row r="385">
          <cell r="U385">
            <v>250</v>
          </cell>
        </row>
        <row r="386">
          <cell r="U386">
            <v>1015.86</v>
          </cell>
        </row>
        <row r="387">
          <cell r="U387">
            <v>1885.81</v>
          </cell>
        </row>
        <row r="388">
          <cell r="U388">
            <v>150</v>
          </cell>
        </row>
        <row r="389">
          <cell r="U389">
            <v>134.81</v>
          </cell>
        </row>
        <row r="390">
          <cell r="U390">
            <v>124.99</v>
          </cell>
        </row>
        <row r="391">
          <cell r="U391">
            <v>1090</v>
          </cell>
        </row>
        <row r="392">
          <cell r="U392">
            <v>1702.89</v>
          </cell>
        </row>
        <row r="393">
          <cell r="U393">
            <v>545</v>
          </cell>
        </row>
        <row r="394">
          <cell r="U394">
            <v>99.99</v>
          </cell>
        </row>
        <row r="395">
          <cell r="U395">
            <v>491.8</v>
          </cell>
        </row>
        <row r="396">
          <cell r="U396">
            <v>78.849999999999994</v>
          </cell>
        </row>
        <row r="397">
          <cell r="U397">
            <v>1010.98</v>
          </cell>
        </row>
        <row r="398">
          <cell r="U398">
            <v>1194</v>
          </cell>
        </row>
        <row r="399">
          <cell r="U399">
            <v>641.59</v>
          </cell>
        </row>
        <row r="400">
          <cell r="U400">
            <v>1926.5</v>
          </cell>
        </row>
        <row r="401">
          <cell r="U401">
            <v>4053.16</v>
          </cell>
        </row>
        <row r="402">
          <cell r="U402">
            <v>1163.43</v>
          </cell>
        </row>
        <row r="403">
          <cell r="U403">
            <v>44.2</v>
          </cell>
        </row>
        <row r="404">
          <cell r="U404">
            <v>713.36</v>
          </cell>
        </row>
        <row r="405">
          <cell r="U405">
            <v>871.05</v>
          </cell>
        </row>
        <row r="406">
          <cell r="U406">
            <v>164.97</v>
          </cell>
        </row>
        <row r="407">
          <cell r="U407">
            <v>6194.44</v>
          </cell>
        </row>
        <row r="408">
          <cell r="U408">
            <v>1146.8900000000001</v>
          </cell>
        </row>
        <row r="409">
          <cell r="U409">
            <v>150</v>
          </cell>
        </row>
        <row r="410">
          <cell r="U410">
            <v>565</v>
          </cell>
        </row>
        <row r="411">
          <cell r="U411">
            <v>1300</v>
          </cell>
        </row>
        <row r="412">
          <cell r="U412">
            <v>8500</v>
          </cell>
        </row>
        <row r="413">
          <cell r="U413">
            <v>1836.5</v>
          </cell>
        </row>
        <row r="414">
          <cell r="U414">
            <v>135000</v>
          </cell>
        </row>
        <row r="415">
          <cell r="U415">
            <v>20500</v>
          </cell>
        </row>
        <row r="416">
          <cell r="U416">
            <v>4017.23</v>
          </cell>
        </row>
        <row r="417">
          <cell r="U417">
            <v>227</v>
          </cell>
        </row>
        <row r="418">
          <cell r="U418">
            <v>1708.24</v>
          </cell>
        </row>
        <row r="419">
          <cell r="U419">
            <v>24007</v>
          </cell>
        </row>
        <row r="420">
          <cell r="U420">
            <v>833.47</v>
          </cell>
        </row>
        <row r="421">
          <cell r="U421">
            <v>100</v>
          </cell>
        </row>
        <row r="422">
          <cell r="U422">
            <v>10000</v>
          </cell>
        </row>
        <row r="423">
          <cell r="U423">
            <v>1000</v>
          </cell>
        </row>
        <row r="424">
          <cell r="U424">
            <v>527</v>
          </cell>
        </row>
        <row r="425">
          <cell r="U425">
            <v>1872</v>
          </cell>
        </row>
        <row r="426">
          <cell r="U426">
            <v>1000</v>
          </cell>
        </row>
        <row r="427">
          <cell r="U427">
            <v>225</v>
          </cell>
        </row>
        <row r="428">
          <cell r="U428">
            <v>1717.19</v>
          </cell>
        </row>
        <row r="429">
          <cell r="U429">
            <v>34008.160000000003</v>
          </cell>
        </row>
        <row r="430">
          <cell r="U430">
            <v>-20000</v>
          </cell>
        </row>
        <row r="431">
          <cell r="U431">
            <v>122.6</v>
          </cell>
        </row>
        <row r="432">
          <cell r="U432">
            <v>800</v>
          </cell>
        </row>
        <row r="433">
          <cell r="U433">
            <v>1000</v>
          </cell>
        </row>
        <row r="434">
          <cell r="U434">
            <v>5957.7</v>
          </cell>
        </row>
        <row r="435">
          <cell r="U435">
            <v>110</v>
          </cell>
        </row>
        <row r="436">
          <cell r="U436">
            <v>120</v>
          </cell>
        </row>
        <row r="437">
          <cell r="U437">
            <v>1110.6600000000001</v>
          </cell>
        </row>
        <row r="438">
          <cell r="U438">
            <v>-615</v>
          </cell>
        </row>
        <row r="439">
          <cell r="U439">
            <v>-550</v>
          </cell>
        </row>
        <row r="440">
          <cell r="U440">
            <v>-450</v>
          </cell>
        </row>
        <row r="441">
          <cell r="U441">
            <v>653.34</v>
          </cell>
        </row>
        <row r="442">
          <cell r="U442">
            <v>800</v>
          </cell>
        </row>
        <row r="443">
          <cell r="U443">
            <v>150</v>
          </cell>
        </row>
        <row r="444">
          <cell r="U444">
            <v>426.99</v>
          </cell>
        </row>
        <row r="445">
          <cell r="U445">
            <v>661.8</v>
          </cell>
        </row>
        <row r="446">
          <cell r="U446">
            <v>402</v>
          </cell>
        </row>
        <row r="447">
          <cell r="U447">
            <v>599.24</v>
          </cell>
        </row>
        <row r="448">
          <cell r="U448">
            <v>1050</v>
          </cell>
        </row>
        <row r="449">
          <cell r="U449">
            <v>300</v>
          </cell>
        </row>
        <row r="450">
          <cell r="U450">
            <v>200</v>
          </cell>
        </row>
        <row r="451">
          <cell r="U451">
            <v>613.79</v>
          </cell>
        </row>
        <row r="452">
          <cell r="U452">
            <v>201</v>
          </cell>
        </row>
        <row r="453">
          <cell r="U453">
            <v>150</v>
          </cell>
        </row>
        <row r="454">
          <cell r="U454">
            <v>38.44</v>
          </cell>
        </row>
        <row r="455">
          <cell r="U455">
            <v>494.79</v>
          </cell>
        </row>
        <row r="456">
          <cell r="U456">
            <v>1093.54</v>
          </cell>
        </row>
        <row r="457">
          <cell r="U457">
            <v>5564.77</v>
          </cell>
        </row>
        <row r="458">
          <cell r="U458">
            <v>838</v>
          </cell>
        </row>
        <row r="459">
          <cell r="U459">
            <v>16500</v>
          </cell>
        </row>
        <row r="460">
          <cell r="U460">
            <v>3847.13</v>
          </cell>
        </row>
        <row r="461">
          <cell r="U461">
            <v>3199.1</v>
          </cell>
        </row>
        <row r="462">
          <cell r="U462">
            <v>550000</v>
          </cell>
        </row>
        <row r="463">
          <cell r="U463">
            <v>100</v>
          </cell>
        </row>
        <row r="464">
          <cell r="U464">
            <v>35000</v>
          </cell>
        </row>
        <row r="465">
          <cell r="U465">
            <v>813.52</v>
          </cell>
        </row>
        <row r="466">
          <cell r="U466">
            <v>360</v>
          </cell>
        </row>
        <row r="467">
          <cell r="U467">
            <v>106.15</v>
          </cell>
        </row>
        <row r="468">
          <cell r="U468">
            <v>226</v>
          </cell>
        </row>
        <row r="469">
          <cell r="U469">
            <v>2755.65</v>
          </cell>
        </row>
        <row r="470">
          <cell r="U470">
            <v>370</v>
          </cell>
        </row>
        <row r="471">
          <cell r="U471">
            <v>480</v>
          </cell>
        </row>
        <row r="472">
          <cell r="U472">
            <v>872.74</v>
          </cell>
        </row>
        <row r="473">
          <cell r="U473">
            <v>1171.3699999999999</v>
          </cell>
        </row>
        <row r="474">
          <cell r="U474">
            <v>482.87</v>
          </cell>
        </row>
        <row r="475">
          <cell r="U475">
            <v>396</v>
          </cell>
        </row>
        <row r="476">
          <cell r="U476">
            <v>257.17</v>
          </cell>
        </row>
        <row r="477">
          <cell r="U477">
            <v>1464.47</v>
          </cell>
        </row>
        <row r="478">
          <cell r="U478">
            <v>1819.01</v>
          </cell>
        </row>
        <row r="479">
          <cell r="U479">
            <v>332</v>
          </cell>
        </row>
        <row r="480">
          <cell r="U480">
            <v>175</v>
          </cell>
        </row>
        <row r="481">
          <cell r="U481">
            <v>179.64</v>
          </cell>
        </row>
        <row r="482">
          <cell r="U482">
            <v>1500000</v>
          </cell>
        </row>
        <row r="483">
          <cell r="U483">
            <v>979.62</v>
          </cell>
        </row>
        <row r="484">
          <cell r="U484">
            <v>330</v>
          </cell>
        </row>
        <row r="485">
          <cell r="U485">
            <v>25000</v>
          </cell>
        </row>
        <row r="486">
          <cell r="U486">
            <v>225</v>
          </cell>
        </row>
        <row r="487">
          <cell r="U487">
            <v>200</v>
          </cell>
        </row>
        <row r="488">
          <cell r="U488">
            <v>-3536.94</v>
          </cell>
        </row>
        <row r="489">
          <cell r="U489">
            <v>2500</v>
          </cell>
        </row>
        <row r="490">
          <cell r="U490">
            <v>140</v>
          </cell>
        </row>
        <row r="491">
          <cell r="U491">
            <v>105</v>
          </cell>
        </row>
        <row r="492">
          <cell r="U492">
            <v>100</v>
          </cell>
        </row>
        <row r="493">
          <cell r="U493">
            <v>979.62</v>
          </cell>
        </row>
        <row r="494">
          <cell r="U494">
            <v>1963.23</v>
          </cell>
        </row>
        <row r="495">
          <cell r="U495">
            <v>18714.5</v>
          </cell>
        </row>
        <row r="496">
          <cell r="U496">
            <v>917</v>
          </cell>
        </row>
        <row r="497">
          <cell r="U497">
            <v>350</v>
          </cell>
        </row>
        <row r="498">
          <cell r="U498">
            <v>25000</v>
          </cell>
        </row>
        <row r="499">
          <cell r="U499">
            <v>850</v>
          </cell>
        </row>
        <row r="500">
          <cell r="U500">
            <v>1100</v>
          </cell>
        </row>
        <row r="501">
          <cell r="U501">
            <v>383.68</v>
          </cell>
        </row>
        <row r="502">
          <cell r="U502">
            <v>76</v>
          </cell>
        </row>
        <row r="503">
          <cell r="U503">
            <v>111.93</v>
          </cell>
        </row>
        <row r="504">
          <cell r="U504">
            <v>734.94</v>
          </cell>
        </row>
        <row r="505">
          <cell r="U505">
            <v>1141</v>
          </cell>
        </row>
        <row r="506">
          <cell r="U506">
            <v>530</v>
          </cell>
        </row>
        <row r="507">
          <cell r="U507">
            <v>930.33</v>
          </cell>
        </row>
        <row r="508">
          <cell r="U508">
            <v>80</v>
          </cell>
        </row>
        <row r="509">
          <cell r="U509">
            <v>1999.4</v>
          </cell>
        </row>
        <row r="510">
          <cell r="U510">
            <v>497.48</v>
          </cell>
        </row>
        <row r="511">
          <cell r="U511">
            <v>4500</v>
          </cell>
        </row>
        <row r="512">
          <cell r="U512">
            <v>125</v>
          </cell>
        </row>
        <row r="513">
          <cell r="U513">
            <v>385</v>
          </cell>
        </row>
        <row r="514">
          <cell r="U514">
            <v>320.52999999999997</v>
          </cell>
        </row>
        <row r="515">
          <cell r="U515">
            <v>1593.98</v>
          </cell>
        </row>
        <row r="516">
          <cell r="U516">
            <v>3427.14</v>
          </cell>
        </row>
        <row r="517">
          <cell r="U517">
            <v>98</v>
          </cell>
        </row>
        <row r="518">
          <cell r="U518">
            <v>1147.96</v>
          </cell>
        </row>
        <row r="519">
          <cell r="U519">
            <v>3115.85</v>
          </cell>
        </row>
        <row r="520">
          <cell r="U520">
            <v>575</v>
          </cell>
        </row>
        <row r="521">
          <cell r="U521">
            <v>223.26</v>
          </cell>
        </row>
        <row r="522">
          <cell r="U522">
            <v>2669.76</v>
          </cell>
        </row>
        <row r="523">
          <cell r="U523">
            <v>170</v>
          </cell>
        </row>
        <row r="524">
          <cell r="U524">
            <v>1517</v>
          </cell>
        </row>
        <row r="525">
          <cell r="U525">
            <v>299.99</v>
          </cell>
        </row>
        <row r="526">
          <cell r="U526">
            <v>2869</v>
          </cell>
        </row>
        <row r="527">
          <cell r="U527">
            <v>170.02</v>
          </cell>
        </row>
        <row r="528">
          <cell r="U528">
            <v>847.63</v>
          </cell>
        </row>
        <row r="529">
          <cell r="U529">
            <v>1460.3</v>
          </cell>
        </row>
        <row r="530">
          <cell r="U530">
            <v>260.01</v>
          </cell>
        </row>
        <row r="531">
          <cell r="U531">
            <v>962.19</v>
          </cell>
        </row>
        <row r="532">
          <cell r="U532">
            <v>415.5</v>
          </cell>
        </row>
        <row r="533">
          <cell r="U533">
            <v>800</v>
          </cell>
        </row>
        <row r="534">
          <cell r="U534">
            <v>3263.63</v>
          </cell>
        </row>
        <row r="535">
          <cell r="U535">
            <v>25000</v>
          </cell>
        </row>
        <row r="536">
          <cell r="U536">
            <v>539.75</v>
          </cell>
        </row>
        <row r="537">
          <cell r="U537">
            <v>200</v>
          </cell>
        </row>
        <row r="538">
          <cell r="U538">
            <v>3350</v>
          </cell>
        </row>
        <row r="539">
          <cell r="U539">
            <v>24890.86</v>
          </cell>
        </row>
        <row r="540">
          <cell r="U540">
            <v>423.99</v>
          </cell>
        </row>
        <row r="541">
          <cell r="U541">
            <v>1237</v>
          </cell>
        </row>
        <row r="542">
          <cell r="U542">
            <v>430.2</v>
          </cell>
        </row>
        <row r="543">
          <cell r="U543">
            <v>523.70000000000005</v>
          </cell>
        </row>
        <row r="544">
          <cell r="U544">
            <v>358.36</v>
          </cell>
        </row>
        <row r="545">
          <cell r="U545">
            <v>1715</v>
          </cell>
        </row>
        <row r="546">
          <cell r="U546">
            <v>6200</v>
          </cell>
        </row>
        <row r="547">
          <cell r="U547">
            <v>1305.98</v>
          </cell>
        </row>
        <row r="548">
          <cell r="U548">
            <v>3500</v>
          </cell>
        </row>
        <row r="549">
          <cell r="U549">
            <v>36610.42</v>
          </cell>
        </row>
        <row r="550">
          <cell r="U550">
            <v>192</v>
          </cell>
        </row>
        <row r="551">
          <cell r="U551">
            <v>2085</v>
          </cell>
        </row>
        <row r="552">
          <cell r="U552">
            <v>225</v>
          </cell>
        </row>
        <row r="553">
          <cell r="U553">
            <v>275</v>
          </cell>
        </row>
        <row r="554">
          <cell r="U554">
            <v>80</v>
          </cell>
        </row>
        <row r="555">
          <cell r="U555">
            <v>1200</v>
          </cell>
        </row>
        <row r="556">
          <cell r="U556">
            <v>618.04999999999995</v>
          </cell>
        </row>
        <row r="557">
          <cell r="U557">
            <v>1555</v>
          </cell>
        </row>
        <row r="558">
          <cell r="U558">
            <v>530</v>
          </cell>
        </row>
        <row r="559">
          <cell r="U559">
            <v>70</v>
          </cell>
        </row>
        <row r="560">
          <cell r="U560">
            <v>777.39</v>
          </cell>
        </row>
        <row r="561">
          <cell r="U561">
            <v>5010.5</v>
          </cell>
        </row>
        <row r="562">
          <cell r="U562">
            <v>28337.65</v>
          </cell>
        </row>
        <row r="563">
          <cell r="U563">
            <v>-3064.06</v>
          </cell>
        </row>
        <row r="564">
          <cell r="U564">
            <v>-596</v>
          </cell>
        </row>
        <row r="565">
          <cell r="U565">
            <v>-684414.38</v>
          </cell>
        </row>
        <row r="566">
          <cell r="U566">
            <v>-59008.160000000003</v>
          </cell>
        </row>
        <row r="567">
          <cell r="U567">
            <v>-5138.8100000000004</v>
          </cell>
        </row>
        <row r="568">
          <cell r="U568">
            <v>-345436.9</v>
          </cell>
        </row>
        <row r="569">
          <cell r="U569">
            <v>-3417.83</v>
          </cell>
        </row>
        <row r="570">
          <cell r="U570">
            <v>-224</v>
          </cell>
        </row>
        <row r="571">
          <cell r="U571">
            <v>-1509450</v>
          </cell>
        </row>
        <row r="572">
          <cell r="U572">
            <v>9023.69</v>
          </cell>
        </row>
        <row r="573">
          <cell r="U573">
            <v>486</v>
          </cell>
        </row>
        <row r="574">
          <cell r="U574">
            <v>1000</v>
          </cell>
        </row>
        <row r="575">
          <cell r="U575">
            <v>197.62</v>
          </cell>
        </row>
        <row r="576">
          <cell r="U576">
            <v>376.22</v>
          </cell>
        </row>
        <row r="577">
          <cell r="U577">
            <v>620</v>
          </cell>
        </row>
        <row r="578">
          <cell r="U578">
            <v>404</v>
          </cell>
        </row>
        <row r="579">
          <cell r="U579">
            <v>3602.24</v>
          </cell>
        </row>
        <row r="580">
          <cell r="U580">
            <v>76.11</v>
          </cell>
        </row>
        <row r="581">
          <cell r="U581">
            <v>250</v>
          </cell>
        </row>
        <row r="582">
          <cell r="U582">
            <v>1753.55</v>
          </cell>
        </row>
        <row r="583">
          <cell r="U583">
            <v>6500</v>
          </cell>
        </row>
        <row r="584">
          <cell r="U584">
            <v>150</v>
          </cell>
        </row>
        <row r="585">
          <cell r="U585">
            <v>776</v>
          </cell>
        </row>
        <row r="586">
          <cell r="U586">
            <v>881</v>
          </cell>
        </row>
        <row r="587">
          <cell r="U587">
            <v>243.35</v>
          </cell>
        </row>
        <row r="588">
          <cell r="U588">
            <v>4271.24</v>
          </cell>
        </row>
        <row r="589">
          <cell r="U589">
            <v>200</v>
          </cell>
        </row>
        <row r="590">
          <cell r="U590">
            <v>275</v>
          </cell>
        </row>
        <row r="591">
          <cell r="U591">
            <v>1547</v>
          </cell>
        </row>
        <row r="592">
          <cell r="U592">
            <v>1426.42</v>
          </cell>
        </row>
        <row r="593">
          <cell r="U593">
            <v>24007</v>
          </cell>
        </row>
        <row r="594">
          <cell r="U594">
            <v>2444.98</v>
          </cell>
        </row>
        <row r="595">
          <cell r="U595">
            <v>19243.919999999998</v>
          </cell>
        </row>
        <row r="596">
          <cell r="U596">
            <v>180.08</v>
          </cell>
        </row>
        <row r="597">
          <cell r="U597">
            <v>680</v>
          </cell>
        </row>
        <row r="598">
          <cell r="U598">
            <v>20000</v>
          </cell>
        </row>
        <row r="599">
          <cell r="U599">
            <v>300</v>
          </cell>
        </row>
        <row r="600">
          <cell r="U600">
            <v>180</v>
          </cell>
        </row>
        <row r="601">
          <cell r="U601">
            <v>80</v>
          </cell>
        </row>
        <row r="602">
          <cell r="U602">
            <v>150</v>
          </cell>
        </row>
        <row r="603">
          <cell r="U603">
            <v>920</v>
          </cell>
        </row>
        <row r="604">
          <cell r="U604">
            <v>967.91</v>
          </cell>
        </row>
        <row r="605">
          <cell r="U605">
            <v>371.61</v>
          </cell>
        </row>
        <row r="606">
          <cell r="U606">
            <v>75000</v>
          </cell>
        </row>
        <row r="607">
          <cell r="U607">
            <v>480</v>
          </cell>
        </row>
        <row r="608">
          <cell r="U608">
            <v>2656.83</v>
          </cell>
        </row>
        <row r="609">
          <cell r="U609">
            <v>9753.19</v>
          </cell>
        </row>
        <row r="610">
          <cell r="U610">
            <v>1080</v>
          </cell>
        </row>
        <row r="611">
          <cell r="U611">
            <v>736</v>
          </cell>
        </row>
        <row r="612">
          <cell r="U612">
            <v>661.64</v>
          </cell>
        </row>
        <row r="613">
          <cell r="U613">
            <v>1606.12</v>
          </cell>
        </row>
        <row r="614">
          <cell r="U614">
            <v>1222.5</v>
          </cell>
        </row>
        <row r="615">
          <cell r="U615">
            <v>1770</v>
          </cell>
        </row>
        <row r="616">
          <cell r="U616">
            <v>945</v>
          </cell>
        </row>
        <row r="617">
          <cell r="U617">
            <v>344.43</v>
          </cell>
        </row>
        <row r="618">
          <cell r="U618">
            <v>1733</v>
          </cell>
        </row>
        <row r="619">
          <cell r="U619">
            <v>576</v>
          </cell>
        </row>
        <row r="620">
          <cell r="U620">
            <v>1423.44</v>
          </cell>
        </row>
        <row r="621">
          <cell r="U621">
            <v>738.97</v>
          </cell>
        </row>
        <row r="622">
          <cell r="U622">
            <v>33.9</v>
          </cell>
        </row>
        <row r="623">
          <cell r="U623">
            <v>617.79</v>
          </cell>
        </row>
        <row r="624">
          <cell r="U624">
            <v>5336.96</v>
          </cell>
        </row>
        <row r="625">
          <cell r="U625">
            <v>1089.08</v>
          </cell>
        </row>
        <row r="626">
          <cell r="U626">
            <v>1109.94</v>
          </cell>
        </row>
        <row r="627">
          <cell r="U627">
            <v>1440</v>
          </cell>
        </row>
        <row r="628">
          <cell r="U628">
            <v>556.64</v>
          </cell>
        </row>
        <row r="629">
          <cell r="U629">
            <v>75000</v>
          </cell>
        </row>
        <row r="630">
          <cell r="U630">
            <v>3000</v>
          </cell>
        </row>
        <row r="631">
          <cell r="U631">
            <v>75</v>
          </cell>
        </row>
        <row r="632">
          <cell r="U632">
            <v>237.18</v>
          </cell>
        </row>
        <row r="633">
          <cell r="U633">
            <v>200</v>
          </cell>
        </row>
        <row r="634">
          <cell r="U634">
            <v>1352.26</v>
          </cell>
        </row>
        <row r="635">
          <cell r="U635">
            <v>487.45</v>
          </cell>
        </row>
        <row r="636">
          <cell r="U636">
            <v>-25000</v>
          </cell>
        </row>
        <row r="637">
          <cell r="U637">
            <v>-8832.16</v>
          </cell>
        </row>
        <row r="638">
          <cell r="U638">
            <v>-979.62</v>
          </cell>
        </row>
        <row r="639">
          <cell r="U639">
            <v>-25000</v>
          </cell>
        </row>
        <row r="640">
          <cell r="U640">
            <v>5624.87</v>
          </cell>
        </row>
        <row r="641">
          <cell r="U641">
            <v>3519.13</v>
          </cell>
        </row>
        <row r="642">
          <cell r="U642">
            <v>1063.81</v>
          </cell>
        </row>
        <row r="643">
          <cell r="U643">
            <v>200</v>
          </cell>
        </row>
        <row r="644">
          <cell r="U644">
            <v>209.22</v>
          </cell>
        </row>
        <row r="645">
          <cell r="U645">
            <v>482</v>
          </cell>
        </row>
        <row r="646">
          <cell r="U646">
            <v>5500</v>
          </cell>
        </row>
        <row r="647">
          <cell r="U647">
            <v>5000</v>
          </cell>
        </row>
        <row r="648">
          <cell r="U648">
            <v>727.83</v>
          </cell>
        </row>
        <row r="649">
          <cell r="U649">
            <v>250</v>
          </cell>
        </row>
        <row r="650">
          <cell r="U650">
            <v>10418</v>
          </cell>
        </row>
        <row r="651">
          <cell r="U651">
            <v>2015.76</v>
          </cell>
        </row>
        <row r="652">
          <cell r="U652">
            <v>610</v>
          </cell>
        </row>
        <row r="653">
          <cell r="U653">
            <v>525</v>
          </cell>
        </row>
        <row r="654">
          <cell r="U654">
            <v>1345</v>
          </cell>
        </row>
        <row r="655">
          <cell r="U655">
            <v>139.86000000000001</v>
          </cell>
        </row>
        <row r="656">
          <cell r="U656">
            <v>3511.68</v>
          </cell>
        </row>
        <row r="657">
          <cell r="U657">
            <v>1020.95</v>
          </cell>
        </row>
        <row r="658">
          <cell r="U658">
            <v>75</v>
          </cell>
        </row>
        <row r="659">
          <cell r="U659">
            <v>830.11</v>
          </cell>
        </row>
        <row r="660">
          <cell r="U660">
            <v>905</v>
          </cell>
        </row>
        <row r="661">
          <cell r="U661">
            <v>228</v>
          </cell>
        </row>
        <row r="662">
          <cell r="U662">
            <v>874</v>
          </cell>
        </row>
        <row r="663">
          <cell r="U663">
            <v>282</v>
          </cell>
        </row>
        <row r="664">
          <cell r="U664">
            <v>351.95</v>
          </cell>
        </row>
        <row r="665">
          <cell r="U665">
            <v>7671.25</v>
          </cell>
        </row>
        <row r="666">
          <cell r="U666">
            <v>232.5</v>
          </cell>
        </row>
        <row r="667">
          <cell r="U667">
            <v>1623</v>
          </cell>
        </row>
        <row r="668">
          <cell r="U668">
            <v>5156.3100000000004</v>
          </cell>
        </row>
        <row r="669">
          <cell r="U669">
            <v>465</v>
          </cell>
        </row>
        <row r="670">
          <cell r="U670">
            <v>1318.7</v>
          </cell>
        </row>
        <row r="671">
          <cell r="U671">
            <v>450</v>
          </cell>
        </row>
        <row r="672">
          <cell r="U672">
            <v>9</v>
          </cell>
        </row>
        <row r="673">
          <cell r="U673">
            <v>2621.82</v>
          </cell>
        </row>
        <row r="674">
          <cell r="U674">
            <v>118.91</v>
          </cell>
        </row>
        <row r="675">
          <cell r="U675">
            <v>1284.47</v>
          </cell>
        </row>
        <row r="676">
          <cell r="U676">
            <v>85</v>
          </cell>
        </row>
        <row r="677">
          <cell r="U677">
            <v>855.89</v>
          </cell>
        </row>
        <row r="678">
          <cell r="U678">
            <v>3003.97</v>
          </cell>
        </row>
        <row r="679">
          <cell r="U679">
            <v>875</v>
          </cell>
        </row>
        <row r="680">
          <cell r="U680">
            <v>922.18</v>
          </cell>
        </row>
        <row r="681">
          <cell r="U681">
            <v>4067.13</v>
          </cell>
        </row>
        <row r="682">
          <cell r="U682">
            <v>567.01</v>
          </cell>
        </row>
        <row r="683">
          <cell r="U683">
            <v>3380.34</v>
          </cell>
        </row>
        <row r="684">
          <cell r="U684">
            <v>109.95</v>
          </cell>
        </row>
        <row r="685">
          <cell r="U685">
            <v>1525</v>
          </cell>
        </row>
        <row r="686">
          <cell r="U686">
            <v>119</v>
          </cell>
        </row>
        <row r="687">
          <cell r="U687">
            <v>217.32</v>
          </cell>
        </row>
        <row r="688">
          <cell r="U688">
            <v>2900</v>
          </cell>
        </row>
        <row r="689">
          <cell r="U689">
            <v>1190</v>
          </cell>
        </row>
        <row r="690">
          <cell r="U690">
            <v>140</v>
          </cell>
        </row>
        <row r="691">
          <cell r="U691">
            <v>-24007</v>
          </cell>
        </row>
        <row r="692">
          <cell r="U692">
            <v>200</v>
          </cell>
        </row>
        <row r="693">
          <cell r="U693">
            <v>643.98</v>
          </cell>
        </row>
        <row r="694">
          <cell r="U694">
            <v>35101.29</v>
          </cell>
        </row>
        <row r="695">
          <cell r="U695">
            <v>1402.44</v>
          </cell>
        </row>
        <row r="696">
          <cell r="U696">
            <v>278.95</v>
          </cell>
        </row>
        <row r="697">
          <cell r="U697">
            <v>342.96</v>
          </cell>
        </row>
        <row r="698">
          <cell r="U698">
            <v>124.53</v>
          </cell>
        </row>
        <row r="699">
          <cell r="U699">
            <v>2000</v>
          </cell>
        </row>
        <row r="700">
          <cell r="U700">
            <v>82</v>
          </cell>
        </row>
        <row r="701">
          <cell r="U701">
            <v>519.6</v>
          </cell>
        </row>
        <row r="702">
          <cell r="U702">
            <v>496.12</v>
          </cell>
        </row>
        <row r="703">
          <cell r="U703">
            <v>1085.3</v>
          </cell>
        </row>
        <row r="704">
          <cell r="U704">
            <v>858.69</v>
          </cell>
        </row>
        <row r="705">
          <cell r="U705">
            <v>212.98</v>
          </cell>
        </row>
        <row r="706">
          <cell r="U706">
            <v>1619.26</v>
          </cell>
        </row>
        <row r="707">
          <cell r="U707">
            <v>3260.93</v>
          </cell>
        </row>
        <row r="708">
          <cell r="U708">
            <v>500</v>
          </cell>
        </row>
        <row r="709">
          <cell r="U709">
            <v>524</v>
          </cell>
        </row>
        <row r="710">
          <cell r="U710">
            <v>1729</v>
          </cell>
        </row>
        <row r="711">
          <cell r="U711">
            <v>2262</v>
          </cell>
        </row>
        <row r="712">
          <cell r="U712">
            <v>350</v>
          </cell>
        </row>
        <row r="713">
          <cell r="U713">
            <v>812.11</v>
          </cell>
        </row>
        <row r="714">
          <cell r="U714">
            <v>322</v>
          </cell>
        </row>
        <row r="715">
          <cell r="U715">
            <v>850</v>
          </cell>
        </row>
        <row r="716">
          <cell r="U716">
            <v>449</v>
          </cell>
        </row>
        <row r="717">
          <cell r="U717">
            <v>33503.03</v>
          </cell>
        </row>
        <row r="718">
          <cell r="U718">
            <v>5251.42</v>
          </cell>
        </row>
        <row r="719">
          <cell r="U719">
            <v>311.38</v>
          </cell>
        </row>
        <row r="720">
          <cell r="U720">
            <v>1639.79</v>
          </cell>
        </row>
        <row r="721">
          <cell r="U721">
            <v>1531</v>
          </cell>
        </row>
        <row r="722">
          <cell r="U722">
            <v>400</v>
          </cell>
        </row>
        <row r="723">
          <cell r="U723">
            <v>882.41</v>
          </cell>
        </row>
        <row r="724">
          <cell r="U724">
            <v>5000.21</v>
          </cell>
        </row>
        <row r="725">
          <cell r="U725">
            <v>249.94</v>
          </cell>
        </row>
        <row r="726">
          <cell r="U726">
            <v>690.74</v>
          </cell>
        </row>
        <row r="727">
          <cell r="U727">
            <v>1150.17</v>
          </cell>
        </row>
        <row r="728">
          <cell r="U728">
            <v>269.39</v>
          </cell>
        </row>
        <row r="729">
          <cell r="U729">
            <v>69</v>
          </cell>
        </row>
        <row r="730">
          <cell r="U730">
            <v>1357</v>
          </cell>
        </row>
        <row r="731">
          <cell r="U731">
            <v>5244.5</v>
          </cell>
        </row>
        <row r="732">
          <cell r="U732">
            <v>290</v>
          </cell>
        </row>
        <row r="733">
          <cell r="U733">
            <v>68.92</v>
          </cell>
        </row>
        <row r="734">
          <cell r="U734">
            <v>165</v>
          </cell>
        </row>
        <row r="735">
          <cell r="U735">
            <v>310</v>
          </cell>
        </row>
        <row r="736">
          <cell r="U736">
            <v>1000</v>
          </cell>
        </row>
        <row r="737">
          <cell r="U737">
            <v>839</v>
          </cell>
        </row>
        <row r="738">
          <cell r="U738">
            <v>2683.32</v>
          </cell>
        </row>
        <row r="739">
          <cell r="U739">
            <v>500</v>
          </cell>
        </row>
        <row r="740">
          <cell r="U740">
            <v>1615.81</v>
          </cell>
        </row>
        <row r="741">
          <cell r="U741">
            <v>808.51</v>
          </cell>
        </row>
        <row r="742">
          <cell r="U742">
            <v>4226.1099999999997</v>
          </cell>
        </row>
        <row r="743">
          <cell r="U743">
            <v>141.63999999999999</v>
          </cell>
        </row>
        <row r="744">
          <cell r="U744">
            <v>406.95</v>
          </cell>
        </row>
        <row r="745">
          <cell r="U745">
            <v>4667.58</v>
          </cell>
        </row>
        <row r="746">
          <cell r="U746">
            <v>530.96</v>
          </cell>
        </row>
        <row r="747">
          <cell r="U747">
            <v>885.56</v>
          </cell>
        </row>
        <row r="748">
          <cell r="U748">
            <v>28</v>
          </cell>
        </row>
        <row r="749">
          <cell r="U749">
            <v>350</v>
          </cell>
        </row>
        <row r="750">
          <cell r="U750">
            <v>588.09</v>
          </cell>
        </row>
        <row r="751">
          <cell r="U751">
            <v>30</v>
          </cell>
        </row>
        <row r="752">
          <cell r="U752">
            <v>660</v>
          </cell>
        </row>
        <row r="753">
          <cell r="U753">
            <v>3360</v>
          </cell>
        </row>
        <row r="754">
          <cell r="U754">
            <v>981.94</v>
          </cell>
        </row>
        <row r="755">
          <cell r="U755">
            <v>1603.79</v>
          </cell>
        </row>
        <row r="756">
          <cell r="U756">
            <v>200</v>
          </cell>
        </row>
        <row r="757">
          <cell r="U757">
            <v>1708.17</v>
          </cell>
        </row>
        <row r="758">
          <cell r="U758">
            <v>2551.5500000000002</v>
          </cell>
        </row>
        <row r="759">
          <cell r="U759">
            <v>350</v>
          </cell>
        </row>
        <row r="760">
          <cell r="U760">
            <v>911.59</v>
          </cell>
        </row>
        <row r="761">
          <cell r="U761">
            <v>1000</v>
          </cell>
        </row>
        <row r="762">
          <cell r="U762">
            <v>1104.95</v>
          </cell>
        </row>
        <row r="763">
          <cell r="U763">
            <v>527</v>
          </cell>
        </row>
        <row r="764">
          <cell r="U764">
            <v>296.88</v>
          </cell>
        </row>
        <row r="765">
          <cell r="U765">
            <v>1500</v>
          </cell>
        </row>
        <row r="766">
          <cell r="U766">
            <v>1102.55</v>
          </cell>
        </row>
        <row r="767">
          <cell r="U767">
            <v>140</v>
          </cell>
        </row>
        <row r="768">
          <cell r="U768">
            <v>341.69</v>
          </cell>
        </row>
        <row r="769">
          <cell r="U769">
            <v>7200</v>
          </cell>
        </row>
        <row r="770">
          <cell r="U770">
            <v>430</v>
          </cell>
        </row>
        <row r="771">
          <cell r="U771">
            <v>2232.5</v>
          </cell>
        </row>
        <row r="772">
          <cell r="U772">
            <v>5241.68</v>
          </cell>
        </row>
        <row r="773">
          <cell r="U773">
            <v>698.63</v>
          </cell>
        </row>
        <row r="774">
          <cell r="U774">
            <v>1218.71</v>
          </cell>
        </row>
        <row r="775">
          <cell r="U775">
            <v>575</v>
          </cell>
        </row>
        <row r="776">
          <cell r="U776">
            <v>800</v>
          </cell>
        </row>
        <row r="777">
          <cell r="U777">
            <v>2000</v>
          </cell>
        </row>
        <row r="778">
          <cell r="U778">
            <v>9750</v>
          </cell>
        </row>
        <row r="779">
          <cell r="U779">
            <v>976.92</v>
          </cell>
        </row>
        <row r="780">
          <cell r="U780">
            <v>220</v>
          </cell>
        </row>
        <row r="781">
          <cell r="U781">
            <v>1997.1</v>
          </cell>
        </row>
        <row r="782">
          <cell r="U782">
            <v>4692.9799999999996</v>
          </cell>
        </row>
        <row r="783">
          <cell r="U783">
            <v>859.7</v>
          </cell>
        </row>
        <row r="784">
          <cell r="U784">
            <v>750</v>
          </cell>
        </row>
        <row r="785">
          <cell r="U785">
            <v>96.35</v>
          </cell>
        </row>
        <row r="786">
          <cell r="U786">
            <v>121.92</v>
          </cell>
        </row>
        <row r="787">
          <cell r="U787">
            <v>465</v>
          </cell>
        </row>
        <row r="788">
          <cell r="U788">
            <v>96</v>
          </cell>
        </row>
        <row r="789">
          <cell r="U789">
            <v>850</v>
          </cell>
        </row>
        <row r="790">
          <cell r="U790">
            <v>435</v>
          </cell>
        </row>
        <row r="791">
          <cell r="U791">
            <v>225</v>
          </cell>
        </row>
        <row r="792">
          <cell r="U792">
            <v>180</v>
          </cell>
        </row>
        <row r="793">
          <cell r="U793">
            <v>1213.5899999999999</v>
          </cell>
        </row>
        <row r="794">
          <cell r="U794">
            <v>560</v>
          </cell>
        </row>
        <row r="795">
          <cell r="U795">
            <v>200</v>
          </cell>
        </row>
        <row r="796">
          <cell r="U796">
            <v>1245</v>
          </cell>
        </row>
        <row r="797">
          <cell r="U797">
            <v>250</v>
          </cell>
        </row>
        <row r="798">
          <cell r="U798">
            <v>93.85</v>
          </cell>
        </row>
        <row r="799">
          <cell r="U799">
            <v>294.11</v>
          </cell>
        </row>
        <row r="800">
          <cell r="U800">
            <v>1036</v>
          </cell>
        </row>
        <row r="801">
          <cell r="U801">
            <v>216.82</v>
          </cell>
        </row>
        <row r="802">
          <cell r="U802">
            <v>1500</v>
          </cell>
        </row>
        <row r="803">
          <cell r="U803">
            <v>1513</v>
          </cell>
        </row>
        <row r="804">
          <cell r="U804">
            <v>125</v>
          </cell>
        </row>
        <row r="805">
          <cell r="U805">
            <v>75</v>
          </cell>
        </row>
        <row r="806">
          <cell r="U806">
            <v>59</v>
          </cell>
        </row>
        <row r="807">
          <cell r="U807">
            <v>734.75</v>
          </cell>
        </row>
        <row r="808">
          <cell r="U808">
            <v>350.99</v>
          </cell>
        </row>
        <row r="809">
          <cell r="U809">
            <v>975</v>
          </cell>
        </row>
        <row r="810">
          <cell r="U810">
            <v>327.62</v>
          </cell>
        </row>
        <row r="811">
          <cell r="U811">
            <v>3747.14</v>
          </cell>
        </row>
        <row r="812">
          <cell r="U812">
            <v>534.98</v>
          </cell>
        </row>
        <row r="813">
          <cell r="U813">
            <v>700.85</v>
          </cell>
        </row>
        <row r="814">
          <cell r="U814">
            <v>979.5</v>
          </cell>
        </row>
        <row r="815">
          <cell r="U815">
            <v>-8000</v>
          </cell>
        </row>
        <row r="816">
          <cell r="U816">
            <v>-400</v>
          </cell>
        </row>
        <row r="817">
          <cell r="U817">
            <v>-14715.82</v>
          </cell>
        </row>
        <row r="818">
          <cell r="U818">
            <v>-65787.87</v>
          </cell>
        </row>
        <row r="819">
          <cell r="U819">
            <v>-17172.05</v>
          </cell>
        </row>
        <row r="820">
          <cell r="U820">
            <v>-172581.9</v>
          </cell>
        </row>
        <row r="821">
          <cell r="U821">
            <v>-300249.28999999998</v>
          </cell>
        </row>
        <row r="822">
          <cell r="U822">
            <v>-225</v>
          </cell>
        </row>
        <row r="823">
          <cell r="U823">
            <v>-500</v>
          </cell>
        </row>
        <row r="824">
          <cell r="U824">
            <v>-87055</v>
          </cell>
        </row>
        <row r="825">
          <cell r="U825">
            <v>-1708.17</v>
          </cell>
        </row>
        <row r="826">
          <cell r="U826">
            <v>5275</v>
          </cell>
        </row>
        <row r="827">
          <cell r="U827">
            <v>565.52</v>
          </cell>
        </row>
        <row r="828">
          <cell r="U828">
            <v>2249.92</v>
          </cell>
        </row>
        <row r="829">
          <cell r="U829">
            <v>2254.34</v>
          </cell>
        </row>
        <row r="830">
          <cell r="U830">
            <v>175</v>
          </cell>
        </row>
        <row r="831">
          <cell r="U831">
            <v>3364.98</v>
          </cell>
        </row>
        <row r="832">
          <cell r="U832">
            <v>578.6</v>
          </cell>
        </row>
        <row r="833">
          <cell r="U833">
            <v>335</v>
          </cell>
        </row>
        <row r="834">
          <cell r="U834">
            <v>1371.58</v>
          </cell>
        </row>
        <row r="835">
          <cell r="U835">
            <v>467.45</v>
          </cell>
        </row>
        <row r="836">
          <cell r="U836">
            <v>73</v>
          </cell>
        </row>
        <row r="837">
          <cell r="U837">
            <v>350.3</v>
          </cell>
        </row>
        <row r="838">
          <cell r="U838">
            <v>2500</v>
          </cell>
        </row>
        <row r="839">
          <cell r="U839">
            <v>120</v>
          </cell>
        </row>
        <row r="840">
          <cell r="U840">
            <v>677.97</v>
          </cell>
        </row>
        <row r="841">
          <cell r="U841">
            <v>640</v>
          </cell>
        </row>
        <row r="842">
          <cell r="U842">
            <v>247.45</v>
          </cell>
        </row>
        <row r="843">
          <cell r="U843">
            <v>1400.29</v>
          </cell>
        </row>
        <row r="844">
          <cell r="U844">
            <v>-855.89</v>
          </cell>
        </row>
        <row r="845">
          <cell r="U845">
            <v>125</v>
          </cell>
        </row>
        <row r="846">
          <cell r="U846">
            <v>222.5</v>
          </cell>
        </row>
        <row r="847">
          <cell r="U847">
            <v>1094.21</v>
          </cell>
        </row>
        <row r="848">
          <cell r="U848">
            <v>550</v>
          </cell>
        </row>
        <row r="849">
          <cell r="U849">
            <v>350</v>
          </cell>
        </row>
        <row r="850">
          <cell r="U850">
            <v>1303.1199999999999</v>
          </cell>
        </row>
        <row r="851">
          <cell r="U851">
            <v>115</v>
          </cell>
        </row>
        <row r="852">
          <cell r="U852">
            <v>534</v>
          </cell>
        </row>
        <row r="853">
          <cell r="U853">
            <v>829</v>
          </cell>
        </row>
        <row r="854">
          <cell r="U854">
            <v>3822.18</v>
          </cell>
        </row>
        <row r="855">
          <cell r="U855">
            <v>9770</v>
          </cell>
        </row>
        <row r="856">
          <cell r="U856">
            <v>3636.08</v>
          </cell>
        </row>
        <row r="857">
          <cell r="U857">
            <v>1409</v>
          </cell>
        </row>
        <row r="858">
          <cell r="U858">
            <v>149.94999999999999</v>
          </cell>
        </row>
        <row r="859">
          <cell r="U859">
            <v>387.47</v>
          </cell>
        </row>
        <row r="860">
          <cell r="U860">
            <v>1469.21</v>
          </cell>
        </row>
        <row r="861">
          <cell r="U861">
            <v>514.79</v>
          </cell>
        </row>
        <row r="862">
          <cell r="U862">
            <v>3226.27</v>
          </cell>
        </row>
        <row r="863">
          <cell r="U863">
            <v>519.49</v>
          </cell>
        </row>
        <row r="864">
          <cell r="U864">
            <v>1392.05</v>
          </cell>
        </row>
        <row r="865">
          <cell r="U865">
            <v>5049.08</v>
          </cell>
        </row>
        <row r="866">
          <cell r="U866">
            <v>1682.04</v>
          </cell>
        </row>
        <row r="867">
          <cell r="U867">
            <v>851.65</v>
          </cell>
        </row>
        <row r="868">
          <cell r="U868">
            <v>325</v>
          </cell>
        </row>
        <row r="869">
          <cell r="U869">
            <v>167</v>
          </cell>
        </row>
        <row r="870">
          <cell r="U870">
            <v>3019.94</v>
          </cell>
        </row>
        <row r="871">
          <cell r="U871">
            <v>1175</v>
          </cell>
        </row>
        <row r="872">
          <cell r="U872">
            <v>6082.29</v>
          </cell>
        </row>
        <row r="873">
          <cell r="U873">
            <v>-1500000</v>
          </cell>
        </row>
        <row r="874">
          <cell r="U874">
            <v>6250</v>
          </cell>
        </row>
        <row r="875">
          <cell r="U875">
            <v>450</v>
          </cell>
        </row>
        <row r="876">
          <cell r="U876">
            <v>2400</v>
          </cell>
        </row>
        <row r="877">
          <cell r="U877">
            <v>19.64</v>
          </cell>
        </row>
        <row r="878">
          <cell r="U878">
            <v>6689.72</v>
          </cell>
        </row>
        <row r="879">
          <cell r="U879">
            <v>449.16</v>
          </cell>
        </row>
        <row r="880">
          <cell r="U880">
            <v>2074.2600000000002</v>
          </cell>
        </row>
        <row r="881">
          <cell r="U881">
            <v>1638.61</v>
          </cell>
        </row>
        <row r="882">
          <cell r="U882">
            <v>4969</v>
          </cell>
        </row>
        <row r="883">
          <cell r="U883">
            <v>400</v>
          </cell>
        </row>
        <row r="884">
          <cell r="U884">
            <v>3839</v>
          </cell>
        </row>
        <row r="885">
          <cell r="U885">
            <v>2165.33</v>
          </cell>
        </row>
        <row r="886">
          <cell r="U886">
            <v>6038.43</v>
          </cell>
        </row>
        <row r="887">
          <cell r="U887">
            <v>1300</v>
          </cell>
        </row>
        <row r="888">
          <cell r="U888">
            <v>800</v>
          </cell>
        </row>
        <row r="889">
          <cell r="U889">
            <v>250</v>
          </cell>
        </row>
        <row r="890">
          <cell r="U890">
            <v>1274.99</v>
          </cell>
        </row>
        <row r="891">
          <cell r="U891">
            <v>4500</v>
          </cell>
        </row>
        <row r="892">
          <cell r="U892">
            <v>1367</v>
          </cell>
        </row>
        <row r="893">
          <cell r="U893">
            <v>724</v>
          </cell>
        </row>
        <row r="894">
          <cell r="U894">
            <v>250</v>
          </cell>
        </row>
        <row r="895">
          <cell r="U895">
            <v>300</v>
          </cell>
        </row>
        <row r="896">
          <cell r="U896">
            <v>300</v>
          </cell>
        </row>
        <row r="897">
          <cell r="U897">
            <v>300</v>
          </cell>
        </row>
        <row r="898">
          <cell r="U898">
            <v>130</v>
          </cell>
        </row>
        <row r="899">
          <cell r="U899">
            <v>300</v>
          </cell>
        </row>
        <row r="900">
          <cell r="U900">
            <v>182.49</v>
          </cell>
        </row>
        <row r="901">
          <cell r="U901">
            <v>758</v>
          </cell>
        </row>
        <row r="902">
          <cell r="U902">
            <v>729.71</v>
          </cell>
        </row>
        <row r="903">
          <cell r="U903">
            <v>18000</v>
          </cell>
        </row>
        <row r="904">
          <cell r="U904">
            <v>1378.62</v>
          </cell>
        </row>
        <row r="905">
          <cell r="U905">
            <v>702</v>
          </cell>
        </row>
        <row r="906">
          <cell r="U906">
            <v>833.59</v>
          </cell>
        </row>
        <row r="907">
          <cell r="U907">
            <v>250</v>
          </cell>
        </row>
        <row r="908">
          <cell r="U908">
            <v>250</v>
          </cell>
        </row>
        <row r="909">
          <cell r="U909">
            <v>430.35</v>
          </cell>
        </row>
        <row r="910">
          <cell r="U910">
            <v>150</v>
          </cell>
        </row>
        <row r="911">
          <cell r="U911">
            <v>656</v>
          </cell>
        </row>
        <row r="912">
          <cell r="U912">
            <v>2042.93</v>
          </cell>
        </row>
        <row r="913">
          <cell r="U913">
            <v>350</v>
          </cell>
        </row>
        <row r="914">
          <cell r="U914">
            <v>300</v>
          </cell>
        </row>
        <row r="915">
          <cell r="U915">
            <v>110</v>
          </cell>
        </row>
        <row r="916">
          <cell r="U916">
            <v>8864.65</v>
          </cell>
        </row>
        <row r="917">
          <cell r="U917">
            <v>100</v>
          </cell>
        </row>
        <row r="918">
          <cell r="U918">
            <v>1257.44</v>
          </cell>
        </row>
        <row r="919">
          <cell r="U919">
            <v>1200</v>
          </cell>
        </row>
        <row r="920">
          <cell r="U920">
            <v>458</v>
          </cell>
        </row>
        <row r="921">
          <cell r="U921">
            <v>60</v>
          </cell>
        </row>
        <row r="922">
          <cell r="U922">
            <v>900</v>
          </cell>
        </row>
        <row r="923">
          <cell r="U923">
            <v>1549</v>
          </cell>
        </row>
        <row r="924">
          <cell r="U924">
            <v>789</v>
          </cell>
        </row>
        <row r="925">
          <cell r="U925">
            <v>7496.73</v>
          </cell>
        </row>
        <row r="926">
          <cell r="U926">
            <v>359.6</v>
          </cell>
        </row>
        <row r="927">
          <cell r="U927">
            <v>438</v>
          </cell>
        </row>
        <row r="928">
          <cell r="U928">
            <v>3500</v>
          </cell>
        </row>
        <row r="929">
          <cell r="U929">
            <v>200</v>
          </cell>
        </row>
        <row r="930">
          <cell r="U930">
            <v>274</v>
          </cell>
        </row>
        <row r="931">
          <cell r="U931">
            <v>274</v>
          </cell>
        </row>
        <row r="932">
          <cell r="U932">
            <v>855.89</v>
          </cell>
        </row>
        <row r="933">
          <cell r="U933">
            <v>628.46</v>
          </cell>
        </row>
        <row r="934">
          <cell r="U934">
            <v>2137.42</v>
          </cell>
        </row>
        <row r="935">
          <cell r="U935">
            <v>290</v>
          </cell>
        </row>
        <row r="936">
          <cell r="U936">
            <v>300</v>
          </cell>
        </row>
        <row r="937">
          <cell r="U937">
            <v>200</v>
          </cell>
        </row>
        <row r="938">
          <cell r="U938">
            <v>300</v>
          </cell>
        </row>
        <row r="939">
          <cell r="U939">
            <v>930.15</v>
          </cell>
        </row>
        <row r="940">
          <cell r="U940">
            <v>150</v>
          </cell>
        </row>
        <row r="941">
          <cell r="U941">
            <v>100</v>
          </cell>
        </row>
        <row r="942">
          <cell r="U942">
            <v>8500</v>
          </cell>
        </row>
        <row r="943">
          <cell r="U943">
            <v>133.28</v>
          </cell>
        </row>
        <row r="944">
          <cell r="U944">
            <v>1350</v>
          </cell>
        </row>
        <row r="945">
          <cell r="U945">
            <v>4000</v>
          </cell>
        </row>
        <row r="946">
          <cell r="U946">
            <v>1129.8800000000001</v>
          </cell>
        </row>
        <row r="947">
          <cell r="U947">
            <v>180</v>
          </cell>
        </row>
        <row r="948">
          <cell r="U948">
            <v>114.1</v>
          </cell>
        </row>
        <row r="949">
          <cell r="U949">
            <v>137</v>
          </cell>
        </row>
        <row r="950">
          <cell r="U950">
            <v>50</v>
          </cell>
        </row>
        <row r="951">
          <cell r="U951">
            <v>331</v>
          </cell>
        </row>
        <row r="952">
          <cell r="U952">
            <v>237</v>
          </cell>
        </row>
        <row r="953">
          <cell r="U953">
            <v>92</v>
          </cell>
        </row>
        <row r="954">
          <cell r="U954">
            <v>350</v>
          </cell>
        </row>
        <row r="955">
          <cell r="U955">
            <v>1594.95</v>
          </cell>
        </row>
        <row r="956">
          <cell r="U956">
            <v>319.3</v>
          </cell>
        </row>
        <row r="957">
          <cell r="U957">
            <v>415</v>
          </cell>
        </row>
        <row r="958">
          <cell r="U958">
            <v>3500</v>
          </cell>
        </row>
        <row r="959">
          <cell r="U959">
            <v>2929.7</v>
          </cell>
        </row>
        <row r="960">
          <cell r="U960">
            <v>1468.55</v>
          </cell>
        </row>
        <row r="961">
          <cell r="U961">
            <v>843</v>
          </cell>
        </row>
        <row r="962">
          <cell r="U962">
            <v>750</v>
          </cell>
        </row>
        <row r="963">
          <cell r="U963">
            <v>400</v>
          </cell>
        </row>
        <row r="964">
          <cell r="U964">
            <v>9643.8799999999992</v>
          </cell>
        </row>
        <row r="965">
          <cell r="U965">
            <v>650.78</v>
          </cell>
        </row>
        <row r="966">
          <cell r="U966">
            <v>2933.5</v>
          </cell>
        </row>
        <row r="967">
          <cell r="U967">
            <v>399</v>
          </cell>
        </row>
        <row r="968">
          <cell r="U968">
            <v>1273</v>
          </cell>
        </row>
        <row r="969">
          <cell r="U969">
            <v>580.47</v>
          </cell>
        </row>
        <row r="970">
          <cell r="U970">
            <v>227</v>
          </cell>
        </row>
        <row r="971">
          <cell r="U971">
            <v>65000</v>
          </cell>
        </row>
        <row r="972">
          <cell r="U972">
            <v>569</v>
          </cell>
        </row>
        <row r="973">
          <cell r="U973">
            <v>2574.7199999999998</v>
          </cell>
        </row>
        <row r="974">
          <cell r="U974">
            <v>27.63</v>
          </cell>
        </row>
        <row r="975">
          <cell r="U975">
            <v>247</v>
          </cell>
        </row>
        <row r="976">
          <cell r="U976">
            <v>15</v>
          </cell>
        </row>
        <row r="977">
          <cell r="U977">
            <v>825</v>
          </cell>
        </row>
        <row r="978">
          <cell r="U978">
            <v>1000</v>
          </cell>
        </row>
        <row r="979">
          <cell r="U979">
            <v>1740</v>
          </cell>
        </row>
        <row r="980">
          <cell r="U980">
            <v>1227.6300000000001</v>
          </cell>
        </row>
        <row r="981">
          <cell r="U981">
            <v>708</v>
          </cell>
        </row>
        <row r="982">
          <cell r="U982">
            <v>200</v>
          </cell>
        </row>
        <row r="983">
          <cell r="U983">
            <v>854</v>
          </cell>
        </row>
        <row r="984">
          <cell r="U984">
            <v>966.04</v>
          </cell>
        </row>
        <row r="985">
          <cell r="U985">
            <v>107</v>
          </cell>
        </row>
        <row r="986">
          <cell r="U986">
            <v>1750</v>
          </cell>
        </row>
        <row r="987">
          <cell r="U987">
            <v>1887.23</v>
          </cell>
        </row>
        <row r="988">
          <cell r="U988">
            <v>1615.79</v>
          </cell>
        </row>
        <row r="989">
          <cell r="U989">
            <v>1852.55</v>
          </cell>
        </row>
        <row r="990">
          <cell r="U990">
            <v>200</v>
          </cell>
        </row>
        <row r="991">
          <cell r="U991">
            <v>3600</v>
          </cell>
        </row>
        <row r="992">
          <cell r="U992">
            <v>5020.4399999999996</v>
          </cell>
        </row>
        <row r="993">
          <cell r="U993">
            <v>431.95</v>
          </cell>
        </row>
        <row r="994">
          <cell r="U994">
            <v>150</v>
          </cell>
        </row>
        <row r="995">
          <cell r="U995">
            <v>1150</v>
          </cell>
        </row>
        <row r="996">
          <cell r="U996">
            <v>1200</v>
          </cell>
        </row>
        <row r="997">
          <cell r="U997">
            <v>258.5</v>
          </cell>
        </row>
        <row r="998">
          <cell r="U998">
            <v>400</v>
          </cell>
        </row>
        <row r="999">
          <cell r="U999">
            <v>170</v>
          </cell>
        </row>
        <row r="1000">
          <cell r="U1000">
            <v>405</v>
          </cell>
        </row>
        <row r="1001">
          <cell r="U1001">
            <v>299.27999999999997</v>
          </cell>
        </row>
        <row r="1002">
          <cell r="U1002">
            <v>1868</v>
          </cell>
        </row>
        <row r="1003">
          <cell r="U1003">
            <v>3610.28</v>
          </cell>
        </row>
        <row r="1004">
          <cell r="U1004">
            <v>2750</v>
          </cell>
        </row>
        <row r="1005">
          <cell r="U1005">
            <v>182</v>
          </cell>
        </row>
        <row r="1006">
          <cell r="U1006">
            <v>3352.42</v>
          </cell>
        </row>
        <row r="1007">
          <cell r="U1007">
            <v>150</v>
          </cell>
        </row>
        <row r="1008">
          <cell r="U1008">
            <v>19083.73</v>
          </cell>
        </row>
        <row r="1009">
          <cell r="U1009">
            <v>4413.57</v>
          </cell>
        </row>
        <row r="1010">
          <cell r="U1010">
            <v>3938.91</v>
          </cell>
        </row>
        <row r="1011">
          <cell r="U1011">
            <v>1657.12</v>
          </cell>
        </row>
        <row r="1012">
          <cell r="U1012">
            <v>300</v>
          </cell>
        </row>
        <row r="1013">
          <cell r="U1013">
            <v>240</v>
          </cell>
        </row>
        <row r="1014">
          <cell r="U1014">
            <v>765</v>
          </cell>
        </row>
        <row r="1015">
          <cell r="U1015">
            <v>3450</v>
          </cell>
        </row>
        <row r="1016">
          <cell r="U1016">
            <v>200</v>
          </cell>
        </row>
        <row r="1017">
          <cell r="U1017">
            <v>865.32</v>
          </cell>
        </row>
        <row r="1018">
          <cell r="U1018">
            <v>906</v>
          </cell>
        </row>
        <row r="1019">
          <cell r="U1019">
            <v>18</v>
          </cell>
        </row>
        <row r="1020">
          <cell r="U1020">
            <v>434.06</v>
          </cell>
        </row>
        <row r="1021">
          <cell r="U1021">
            <v>150</v>
          </cell>
        </row>
        <row r="1022">
          <cell r="U1022">
            <v>4300.82</v>
          </cell>
        </row>
        <row r="1023">
          <cell r="U1023">
            <v>237</v>
          </cell>
        </row>
        <row r="1024">
          <cell r="U1024">
            <v>100</v>
          </cell>
        </row>
        <row r="1025">
          <cell r="U1025">
            <v>176</v>
          </cell>
        </row>
        <row r="1026">
          <cell r="U1026">
            <v>1797</v>
          </cell>
        </row>
        <row r="1027">
          <cell r="U1027">
            <v>386.2</v>
          </cell>
        </row>
        <row r="1028">
          <cell r="U1028">
            <v>258</v>
          </cell>
        </row>
        <row r="1029">
          <cell r="U1029">
            <v>126</v>
          </cell>
        </row>
        <row r="1030">
          <cell r="U1030">
            <v>1055</v>
          </cell>
        </row>
        <row r="1031">
          <cell r="U1031">
            <v>104200</v>
          </cell>
        </row>
        <row r="1032">
          <cell r="U1032">
            <v>7395.66</v>
          </cell>
        </row>
        <row r="1033">
          <cell r="U1033">
            <v>1705.77</v>
          </cell>
        </row>
        <row r="1034">
          <cell r="U1034">
            <v>532</v>
          </cell>
        </row>
        <row r="1035">
          <cell r="U1035">
            <v>450.98</v>
          </cell>
        </row>
        <row r="1036">
          <cell r="U1036">
            <v>469</v>
          </cell>
        </row>
        <row r="1037">
          <cell r="U1037">
            <v>2755.25</v>
          </cell>
        </row>
        <row r="1038">
          <cell r="U1038">
            <v>200</v>
          </cell>
        </row>
        <row r="1039">
          <cell r="U1039">
            <v>259.99</v>
          </cell>
        </row>
        <row r="1040">
          <cell r="U1040">
            <v>684</v>
          </cell>
        </row>
        <row r="1041">
          <cell r="U1041">
            <v>175</v>
          </cell>
        </row>
        <row r="1042">
          <cell r="U1042">
            <v>723</v>
          </cell>
        </row>
        <row r="1043">
          <cell r="U1043">
            <v>4500</v>
          </cell>
        </row>
        <row r="1044">
          <cell r="U1044">
            <v>100</v>
          </cell>
        </row>
        <row r="1045">
          <cell r="U1045">
            <v>1360.8</v>
          </cell>
        </row>
        <row r="1046">
          <cell r="U1046">
            <v>3843.66</v>
          </cell>
        </row>
        <row r="1047">
          <cell r="U1047">
            <v>3043.6</v>
          </cell>
        </row>
        <row r="1048">
          <cell r="U1048">
            <v>1350</v>
          </cell>
        </row>
        <row r="1049">
          <cell r="U1049">
            <v>2534</v>
          </cell>
        </row>
        <row r="1050">
          <cell r="U1050">
            <v>430</v>
          </cell>
        </row>
        <row r="1051">
          <cell r="U1051">
            <v>120</v>
          </cell>
        </row>
        <row r="1052">
          <cell r="U1052">
            <v>149</v>
          </cell>
        </row>
        <row r="1053">
          <cell r="U1053">
            <v>175</v>
          </cell>
        </row>
        <row r="1054">
          <cell r="U1054">
            <v>829.56</v>
          </cell>
        </row>
        <row r="1055">
          <cell r="U1055">
            <v>1995.99</v>
          </cell>
        </row>
        <row r="1056">
          <cell r="U1056">
            <v>-8500</v>
          </cell>
        </row>
        <row r="1057">
          <cell r="U1057">
            <v>-124576.88</v>
          </cell>
        </row>
        <row r="1058">
          <cell r="U1058">
            <v>-13770</v>
          </cell>
        </row>
        <row r="1059">
          <cell r="U1059">
            <v>-91304.57</v>
          </cell>
        </row>
        <row r="1060">
          <cell r="U1060">
            <v>-143151.20000000001</v>
          </cell>
        </row>
        <row r="1061">
          <cell r="U1061">
            <v>-11895.66</v>
          </cell>
        </row>
        <row r="1062">
          <cell r="U1062">
            <v>1386800</v>
          </cell>
        </row>
        <row r="1063">
          <cell r="U1063">
            <v>359.51</v>
          </cell>
        </row>
        <row r="1064">
          <cell r="U1064">
            <v>496.98</v>
          </cell>
        </row>
        <row r="1065">
          <cell r="U1065">
            <v>161.62</v>
          </cell>
        </row>
        <row r="1066">
          <cell r="U1066">
            <v>425</v>
          </cell>
        </row>
        <row r="1067">
          <cell r="U1067">
            <v>1110.6400000000001</v>
          </cell>
        </row>
        <row r="1068">
          <cell r="U1068">
            <v>437.98</v>
          </cell>
        </row>
        <row r="1069">
          <cell r="U1069">
            <v>50</v>
          </cell>
        </row>
        <row r="1070">
          <cell r="U1070">
            <v>258</v>
          </cell>
        </row>
        <row r="1071">
          <cell r="U1071">
            <v>418.79</v>
          </cell>
        </row>
        <row r="1072">
          <cell r="U1072">
            <v>2270</v>
          </cell>
        </row>
        <row r="1073">
          <cell r="U1073">
            <v>115</v>
          </cell>
        </row>
        <row r="1074">
          <cell r="U1074">
            <v>354</v>
          </cell>
        </row>
        <row r="1075">
          <cell r="U1075">
            <v>370.11</v>
          </cell>
        </row>
        <row r="1076">
          <cell r="U1076">
            <v>450</v>
          </cell>
        </row>
        <row r="1077">
          <cell r="U1077">
            <v>389.37</v>
          </cell>
        </row>
        <row r="1078">
          <cell r="U1078">
            <v>2143.8000000000002</v>
          </cell>
        </row>
        <row r="1079">
          <cell r="U1079">
            <v>3917</v>
          </cell>
        </row>
        <row r="1080">
          <cell r="U1080">
            <v>258.11</v>
          </cell>
        </row>
        <row r="1081">
          <cell r="U1081">
            <v>2679.45</v>
          </cell>
        </row>
        <row r="1082">
          <cell r="U1082">
            <v>5647.83</v>
          </cell>
        </row>
        <row r="1083">
          <cell r="U1083">
            <v>1788.18</v>
          </cell>
        </row>
        <row r="1084">
          <cell r="U1084">
            <v>658.64</v>
          </cell>
        </row>
        <row r="1085">
          <cell r="U1085">
            <v>1166.54</v>
          </cell>
        </row>
        <row r="1086">
          <cell r="U1086">
            <v>1925</v>
          </cell>
        </row>
        <row r="1087">
          <cell r="U1087">
            <v>698.46</v>
          </cell>
        </row>
        <row r="1088">
          <cell r="U1088">
            <v>783</v>
          </cell>
        </row>
        <row r="1089">
          <cell r="U1089">
            <v>430</v>
          </cell>
        </row>
        <row r="1090">
          <cell r="U1090">
            <v>2000</v>
          </cell>
        </row>
        <row r="1091">
          <cell r="U1091">
            <v>3167.18</v>
          </cell>
        </row>
        <row r="1092">
          <cell r="U1092">
            <v>977</v>
          </cell>
        </row>
        <row r="1093">
          <cell r="U1093">
            <v>100</v>
          </cell>
        </row>
        <row r="1094">
          <cell r="U1094">
            <v>105</v>
          </cell>
        </row>
        <row r="1095">
          <cell r="U1095">
            <v>192</v>
          </cell>
        </row>
        <row r="1096">
          <cell r="U1096">
            <v>100</v>
          </cell>
        </row>
        <row r="1097">
          <cell r="U1097">
            <v>143.76</v>
          </cell>
        </row>
        <row r="1098">
          <cell r="U1098">
            <v>250</v>
          </cell>
        </row>
        <row r="1099">
          <cell r="U1099">
            <v>1225.95</v>
          </cell>
        </row>
        <row r="1100">
          <cell r="U1100">
            <v>1736.92</v>
          </cell>
        </row>
        <row r="1101">
          <cell r="U1101">
            <v>384.16</v>
          </cell>
        </row>
        <row r="1102">
          <cell r="U1102">
            <v>430000</v>
          </cell>
        </row>
        <row r="1103">
          <cell r="U1103">
            <v>1290.45</v>
          </cell>
        </row>
        <row r="1104">
          <cell r="U1104">
            <v>1647</v>
          </cell>
        </row>
        <row r="1105">
          <cell r="U1105">
            <v>1242.77</v>
          </cell>
        </row>
        <row r="1106">
          <cell r="U1106">
            <v>650.66</v>
          </cell>
        </row>
        <row r="1107">
          <cell r="U1107">
            <v>1064.5999999999999</v>
          </cell>
        </row>
        <row r="1108">
          <cell r="U1108">
            <v>1155</v>
          </cell>
        </row>
        <row r="1109">
          <cell r="U1109">
            <v>159</v>
          </cell>
        </row>
        <row r="1110">
          <cell r="U1110">
            <v>1300</v>
          </cell>
        </row>
        <row r="1111">
          <cell r="U1111">
            <v>725</v>
          </cell>
        </row>
        <row r="1112">
          <cell r="U1112">
            <v>967.15</v>
          </cell>
        </row>
        <row r="1113">
          <cell r="U1113">
            <v>665.3</v>
          </cell>
        </row>
        <row r="1114">
          <cell r="U1114">
            <v>1992</v>
          </cell>
        </row>
        <row r="1115">
          <cell r="U1115">
            <v>29010</v>
          </cell>
        </row>
        <row r="1116">
          <cell r="U1116">
            <v>800</v>
          </cell>
        </row>
        <row r="1117">
          <cell r="U1117">
            <v>475</v>
          </cell>
        </row>
        <row r="1118">
          <cell r="U1118">
            <v>500</v>
          </cell>
        </row>
        <row r="1119">
          <cell r="U1119">
            <v>800</v>
          </cell>
        </row>
        <row r="1120">
          <cell r="U1120">
            <v>200</v>
          </cell>
        </row>
        <row r="1121">
          <cell r="U1121">
            <v>200</v>
          </cell>
        </row>
        <row r="1122">
          <cell r="U1122">
            <v>742</v>
          </cell>
        </row>
        <row r="1123">
          <cell r="U1123">
            <v>81</v>
          </cell>
        </row>
        <row r="1124">
          <cell r="U1124">
            <v>168</v>
          </cell>
        </row>
        <row r="1125">
          <cell r="U1125">
            <v>150</v>
          </cell>
        </row>
        <row r="1126">
          <cell r="U1126">
            <v>1370</v>
          </cell>
        </row>
        <row r="1127">
          <cell r="U1127">
            <v>525</v>
          </cell>
        </row>
        <row r="1128">
          <cell r="U1128">
            <v>5531.01</v>
          </cell>
        </row>
        <row r="1129">
          <cell r="U1129">
            <v>3000</v>
          </cell>
        </row>
        <row r="1130">
          <cell r="U1130">
            <v>5995.01</v>
          </cell>
        </row>
        <row r="1131">
          <cell r="U1131">
            <v>26375</v>
          </cell>
        </row>
        <row r="1132">
          <cell r="U1132">
            <v>843.73</v>
          </cell>
        </row>
        <row r="1133">
          <cell r="U1133">
            <v>829</v>
          </cell>
        </row>
        <row r="1134">
          <cell r="U1134">
            <v>392</v>
          </cell>
        </row>
        <row r="1135">
          <cell r="U1135">
            <v>664</v>
          </cell>
        </row>
        <row r="1136">
          <cell r="U1136">
            <v>6783</v>
          </cell>
        </row>
        <row r="1137">
          <cell r="U1137">
            <v>4478.3999999999996</v>
          </cell>
        </row>
        <row r="1138">
          <cell r="U1138">
            <v>2074.9899999999998</v>
          </cell>
        </row>
        <row r="1139">
          <cell r="U1139">
            <v>800</v>
          </cell>
        </row>
        <row r="1140">
          <cell r="U1140">
            <v>8359</v>
          </cell>
        </row>
        <row r="1141">
          <cell r="U1141">
            <v>1600</v>
          </cell>
        </row>
        <row r="1142">
          <cell r="U1142">
            <v>1900</v>
          </cell>
        </row>
        <row r="1143">
          <cell r="U1143">
            <v>160</v>
          </cell>
        </row>
        <row r="1144">
          <cell r="U1144">
            <v>1388</v>
          </cell>
        </row>
        <row r="1145">
          <cell r="U1145">
            <v>1156.79</v>
          </cell>
        </row>
        <row r="1146">
          <cell r="U1146">
            <v>550</v>
          </cell>
        </row>
        <row r="1147">
          <cell r="U1147">
            <v>25000</v>
          </cell>
        </row>
        <row r="1148">
          <cell r="U1148">
            <v>2502</v>
          </cell>
        </row>
        <row r="1149">
          <cell r="U1149">
            <v>8368.52</v>
          </cell>
        </row>
        <row r="1150">
          <cell r="U1150">
            <v>601</v>
          </cell>
        </row>
        <row r="1151">
          <cell r="U1151">
            <v>19601.86</v>
          </cell>
        </row>
        <row r="1152">
          <cell r="U1152">
            <v>120</v>
          </cell>
        </row>
        <row r="1153">
          <cell r="U1153">
            <v>79</v>
          </cell>
        </row>
        <row r="1154">
          <cell r="U1154">
            <v>580</v>
          </cell>
        </row>
        <row r="1155">
          <cell r="U1155">
            <v>158500</v>
          </cell>
        </row>
        <row r="1156">
          <cell r="U1156">
            <v>74800</v>
          </cell>
        </row>
        <row r="1157">
          <cell r="U1157">
            <v>250</v>
          </cell>
        </row>
        <row r="1158">
          <cell r="U1158">
            <v>996.27</v>
          </cell>
        </row>
        <row r="1159">
          <cell r="U1159">
            <v>30</v>
          </cell>
        </row>
        <row r="1160">
          <cell r="U1160">
            <v>978</v>
          </cell>
        </row>
        <row r="1161">
          <cell r="U1161">
            <v>254.61</v>
          </cell>
        </row>
        <row r="1162">
          <cell r="U1162">
            <v>50</v>
          </cell>
        </row>
        <row r="1163">
          <cell r="U1163">
            <v>577.66999999999996</v>
          </cell>
        </row>
        <row r="1164">
          <cell r="U1164">
            <v>599</v>
          </cell>
        </row>
        <row r="1165">
          <cell r="U1165">
            <v>750</v>
          </cell>
        </row>
        <row r="1166">
          <cell r="U1166">
            <v>135</v>
          </cell>
        </row>
        <row r="1167">
          <cell r="U1167">
            <v>110</v>
          </cell>
        </row>
        <row r="1168">
          <cell r="U1168">
            <v>4373.8599999999997</v>
          </cell>
        </row>
        <row r="1169">
          <cell r="U1169">
            <v>3000</v>
          </cell>
        </row>
        <row r="1170">
          <cell r="U1170">
            <v>2486.98</v>
          </cell>
        </row>
        <row r="1171">
          <cell r="U1171">
            <v>3200</v>
          </cell>
        </row>
        <row r="1172">
          <cell r="U1172">
            <v>999.69</v>
          </cell>
        </row>
        <row r="1173">
          <cell r="U1173">
            <v>3191.93</v>
          </cell>
        </row>
        <row r="1174">
          <cell r="U1174">
            <v>549.72</v>
          </cell>
        </row>
        <row r="1175">
          <cell r="U1175">
            <v>3642.83</v>
          </cell>
        </row>
        <row r="1176">
          <cell r="U1176">
            <v>5021.5200000000004</v>
          </cell>
        </row>
        <row r="1177">
          <cell r="U1177">
            <v>2744.04</v>
          </cell>
        </row>
        <row r="1178">
          <cell r="U1178">
            <v>204</v>
          </cell>
        </row>
        <row r="1179">
          <cell r="U1179">
            <v>2191.6</v>
          </cell>
        </row>
        <row r="1180">
          <cell r="U1180">
            <v>5103.71</v>
          </cell>
        </row>
        <row r="1181">
          <cell r="U1181">
            <v>1665.19</v>
          </cell>
        </row>
        <row r="1182">
          <cell r="U1182">
            <v>982.68</v>
          </cell>
        </row>
        <row r="1183">
          <cell r="U1183">
            <v>8164.63</v>
          </cell>
        </row>
        <row r="1184">
          <cell r="U1184">
            <v>269.48</v>
          </cell>
        </row>
        <row r="1185">
          <cell r="U1185">
            <v>1417.26</v>
          </cell>
        </row>
        <row r="1186">
          <cell r="U1186">
            <v>4782.82</v>
          </cell>
        </row>
        <row r="1187">
          <cell r="U1187">
            <v>132</v>
          </cell>
        </row>
        <row r="1188">
          <cell r="U1188">
            <v>2487.8000000000002</v>
          </cell>
        </row>
        <row r="1189">
          <cell r="U1189">
            <v>1885</v>
          </cell>
        </row>
        <row r="1190">
          <cell r="U1190">
            <v>80000</v>
          </cell>
        </row>
        <row r="1191">
          <cell r="U1191">
            <v>4997.16</v>
          </cell>
        </row>
        <row r="1192">
          <cell r="U1192">
            <v>1148</v>
          </cell>
        </row>
        <row r="1193">
          <cell r="U1193">
            <v>664.95</v>
          </cell>
        </row>
        <row r="1194">
          <cell r="U1194">
            <v>22566.17</v>
          </cell>
        </row>
        <row r="1195">
          <cell r="U1195">
            <v>740</v>
          </cell>
        </row>
        <row r="1196">
          <cell r="U1196">
            <v>50000</v>
          </cell>
        </row>
        <row r="1197">
          <cell r="U1197">
            <v>2995.06</v>
          </cell>
        </row>
        <row r="1198">
          <cell r="U1198">
            <v>574.92999999999995</v>
          </cell>
        </row>
        <row r="1199">
          <cell r="U1199">
            <v>125</v>
          </cell>
        </row>
        <row r="1200">
          <cell r="U1200">
            <v>100</v>
          </cell>
        </row>
        <row r="1201">
          <cell r="U1201">
            <v>196.83</v>
          </cell>
        </row>
        <row r="1202">
          <cell r="U1202">
            <v>1450</v>
          </cell>
        </row>
        <row r="1203">
          <cell r="U1203">
            <v>115</v>
          </cell>
        </row>
        <row r="1204">
          <cell r="U1204">
            <v>523.11</v>
          </cell>
        </row>
        <row r="1205">
          <cell r="U1205">
            <v>715.18</v>
          </cell>
        </row>
        <row r="1206">
          <cell r="U1206">
            <v>1021.34</v>
          </cell>
        </row>
        <row r="1207">
          <cell r="U1207">
            <v>1051.1500000000001</v>
          </cell>
        </row>
        <row r="1208">
          <cell r="U1208">
            <v>536</v>
          </cell>
        </row>
        <row r="1209">
          <cell r="U1209">
            <v>1156</v>
          </cell>
        </row>
        <row r="1210">
          <cell r="U1210">
            <v>3750</v>
          </cell>
        </row>
        <row r="1211">
          <cell r="U1211">
            <v>496.36</v>
          </cell>
        </row>
        <row r="1212">
          <cell r="U1212">
            <v>29.08</v>
          </cell>
        </row>
        <row r="1213">
          <cell r="U1213">
            <v>45000</v>
          </cell>
        </row>
        <row r="1214">
          <cell r="U1214">
            <v>200</v>
          </cell>
        </row>
        <row r="1215">
          <cell r="U1215">
            <v>8834.52</v>
          </cell>
        </row>
        <row r="1216">
          <cell r="U1216">
            <v>550</v>
          </cell>
        </row>
        <row r="1217">
          <cell r="U1217">
            <v>957.82</v>
          </cell>
        </row>
        <row r="1218">
          <cell r="U1218">
            <v>1462.86</v>
          </cell>
        </row>
        <row r="1219">
          <cell r="U1219">
            <v>519.98</v>
          </cell>
        </row>
        <row r="1220">
          <cell r="U1220">
            <v>931</v>
          </cell>
        </row>
        <row r="1221">
          <cell r="U1221">
            <v>200</v>
          </cell>
        </row>
        <row r="1222">
          <cell r="U1222">
            <v>425</v>
          </cell>
        </row>
        <row r="1223">
          <cell r="U1223">
            <v>1851.5</v>
          </cell>
        </row>
        <row r="1224">
          <cell r="U1224">
            <v>5630.79</v>
          </cell>
        </row>
        <row r="1225">
          <cell r="U1225">
            <v>7590</v>
          </cell>
        </row>
        <row r="1226">
          <cell r="U1226">
            <v>1752</v>
          </cell>
        </row>
        <row r="1227">
          <cell r="U1227">
            <v>1334.74</v>
          </cell>
        </row>
        <row r="1228">
          <cell r="U1228">
            <v>1834.45</v>
          </cell>
        </row>
        <row r="1229">
          <cell r="U1229">
            <v>871.3</v>
          </cell>
        </row>
        <row r="1230">
          <cell r="U1230">
            <v>3797.05</v>
          </cell>
        </row>
        <row r="1231">
          <cell r="U1231">
            <v>76.47</v>
          </cell>
        </row>
        <row r="1232">
          <cell r="U1232">
            <v>103.67</v>
          </cell>
        </row>
        <row r="1233">
          <cell r="U1233">
            <v>974.53</v>
          </cell>
        </row>
        <row r="1234">
          <cell r="U1234">
            <v>3700</v>
          </cell>
        </row>
        <row r="1235">
          <cell r="U1235">
            <v>284.99</v>
          </cell>
        </row>
        <row r="1236">
          <cell r="U1236">
            <v>1223</v>
          </cell>
        </row>
        <row r="1237">
          <cell r="U1237">
            <v>208.28</v>
          </cell>
        </row>
        <row r="1238">
          <cell r="U1238">
            <v>100</v>
          </cell>
        </row>
        <row r="1239">
          <cell r="U1239">
            <v>2500</v>
          </cell>
        </row>
        <row r="1240">
          <cell r="U1240">
            <v>2955</v>
          </cell>
        </row>
        <row r="1241">
          <cell r="U1241">
            <v>5028.74</v>
          </cell>
        </row>
        <row r="1242">
          <cell r="U1242">
            <v>150</v>
          </cell>
        </row>
        <row r="1243">
          <cell r="U1243">
            <v>700</v>
          </cell>
        </row>
        <row r="1244">
          <cell r="U1244">
            <v>54</v>
          </cell>
        </row>
        <row r="1245">
          <cell r="U1245">
            <v>969</v>
          </cell>
        </row>
        <row r="1246">
          <cell r="U1246">
            <v>3938</v>
          </cell>
        </row>
        <row r="1247">
          <cell r="U1247">
            <v>3772</v>
          </cell>
        </row>
        <row r="1248">
          <cell r="U1248">
            <v>5130</v>
          </cell>
        </row>
        <row r="1249">
          <cell r="U1249">
            <v>1675.55</v>
          </cell>
        </row>
        <row r="1250">
          <cell r="U1250">
            <v>2705</v>
          </cell>
        </row>
        <row r="1251">
          <cell r="U1251">
            <v>375.28</v>
          </cell>
        </row>
        <row r="1252">
          <cell r="U1252">
            <v>10866.34</v>
          </cell>
        </row>
        <row r="1253">
          <cell r="U1253">
            <v>12000</v>
          </cell>
        </row>
        <row r="1254">
          <cell r="U1254">
            <v>357.18</v>
          </cell>
        </row>
        <row r="1255">
          <cell r="U1255">
            <v>2756.4</v>
          </cell>
        </row>
        <row r="1256">
          <cell r="U1256">
            <v>5106.43</v>
          </cell>
        </row>
        <row r="1257">
          <cell r="U1257">
            <v>396.61</v>
          </cell>
        </row>
        <row r="1258">
          <cell r="U1258">
            <v>6125.02</v>
          </cell>
        </row>
        <row r="1259">
          <cell r="U1259">
            <v>1550.56</v>
          </cell>
        </row>
        <row r="1260">
          <cell r="U1260">
            <v>2598.27</v>
          </cell>
        </row>
        <row r="1261">
          <cell r="U1261">
            <v>614.91</v>
          </cell>
        </row>
        <row r="1262">
          <cell r="U1262">
            <v>492</v>
          </cell>
        </row>
        <row r="1263">
          <cell r="U1263">
            <v>36.93</v>
          </cell>
        </row>
        <row r="1264">
          <cell r="U1264">
            <v>62.43</v>
          </cell>
        </row>
        <row r="1265">
          <cell r="U1265">
            <v>325</v>
          </cell>
        </row>
        <row r="1266">
          <cell r="U1266">
            <v>1295</v>
          </cell>
        </row>
        <row r="1267">
          <cell r="U1267">
            <v>417.59</v>
          </cell>
        </row>
        <row r="1268">
          <cell r="U1268">
            <v>29.6</v>
          </cell>
        </row>
        <row r="1269">
          <cell r="U1269">
            <v>14355.52</v>
          </cell>
        </row>
        <row r="1270">
          <cell r="U1270">
            <v>450</v>
          </cell>
        </row>
        <row r="1271">
          <cell r="U1271">
            <v>214.8</v>
          </cell>
        </row>
        <row r="1272">
          <cell r="U1272">
            <v>780</v>
          </cell>
        </row>
        <row r="1273">
          <cell r="U1273">
            <v>949</v>
          </cell>
        </row>
        <row r="1274">
          <cell r="U1274">
            <v>730.32</v>
          </cell>
        </row>
        <row r="1275">
          <cell r="U1275">
            <v>913.23</v>
          </cell>
        </row>
        <row r="1276">
          <cell r="U1276">
            <v>600</v>
          </cell>
        </row>
        <row r="1277">
          <cell r="U1277">
            <v>1187.8499999999999</v>
          </cell>
        </row>
        <row r="1278">
          <cell r="U1278">
            <v>200</v>
          </cell>
        </row>
        <row r="1279">
          <cell r="U1279">
            <v>681.56</v>
          </cell>
        </row>
        <row r="1280">
          <cell r="U1280">
            <v>95.96</v>
          </cell>
        </row>
        <row r="1281">
          <cell r="U1281">
            <v>6500</v>
          </cell>
        </row>
        <row r="1282">
          <cell r="U1282">
            <v>2821.14</v>
          </cell>
        </row>
        <row r="1283">
          <cell r="U1283">
            <v>-425</v>
          </cell>
        </row>
        <row r="1284">
          <cell r="U1284">
            <v>-3500</v>
          </cell>
        </row>
        <row r="1285">
          <cell r="U1285">
            <v>10000</v>
          </cell>
        </row>
        <row r="1286">
          <cell r="U1286">
            <v>-8000</v>
          </cell>
        </row>
        <row r="1287">
          <cell r="U1287">
            <v>-17000</v>
          </cell>
        </row>
        <row r="1288">
          <cell r="U1288">
            <v>475.9</v>
          </cell>
        </row>
        <row r="1289">
          <cell r="U1289">
            <v>100</v>
          </cell>
        </row>
        <row r="1290">
          <cell r="U1290">
            <v>-380957.61</v>
          </cell>
        </row>
        <row r="1291">
          <cell r="U1291">
            <v>-559373.86</v>
          </cell>
        </row>
        <row r="1292">
          <cell r="U1292">
            <v>-2756.4</v>
          </cell>
        </row>
        <row r="1293">
          <cell r="U1293">
            <v>-6500</v>
          </cell>
        </row>
        <row r="1294">
          <cell r="U1294">
            <v>-57182.6</v>
          </cell>
        </row>
        <row r="1295">
          <cell r="U1295">
            <v>-227408.18</v>
          </cell>
        </row>
        <row r="1296">
          <cell r="U1296">
            <v>-6965.38</v>
          </cell>
        </row>
        <row r="1297">
          <cell r="U1297">
            <v>-8914.6299999999992</v>
          </cell>
        </row>
        <row r="1298">
          <cell r="U1298">
            <v>150</v>
          </cell>
        </row>
        <row r="1299">
          <cell r="U1299">
            <v>4635.1000000000004</v>
          </cell>
        </row>
        <row r="1300">
          <cell r="U1300">
            <v>3414.06</v>
          </cell>
        </row>
        <row r="1301">
          <cell r="U1301">
            <v>229.97</v>
          </cell>
        </row>
        <row r="1302">
          <cell r="U1302">
            <v>900</v>
          </cell>
        </row>
        <row r="1303">
          <cell r="U1303">
            <v>500</v>
          </cell>
        </row>
        <row r="1304">
          <cell r="U1304">
            <v>779</v>
          </cell>
        </row>
        <row r="1305">
          <cell r="U1305">
            <v>100</v>
          </cell>
        </row>
        <row r="1306">
          <cell r="U1306">
            <v>875</v>
          </cell>
        </row>
        <row r="1307">
          <cell r="U1307">
            <v>1594.04</v>
          </cell>
        </row>
        <row r="1308">
          <cell r="U1308">
            <v>6699</v>
          </cell>
        </row>
        <row r="1309">
          <cell r="U1309">
            <v>2431.73</v>
          </cell>
        </row>
        <row r="1310">
          <cell r="U1310">
            <v>150</v>
          </cell>
        </row>
        <row r="1311">
          <cell r="U1311">
            <v>750</v>
          </cell>
        </row>
        <row r="1312">
          <cell r="U1312">
            <v>12384.14</v>
          </cell>
        </row>
        <row r="1313">
          <cell r="U1313">
            <v>275</v>
          </cell>
        </row>
        <row r="1314">
          <cell r="U1314">
            <v>1020.25</v>
          </cell>
        </row>
        <row r="1315">
          <cell r="U1315">
            <v>1632</v>
          </cell>
        </row>
        <row r="1316">
          <cell r="U1316">
            <v>200</v>
          </cell>
        </row>
        <row r="1317">
          <cell r="U1317">
            <v>3000</v>
          </cell>
        </row>
        <row r="1318">
          <cell r="U1318">
            <v>5562.18</v>
          </cell>
        </row>
        <row r="1319">
          <cell r="U1319">
            <v>725.15</v>
          </cell>
        </row>
        <row r="1320">
          <cell r="U1320">
            <v>336</v>
          </cell>
        </row>
        <row r="1321">
          <cell r="U1321">
            <v>4790</v>
          </cell>
        </row>
        <row r="1322">
          <cell r="U1322">
            <v>378.05</v>
          </cell>
        </row>
        <row r="1323">
          <cell r="U1323">
            <v>5348</v>
          </cell>
        </row>
        <row r="1324">
          <cell r="U1324">
            <v>2550</v>
          </cell>
        </row>
        <row r="1325">
          <cell r="U1325">
            <v>596.41</v>
          </cell>
        </row>
        <row r="1326">
          <cell r="U1326">
            <v>395.61</v>
          </cell>
        </row>
        <row r="1327">
          <cell r="U1327">
            <v>425</v>
          </cell>
        </row>
        <row r="1328">
          <cell r="U1328">
            <v>239</v>
          </cell>
        </row>
        <row r="1329">
          <cell r="U1329">
            <v>452.21</v>
          </cell>
        </row>
        <row r="1330">
          <cell r="U1330">
            <v>70000</v>
          </cell>
        </row>
        <row r="1331">
          <cell r="U1331">
            <v>1073.0999999999999</v>
          </cell>
        </row>
        <row r="1332">
          <cell r="U1332">
            <v>2543.1999999999998</v>
          </cell>
        </row>
        <row r="1333">
          <cell r="U1333">
            <v>3748</v>
          </cell>
        </row>
        <row r="1334">
          <cell r="U1334">
            <v>1611</v>
          </cell>
        </row>
        <row r="1335">
          <cell r="U1335">
            <v>5044.96</v>
          </cell>
        </row>
        <row r="1336">
          <cell r="U1336">
            <v>62</v>
          </cell>
        </row>
        <row r="1337">
          <cell r="U1337">
            <v>1803</v>
          </cell>
        </row>
        <row r="1338">
          <cell r="U1338">
            <v>45000</v>
          </cell>
        </row>
        <row r="1339">
          <cell r="U1339">
            <v>182.16</v>
          </cell>
        </row>
        <row r="1340">
          <cell r="U1340">
            <v>400</v>
          </cell>
        </row>
        <row r="1341">
          <cell r="U1341">
            <v>846</v>
          </cell>
        </row>
        <row r="1342">
          <cell r="U1342">
            <v>1094.1099999999999</v>
          </cell>
        </row>
        <row r="1343">
          <cell r="U1343">
            <v>490</v>
          </cell>
        </row>
        <row r="1344">
          <cell r="U1344">
            <v>298.27999999999997</v>
          </cell>
        </row>
        <row r="1345">
          <cell r="U1345">
            <v>8673.49</v>
          </cell>
        </row>
        <row r="1346">
          <cell r="U1346">
            <v>420</v>
          </cell>
        </row>
        <row r="1347">
          <cell r="U1347">
            <v>3200</v>
          </cell>
        </row>
        <row r="1348">
          <cell r="U1348">
            <v>3182.66</v>
          </cell>
        </row>
        <row r="1349">
          <cell r="U1349">
            <v>3763</v>
          </cell>
        </row>
        <row r="1350">
          <cell r="U1350">
            <v>647.16999999999996</v>
          </cell>
        </row>
        <row r="1351">
          <cell r="U1351">
            <v>850</v>
          </cell>
        </row>
        <row r="1352">
          <cell r="U1352">
            <v>20191.68</v>
          </cell>
        </row>
        <row r="1353">
          <cell r="U1353">
            <v>896</v>
          </cell>
        </row>
        <row r="1354">
          <cell r="U1354">
            <v>150</v>
          </cell>
        </row>
        <row r="1355">
          <cell r="U1355">
            <v>147</v>
          </cell>
        </row>
        <row r="1356">
          <cell r="U1356">
            <v>371.95</v>
          </cell>
        </row>
        <row r="1357">
          <cell r="U1357">
            <v>810</v>
          </cell>
        </row>
        <row r="1358">
          <cell r="U1358">
            <v>4950</v>
          </cell>
        </row>
        <row r="1359">
          <cell r="U1359">
            <v>153</v>
          </cell>
        </row>
        <row r="1360">
          <cell r="U1360">
            <v>975.13</v>
          </cell>
        </row>
        <row r="1361">
          <cell r="U1361">
            <v>2488.36</v>
          </cell>
        </row>
        <row r="1362">
          <cell r="U1362">
            <v>150</v>
          </cell>
        </row>
        <row r="1363">
          <cell r="U1363">
            <v>425</v>
          </cell>
        </row>
        <row r="1364">
          <cell r="U1364">
            <v>4429.49</v>
          </cell>
        </row>
        <row r="1365">
          <cell r="U1365">
            <v>148.75</v>
          </cell>
        </row>
        <row r="1366">
          <cell r="U1366">
            <v>4130</v>
          </cell>
        </row>
        <row r="1367">
          <cell r="U1367">
            <v>39000</v>
          </cell>
        </row>
        <row r="1368">
          <cell r="U1368">
            <v>189.86</v>
          </cell>
        </row>
        <row r="1369">
          <cell r="U1369">
            <v>150</v>
          </cell>
        </row>
        <row r="1370">
          <cell r="U1370">
            <v>1250</v>
          </cell>
        </row>
        <row r="1371">
          <cell r="U1371">
            <v>825</v>
          </cell>
        </row>
        <row r="1372">
          <cell r="U1372">
            <v>1505</v>
          </cell>
        </row>
        <row r="1373">
          <cell r="U1373">
            <v>607</v>
          </cell>
        </row>
        <row r="1374">
          <cell r="U1374">
            <v>1161.45</v>
          </cell>
        </row>
        <row r="1375">
          <cell r="U1375">
            <v>810</v>
          </cell>
        </row>
        <row r="1376">
          <cell r="U1376">
            <v>2950</v>
          </cell>
        </row>
        <row r="1377">
          <cell r="U1377">
            <v>644.14</v>
          </cell>
        </row>
        <row r="1378">
          <cell r="U1378">
            <v>1062.8399999999999</v>
          </cell>
        </row>
        <row r="1379">
          <cell r="U1379">
            <v>1289.8900000000001</v>
          </cell>
        </row>
        <row r="1380">
          <cell r="U1380">
            <v>75</v>
          </cell>
        </row>
        <row r="1381">
          <cell r="U1381">
            <v>144.24</v>
          </cell>
        </row>
        <row r="1382">
          <cell r="U1382">
            <v>185</v>
          </cell>
        </row>
        <row r="1383">
          <cell r="U1383">
            <v>2060.38</v>
          </cell>
        </row>
        <row r="1384">
          <cell r="U1384">
            <v>440</v>
          </cell>
        </row>
        <row r="1385">
          <cell r="U1385">
            <v>400</v>
          </cell>
        </row>
        <row r="1386">
          <cell r="U1386">
            <v>2105.12</v>
          </cell>
        </row>
        <row r="1387">
          <cell r="U1387">
            <v>263</v>
          </cell>
        </row>
        <row r="1388">
          <cell r="U1388">
            <v>250</v>
          </cell>
        </row>
        <row r="1389">
          <cell r="U1389">
            <v>230</v>
          </cell>
        </row>
        <row r="1390">
          <cell r="U1390">
            <v>75</v>
          </cell>
        </row>
        <row r="1391">
          <cell r="U1391">
            <v>4629.1499999999996</v>
          </cell>
        </row>
        <row r="1392">
          <cell r="U1392">
            <v>281.98</v>
          </cell>
        </row>
        <row r="1393">
          <cell r="U1393">
            <v>120.11</v>
          </cell>
        </row>
        <row r="1394">
          <cell r="U1394">
            <v>120</v>
          </cell>
        </row>
        <row r="1395">
          <cell r="U1395">
            <v>917.07</v>
          </cell>
        </row>
        <row r="1396">
          <cell r="U1396">
            <v>11466.81</v>
          </cell>
        </row>
        <row r="1397">
          <cell r="U1397">
            <v>2900</v>
          </cell>
        </row>
        <row r="1398">
          <cell r="U1398">
            <v>100</v>
          </cell>
        </row>
        <row r="1399">
          <cell r="U1399">
            <v>600</v>
          </cell>
        </row>
        <row r="1400">
          <cell r="U1400">
            <v>1350</v>
          </cell>
        </row>
        <row r="1401">
          <cell r="U1401">
            <v>100</v>
          </cell>
        </row>
        <row r="1402">
          <cell r="U1402">
            <v>390</v>
          </cell>
        </row>
        <row r="1403">
          <cell r="U1403">
            <v>693</v>
          </cell>
        </row>
        <row r="1404">
          <cell r="U1404">
            <v>100</v>
          </cell>
        </row>
        <row r="1405">
          <cell r="U1405">
            <v>5799.74</v>
          </cell>
        </row>
        <row r="1406">
          <cell r="U1406">
            <v>90</v>
          </cell>
        </row>
        <row r="1407">
          <cell r="U1407">
            <v>712.58</v>
          </cell>
        </row>
        <row r="1408">
          <cell r="U1408">
            <v>647.1</v>
          </cell>
        </row>
        <row r="1409">
          <cell r="U1409">
            <v>383.91</v>
          </cell>
        </row>
        <row r="1410">
          <cell r="U1410">
            <v>260</v>
          </cell>
        </row>
        <row r="1411">
          <cell r="U1411">
            <v>152.22999999999999</v>
          </cell>
        </row>
        <row r="1412">
          <cell r="U1412">
            <v>1542</v>
          </cell>
        </row>
        <row r="1413">
          <cell r="U1413">
            <v>1548.28</v>
          </cell>
        </row>
        <row r="1414">
          <cell r="U1414">
            <v>544</v>
          </cell>
        </row>
        <row r="1415">
          <cell r="U1415">
            <v>2539.7199999999998</v>
          </cell>
        </row>
        <row r="1416">
          <cell r="U1416">
            <v>857</v>
          </cell>
        </row>
        <row r="1417">
          <cell r="U1417">
            <v>1817</v>
          </cell>
        </row>
        <row r="1418">
          <cell r="U1418">
            <v>50</v>
          </cell>
        </row>
        <row r="1419">
          <cell r="U1419">
            <v>508</v>
          </cell>
        </row>
        <row r="1420">
          <cell r="U1420">
            <v>3500</v>
          </cell>
        </row>
        <row r="1421">
          <cell r="U1421">
            <v>8893.3799999999992</v>
          </cell>
        </row>
        <row r="1422">
          <cell r="U1422">
            <v>2725.05</v>
          </cell>
        </row>
        <row r="1423">
          <cell r="U1423">
            <v>80.7</v>
          </cell>
        </row>
        <row r="1424">
          <cell r="U1424">
            <v>6290.76</v>
          </cell>
        </row>
        <row r="1425">
          <cell r="U1425">
            <v>150</v>
          </cell>
        </row>
        <row r="1426">
          <cell r="U1426">
            <v>1521.49</v>
          </cell>
        </row>
        <row r="1427">
          <cell r="U1427">
            <v>622.77</v>
          </cell>
        </row>
        <row r="1428">
          <cell r="U1428">
            <v>100</v>
          </cell>
        </row>
        <row r="1429">
          <cell r="U1429">
            <v>5454.25</v>
          </cell>
        </row>
        <row r="1430">
          <cell r="U1430">
            <v>431</v>
          </cell>
        </row>
        <row r="1431">
          <cell r="U1431">
            <v>935</v>
          </cell>
        </row>
        <row r="1432">
          <cell r="U1432">
            <v>613.99</v>
          </cell>
        </row>
        <row r="1433">
          <cell r="U1433">
            <v>614</v>
          </cell>
        </row>
        <row r="1434">
          <cell r="U1434">
            <v>3764.86</v>
          </cell>
        </row>
        <row r="1435">
          <cell r="U1435">
            <v>175</v>
          </cell>
        </row>
        <row r="1436">
          <cell r="U1436">
            <v>89</v>
          </cell>
        </row>
        <row r="1437">
          <cell r="U1437">
            <v>2053.25</v>
          </cell>
        </row>
        <row r="1438">
          <cell r="U1438">
            <v>585.9</v>
          </cell>
        </row>
        <row r="1439">
          <cell r="U1439">
            <v>80</v>
          </cell>
        </row>
        <row r="1440">
          <cell r="U1440">
            <v>87.23</v>
          </cell>
        </row>
        <row r="1441">
          <cell r="U1441">
            <v>1471.04</v>
          </cell>
        </row>
        <row r="1442">
          <cell r="U1442">
            <v>867.18</v>
          </cell>
        </row>
        <row r="1443">
          <cell r="U1443">
            <v>200</v>
          </cell>
        </row>
        <row r="1444">
          <cell r="U1444">
            <v>8824</v>
          </cell>
        </row>
        <row r="1445">
          <cell r="U1445">
            <v>8748.4699999999993</v>
          </cell>
        </row>
        <row r="1446">
          <cell r="U1446">
            <v>50000</v>
          </cell>
        </row>
        <row r="1447">
          <cell r="U1447">
            <v>837.1</v>
          </cell>
        </row>
        <row r="1448">
          <cell r="U1448">
            <v>1200</v>
          </cell>
        </row>
        <row r="1449">
          <cell r="U1449">
            <v>-66463.69</v>
          </cell>
        </row>
        <row r="1450">
          <cell r="U1450">
            <v>-112733.47</v>
          </cell>
        </row>
        <row r="1451">
          <cell r="U1451">
            <v>-28501.63</v>
          </cell>
        </row>
        <row r="1452">
          <cell r="U1452">
            <v>-87565.34</v>
          </cell>
        </row>
        <row r="1453">
          <cell r="U1453">
            <v>-127092.98</v>
          </cell>
        </row>
        <row r="1454">
          <cell r="U1454">
            <v>-4130</v>
          </cell>
        </row>
        <row r="1455">
          <cell r="U1455">
            <v>-39712.58</v>
          </cell>
        </row>
        <row r="1456">
          <cell r="U1456">
            <v>1946.54</v>
          </cell>
        </row>
        <row r="1457">
          <cell r="U1457">
            <v>50</v>
          </cell>
        </row>
        <row r="1458">
          <cell r="U1458">
            <v>268.14999999999998</v>
          </cell>
        </row>
        <row r="1459">
          <cell r="U1459">
            <v>924.92</v>
          </cell>
        </row>
        <row r="1460">
          <cell r="U1460">
            <v>2383.35</v>
          </cell>
        </row>
        <row r="1461">
          <cell r="U1461">
            <v>3500</v>
          </cell>
        </row>
        <row r="1462">
          <cell r="U1462">
            <v>70</v>
          </cell>
        </row>
        <row r="1463">
          <cell r="U1463">
            <v>650</v>
          </cell>
        </row>
        <row r="1464">
          <cell r="U1464">
            <v>37500</v>
          </cell>
        </row>
        <row r="1465">
          <cell r="U1465">
            <v>680</v>
          </cell>
        </row>
        <row r="1466">
          <cell r="U1466">
            <v>225</v>
          </cell>
        </row>
        <row r="1467">
          <cell r="U1467">
            <v>556.5</v>
          </cell>
        </row>
        <row r="1468">
          <cell r="U1468">
            <v>1413.5</v>
          </cell>
        </row>
        <row r="1469">
          <cell r="U1469">
            <v>-698.46</v>
          </cell>
        </row>
        <row r="1470">
          <cell r="U1470">
            <v>637</v>
          </cell>
        </row>
        <row r="1471">
          <cell r="U1471">
            <v>190.91</v>
          </cell>
        </row>
        <row r="1472">
          <cell r="U1472">
            <v>488</v>
          </cell>
        </row>
        <row r="1473">
          <cell r="U1473">
            <v>922</v>
          </cell>
        </row>
        <row r="1474">
          <cell r="U1474">
            <v>-2395</v>
          </cell>
        </row>
        <row r="1475">
          <cell r="U1475">
            <v>300</v>
          </cell>
        </row>
        <row r="1476">
          <cell r="U1476">
            <v>588.4</v>
          </cell>
        </row>
        <row r="1477">
          <cell r="U1477">
            <v>40</v>
          </cell>
        </row>
        <row r="1478">
          <cell r="U1478">
            <v>698.2</v>
          </cell>
        </row>
        <row r="1479">
          <cell r="U1479">
            <v>1994.14</v>
          </cell>
        </row>
        <row r="1480">
          <cell r="U1480">
            <v>10000</v>
          </cell>
        </row>
        <row r="1481">
          <cell r="U1481">
            <v>100</v>
          </cell>
        </row>
        <row r="1482">
          <cell r="U1482">
            <v>2034</v>
          </cell>
        </row>
        <row r="1483">
          <cell r="U1483">
            <v>100</v>
          </cell>
        </row>
        <row r="1484">
          <cell r="U1484">
            <v>3463</v>
          </cell>
        </row>
        <row r="1485">
          <cell r="U1485">
            <v>700</v>
          </cell>
        </row>
        <row r="1486">
          <cell r="U1486">
            <v>100</v>
          </cell>
        </row>
        <row r="1487">
          <cell r="U1487">
            <v>75</v>
          </cell>
        </row>
        <row r="1488">
          <cell r="U1488">
            <v>514.79999999999995</v>
          </cell>
        </row>
        <row r="1489">
          <cell r="U1489">
            <v>3500</v>
          </cell>
        </row>
        <row r="1490">
          <cell r="U1490">
            <v>45</v>
          </cell>
        </row>
        <row r="1491">
          <cell r="U1491">
            <v>150</v>
          </cell>
        </row>
        <row r="1492">
          <cell r="U1492">
            <v>157</v>
          </cell>
        </row>
        <row r="1493">
          <cell r="U1493">
            <v>2045.94</v>
          </cell>
        </row>
        <row r="1494">
          <cell r="U1494">
            <v>1442.49</v>
          </cell>
        </row>
        <row r="1495">
          <cell r="U1495">
            <v>411</v>
          </cell>
        </row>
        <row r="1496">
          <cell r="U1496">
            <v>200</v>
          </cell>
        </row>
        <row r="1497">
          <cell r="U1497">
            <v>35</v>
          </cell>
        </row>
        <row r="1498">
          <cell r="U1498">
            <v>100</v>
          </cell>
        </row>
        <row r="1499">
          <cell r="U1499">
            <v>1102.3699999999999</v>
          </cell>
        </row>
        <row r="1500">
          <cell r="U1500">
            <v>55000</v>
          </cell>
        </row>
        <row r="1501">
          <cell r="U1501">
            <v>2067.87</v>
          </cell>
        </row>
        <row r="1502">
          <cell r="U1502">
            <v>50</v>
          </cell>
        </row>
        <row r="1503">
          <cell r="U1503">
            <v>284</v>
          </cell>
        </row>
        <row r="1504">
          <cell r="U1504">
            <v>314</v>
          </cell>
        </row>
        <row r="1505">
          <cell r="U1505">
            <v>15000</v>
          </cell>
        </row>
        <row r="1506">
          <cell r="U1506">
            <v>222.3</v>
          </cell>
        </row>
        <row r="1507">
          <cell r="U1507">
            <v>471.98</v>
          </cell>
        </row>
        <row r="1508">
          <cell r="U1508">
            <v>1932.3</v>
          </cell>
        </row>
        <row r="1509">
          <cell r="U1509">
            <v>5864</v>
          </cell>
        </row>
        <row r="1510">
          <cell r="U1510">
            <v>150</v>
          </cell>
        </row>
        <row r="1511">
          <cell r="U1511">
            <v>385</v>
          </cell>
        </row>
        <row r="1512">
          <cell r="U1512">
            <v>701.3</v>
          </cell>
        </row>
        <row r="1513">
          <cell r="U1513">
            <v>16305.25</v>
          </cell>
        </row>
        <row r="1514">
          <cell r="U1514">
            <v>1000</v>
          </cell>
        </row>
        <row r="1515">
          <cell r="U1515">
            <v>25</v>
          </cell>
        </row>
        <row r="1516">
          <cell r="U1516">
            <v>3000</v>
          </cell>
        </row>
        <row r="1517">
          <cell r="U1517">
            <v>394.9</v>
          </cell>
        </row>
        <row r="1518">
          <cell r="U1518">
            <v>30</v>
          </cell>
        </row>
        <row r="1519">
          <cell r="U1519">
            <v>602.98</v>
          </cell>
        </row>
        <row r="1520">
          <cell r="U1520">
            <v>150</v>
          </cell>
        </row>
        <row r="1521">
          <cell r="U1521">
            <v>243.12</v>
          </cell>
        </row>
        <row r="1522">
          <cell r="U1522">
            <v>3858</v>
          </cell>
        </row>
        <row r="1523">
          <cell r="U1523">
            <v>530</v>
          </cell>
        </row>
        <row r="1524">
          <cell r="U1524">
            <v>279.14</v>
          </cell>
        </row>
        <row r="1525">
          <cell r="U1525">
            <v>2218.2800000000002</v>
          </cell>
        </row>
        <row r="1526">
          <cell r="U1526">
            <v>200</v>
          </cell>
        </row>
        <row r="1527">
          <cell r="U1527">
            <v>158.01</v>
          </cell>
        </row>
        <row r="1528">
          <cell r="U1528">
            <v>150</v>
          </cell>
        </row>
        <row r="1529">
          <cell r="U1529">
            <v>2698.72</v>
          </cell>
        </row>
        <row r="1530">
          <cell r="U1530">
            <v>340.04</v>
          </cell>
        </row>
        <row r="1531">
          <cell r="U1531">
            <v>1911.93</v>
          </cell>
        </row>
        <row r="1532">
          <cell r="U1532">
            <v>3085.61</v>
          </cell>
        </row>
        <row r="1533">
          <cell r="U1533">
            <v>75</v>
          </cell>
        </row>
        <row r="1534">
          <cell r="U1534">
            <v>4040.48</v>
          </cell>
        </row>
        <row r="1535">
          <cell r="U1535">
            <v>19659.490000000002</v>
          </cell>
        </row>
        <row r="1536">
          <cell r="U1536">
            <v>1915.42</v>
          </cell>
        </row>
        <row r="1537">
          <cell r="U1537">
            <v>6000</v>
          </cell>
        </row>
        <row r="1538">
          <cell r="U1538">
            <v>175</v>
          </cell>
        </row>
        <row r="1539">
          <cell r="U1539">
            <v>1543.62</v>
          </cell>
        </row>
        <row r="1540">
          <cell r="U1540">
            <v>4339.34</v>
          </cell>
        </row>
        <row r="1541">
          <cell r="U1541">
            <v>50</v>
          </cell>
        </row>
        <row r="1542">
          <cell r="U1542">
            <v>173</v>
          </cell>
        </row>
        <row r="1543">
          <cell r="U1543">
            <v>320</v>
          </cell>
        </row>
        <row r="1544">
          <cell r="U1544">
            <v>1050</v>
          </cell>
        </row>
        <row r="1545">
          <cell r="U1545">
            <v>5000</v>
          </cell>
        </row>
        <row r="1546">
          <cell r="U1546">
            <v>125</v>
          </cell>
        </row>
        <row r="1547">
          <cell r="U1547">
            <v>17000</v>
          </cell>
        </row>
        <row r="1548">
          <cell r="U1548">
            <v>2496.71</v>
          </cell>
        </row>
        <row r="1549">
          <cell r="U1549">
            <v>1249.95</v>
          </cell>
        </row>
        <row r="1550">
          <cell r="U1550">
            <v>15199</v>
          </cell>
        </row>
        <row r="1551">
          <cell r="U1551">
            <v>315</v>
          </cell>
        </row>
        <row r="1552">
          <cell r="U1552">
            <v>-35000</v>
          </cell>
        </row>
        <row r="1553">
          <cell r="U1553">
            <v>1222</v>
          </cell>
        </row>
        <row r="1554">
          <cell r="U1554">
            <v>446.64</v>
          </cell>
        </row>
        <row r="1555">
          <cell r="U1555">
            <v>151</v>
          </cell>
        </row>
        <row r="1556">
          <cell r="U1556">
            <v>277.22000000000003</v>
          </cell>
        </row>
        <row r="1557">
          <cell r="U1557">
            <v>945</v>
          </cell>
        </row>
        <row r="1558">
          <cell r="U1558">
            <v>1190</v>
          </cell>
        </row>
        <row r="1559">
          <cell r="U1559">
            <v>510</v>
          </cell>
        </row>
        <row r="1560">
          <cell r="U1560">
            <v>200</v>
          </cell>
        </row>
        <row r="1561">
          <cell r="U1561">
            <v>2438.5</v>
          </cell>
        </row>
        <row r="1562">
          <cell r="U1562">
            <v>800</v>
          </cell>
        </row>
        <row r="1563">
          <cell r="U1563">
            <v>200</v>
          </cell>
        </row>
        <row r="1564">
          <cell r="U1564">
            <v>3146.24</v>
          </cell>
        </row>
        <row r="1565">
          <cell r="U1565">
            <v>755.66</v>
          </cell>
        </row>
        <row r="1566">
          <cell r="U1566">
            <v>250</v>
          </cell>
        </row>
        <row r="1567">
          <cell r="U1567">
            <v>100</v>
          </cell>
        </row>
        <row r="1568">
          <cell r="U1568">
            <v>400</v>
          </cell>
        </row>
        <row r="1569">
          <cell r="U1569">
            <v>16885</v>
          </cell>
        </row>
        <row r="1570">
          <cell r="U1570">
            <v>115000</v>
          </cell>
        </row>
        <row r="1571">
          <cell r="U1571">
            <v>20000</v>
          </cell>
        </row>
        <row r="1572">
          <cell r="U1572">
            <v>6540.04</v>
          </cell>
        </row>
        <row r="1573">
          <cell r="U1573">
            <v>2081.9499999999998</v>
          </cell>
        </row>
        <row r="1574">
          <cell r="U1574">
            <v>1173.5899999999999</v>
          </cell>
        </row>
        <row r="1575">
          <cell r="U1575">
            <v>978.53</v>
          </cell>
        </row>
        <row r="1576">
          <cell r="U1576">
            <v>200</v>
          </cell>
        </row>
        <row r="1577">
          <cell r="U1577">
            <v>148</v>
          </cell>
        </row>
        <row r="1578">
          <cell r="U1578">
            <v>300</v>
          </cell>
        </row>
        <row r="1579">
          <cell r="U1579">
            <v>41.48</v>
          </cell>
        </row>
        <row r="1580">
          <cell r="U1580">
            <v>2100</v>
          </cell>
        </row>
        <row r="1581">
          <cell r="U1581">
            <v>64</v>
          </cell>
        </row>
        <row r="1582">
          <cell r="U1582">
            <v>1246.0999999999999</v>
          </cell>
        </row>
        <row r="1583">
          <cell r="U1583">
            <v>960</v>
          </cell>
        </row>
        <row r="1584">
          <cell r="U1584">
            <v>35.53</v>
          </cell>
        </row>
        <row r="1585">
          <cell r="U1585">
            <v>680.3</v>
          </cell>
        </row>
        <row r="1586">
          <cell r="U1586">
            <v>66.709999999999994</v>
          </cell>
        </row>
        <row r="1587">
          <cell r="U1587">
            <v>945.81</v>
          </cell>
        </row>
        <row r="1588">
          <cell r="U1588">
            <v>500</v>
          </cell>
        </row>
        <row r="1589">
          <cell r="U1589">
            <v>43000</v>
          </cell>
        </row>
        <row r="1590">
          <cell r="U1590">
            <v>1811.87</v>
          </cell>
        </row>
        <row r="1591">
          <cell r="U1591">
            <v>19553.84</v>
          </cell>
        </row>
        <row r="1592">
          <cell r="U1592">
            <v>2973.28</v>
          </cell>
        </row>
        <row r="1593">
          <cell r="U1593">
            <v>225</v>
          </cell>
        </row>
        <row r="1594">
          <cell r="U1594">
            <v>350</v>
          </cell>
        </row>
        <row r="1595">
          <cell r="U1595">
            <v>4697.8900000000003</v>
          </cell>
        </row>
        <row r="1596">
          <cell r="U1596">
            <v>30</v>
          </cell>
        </row>
        <row r="1597">
          <cell r="U1597">
            <v>150</v>
          </cell>
        </row>
        <row r="1598">
          <cell r="U1598">
            <v>325.7</v>
          </cell>
        </row>
        <row r="1599">
          <cell r="U1599">
            <v>1840</v>
          </cell>
        </row>
        <row r="1600">
          <cell r="U1600">
            <v>388</v>
          </cell>
        </row>
        <row r="1601">
          <cell r="U1601">
            <v>56837.74</v>
          </cell>
        </row>
        <row r="1602">
          <cell r="U1602">
            <v>715</v>
          </cell>
        </row>
        <row r="1603">
          <cell r="U1603">
            <v>175</v>
          </cell>
        </row>
        <row r="1604">
          <cell r="U1604">
            <v>263.41000000000003</v>
          </cell>
        </row>
        <row r="1605">
          <cell r="U1605">
            <v>3102</v>
          </cell>
        </row>
        <row r="1606">
          <cell r="U1606">
            <v>2275</v>
          </cell>
        </row>
        <row r="1607">
          <cell r="U1607">
            <v>665</v>
          </cell>
        </row>
        <row r="1608">
          <cell r="U1608">
            <v>3141.86</v>
          </cell>
        </row>
        <row r="1609">
          <cell r="U1609">
            <v>180</v>
          </cell>
        </row>
        <row r="1610">
          <cell r="U1610">
            <v>2973.28</v>
          </cell>
        </row>
        <row r="1611">
          <cell r="U1611">
            <v>-231424.92</v>
          </cell>
        </row>
        <row r="1612">
          <cell r="U1612">
            <v>-2081.9499999999998</v>
          </cell>
        </row>
        <row r="1613">
          <cell r="U1613">
            <v>-120150.39</v>
          </cell>
        </row>
        <row r="1614">
          <cell r="U1614">
            <v>-7198.72</v>
          </cell>
        </row>
        <row r="1615">
          <cell r="U1615">
            <v>-13263.54</v>
          </cell>
        </row>
        <row r="1616">
          <cell r="U1616">
            <v>-140080.32000000001</v>
          </cell>
        </row>
        <row r="1617">
          <cell r="U1617">
            <v>-20467.509999999998</v>
          </cell>
        </row>
        <row r="1618">
          <cell r="U1618">
            <v>-45</v>
          </cell>
        </row>
        <row r="1619">
          <cell r="U1619">
            <v>-30000</v>
          </cell>
        </row>
        <row r="1620">
          <cell r="U1620">
            <v>565.48</v>
          </cell>
        </row>
        <row r="1621">
          <cell r="U1621">
            <v>2022.34</v>
          </cell>
        </row>
        <row r="1622">
          <cell r="U1622">
            <v>200</v>
          </cell>
        </row>
        <row r="1623">
          <cell r="U1623">
            <v>300</v>
          </cell>
        </row>
        <row r="1624">
          <cell r="U1624">
            <v>200</v>
          </cell>
        </row>
        <row r="1625">
          <cell r="U1625">
            <v>174</v>
          </cell>
        </row>
        <row r="1626">
          <cell r="U1626">
            <v>62.38</v>
          </cell>
        </row>
        <row r="1627">
          <cell r="U1627">
            <v>212.5</v>
          </cell>
        </row>
        <row r="1628">
          <cell r="U1628">
            <v>975</v>
          </cell>
        </row>
        <row r="1629">
          <cell r="U1629">
            <v>375</v>
          </cell>
        </row>
        <row r="1630">
          <cell r="U1630">
            <v>175</v>
          </cell>
        </row>
        <row r="1631">
          <cell r="U1631">
            <v>354</v>
          </cell>
        </row>
        <row r="1632">
          <cell r="U1632">
            <v>1005</v>
          </cell>
        </row>
        <row r="1633">
          <cell r="U1633">
            <v>5062.95</v>
          </cell>
        </row>
        <row r="1634">
          <cell r="U1634">
            <v>3461.66</v>
          </cell>
        </row>
        <row r="1635">
          <cell r="U1635">
            <v>105</v>
          </cell>
        </row>
        <row r="1636">
          <cell r="U1636">
            <v>914</v>
          </cell>
        </row>
        <row r="1637">
          <cell r="U1637">
            <v>1230</v>
          </cell>
        </row>
        <row r="1638">
          <cell r="U1638">
            <v>425000</v>
          </cell>
        </row>
        <row r="1639">
          <cell r="U1639">
            <v>727.67</v>
          </cell>
        </row>
        <row r="1640">
          <cell r="U1640">
            <v>1037.3599999999999</v>
          </cell>
        </row>
        <row r="1641">
          <cell r="U1641">
            <v>800</v>
          </cell>
        </row>
        <row r="1642">
          <cell r="U1642">
            <v>150</v>
          </cell>
        </row>
        <row r="1643">
          <cell r="U1643">
            <v>337</v>
          </cell>
        </row>
        <row r="1644">
          <cell r="U1644">
            <v>53</v>
          </cell>
        </row>
        <row r="1645">
          <cell r="U1645">
            <v>150</v>
          </cell>
        </row>
        <row r="1646">
          <cell r="U1646">
            <v>416</v>
          </cell>
        </row>
        <row r="1647">
          <cell r="U1647">
            <v>642.74</v>
          </cell>
        </row>
        <row r="1648">
          <cell r="U1648">
            <v>55</v>
          </cell>
        </row>
        <row r="1649">
          <cell r="U1649">
            <v>72</v>
          </cell>
        </row>
        <row r="1650">
          <cell r="U1650">
            <v>2500</v>
          </cell>
        </row>
        <row r="1651">
          <cell r="U1651">
            <v>100</v>
          </cell>
        </row>
        <row r="1652">
          <cell r="U1652">
            <v>3000</v>
          </cell>
        </row>
        <row r="1653">
          <cell r="U1653">
            <v>476.36</v>
          </cell>
        </row>
        <row r="1654">
          <cell r="U1654">
            <v>14585.11</v>
          </cell>
        </row>
        <row r="1655">
          <cell r="U1655">
            <v>250</v>
          </cell>
        </row>
        <row r="1656">
          <cell r="U1656">
            <v>100</v>
          </cell>
        </row>
        <row r="1657">
          <cell r="U1657">
            <v>2010</v>
          </cell>
        </row>
        <row r="1658">
          <cell r="U1658">
            <v>804</v>
          </cell>
        </row>
        <row r="1659">
          <cell r="U1659">
            <v>233</v>
          </cell>
        </row>
        <row r="1660">
          <cell r="U1660">
            <v>50</v>
          </cell>
        </row>
        <row r="1661">
          <cell r="U1661">
            <v>50</v>
          </cell>
        </row>
        <row r="1662">
          <cell r="U1662">
            <v>98.5</v>
          </cell>
        </row>
        <row r="1663">
          <cell r="U1663">
            <v>913.13</v>
          </cell>
        </row>
        <row r="1664">
          <cell r="U1664">
            <v>2553.4</v>
          </cell>
        </row>
        <row r="1665">
          <cell r="U1665">
            <v>6461.2</v>
          </cell>
        </row>
        <row r="1666">
          <cell r="U1666">
            <v>649.89</v>
          </cell>
        </row>
        <row r="1667">
          <cell r="U1667">
            <v>4790</v>
          </cell>
        </row>
        <row r="1668">
          <cell r="U1668">
            <v>13000</v>
          </cell>
        </row>
        <row r="1669">
          <cell r="U1669">
            <v>2500</v>
          </cell>
        </row>
        <row r="1670">
          <cell r="U1670">
            <v>72</v>
          </cell>
        </row>
        <row r="1671">
          <cell r="U1671">
            <v>321</v>
          </cell>
        </row>
        <row r="1672">
          <cell r="U1672">
            <v>46.69</v>
          </cell>
        </row>
        <row r="1673">
          <cell r="U1673">
            <v>547.01</v>
          </cell>
        </row>
        <row r="1674">
          <cell r="U1674">
            <v>100</v>
          </cell>
        </row>
        <row r="1675">
          <cell r="U1675">
            <v>2005</v>
          </cell>
        </row>
        <row r="1676">
          <cell r="U1676">
            <v>325</v>
          </cell>
        </row>
        <row r="1677">
          <cell r="U1677">
            <v>124</v>
          </cell>
        </row>
        <row r="1678">
          <cell r="U1678">
            <v>39.69</v>
          </cell>
        </row>
        <row r="1679">
          <cell r="U1679">
            <v>415</v>
          </cell>
        </row>
        <row r="1680">
          <cell r="U1680">
            <v>2280.9</v>
          </cell>
        </row>
        <row r="1681">
          <cell r="U1681">
            <v>120</v>
          </cell>
        </row>
        <row r="1682">
          <cell r="U1682">
            <v>214.2</v>
          </cell>
        </row>
        <row r="1683">
          <cell r="U1683">
            <v>375</v>
          </cell>
        </row>
        <row r="1684">
          <cell r="U1684">
            <v>4283.72</v>
          </cell>
        </row>
        <row r="1685">
          <cell r="U1685">
            <v>2300</v>
          </cell>
        </row>
        <row r="1686">
          <cell r="U1686">
            <v>125</v>
          </cell>
        </row>
        <row r="1687">
          <cell r="U1687">
            <v>2048.6799999999998</v>
          </cell>
        </row>
        <row r="1688">
          <cell r="U1688">
            <v>4000</v>
          </cell>
        </row>
        <row r="1689">
          <cell r="U1689">
            <v>180</v>
          </cell>
        </row>
        <row r="1690">
          <cell r="U1690">
            <v>213</v>
          </cell>
        </row>
        <row r="1691">
          <cell r="U1691">
            <v>2045</v>
          </cell>
        </row>
        <row r="1692">
          <cell r="U1692">
            <v>146.99</v>
          </cell>
        </row>
        <row r="1693">
          <cell r="U1693">
            <v>770</v>
          </cell>
        </row>
        <row r="1694">
          <cell r="U1694">
            <v>1145</v>
          </cell>
        </row>
        <row r="1695">
          <cell r="U1695">
            <v>9920</v>
          </cell>
        </row>
        <row r="1696">
          <cell r="U1696">
            <v>1100.58</v>
          </cell>
        </row>
        <row r="1697">
          <cell r="U1697">
            <v>620</v>
          </cell>
        </row>
        <row r="1698">
          <cell r="U1698">
            <v>100</v>
          </cell>
        </row>
        <row r="1699">
          <cell r="U1699">
            <v>1014.1</v>
          </cell>
        </row>
        <row r="1700">
          <cell r="U1700">
            <v>337.51</v>
          </cell>
        </row>
        <row r="1701">
          <cell r="U1701">
            <v>944.13</v>
          </cell>
        </row>
        <row r="1702">
          <cell r="U1702">
            <v>150</v>
          </cell>
        </row>
        <row r="1703">
          <cell r="U1703">
            <v>2925</v>
          </cell>
        </row>
        <row r="1704">
          <cell r="U1704">
            <v>678.2</v>
          </cell>
        </row>
        <row r="1705">
          <cell r="U1705">
            <v>3361.84</v>
          </cell>
        </row>
        <row r="1706">
          <cell r="U1706">
            <v>1281.25</v>
          </cell>
        </row>
        <row r="1707">
          <cell r="U1707">
            <v>40000</v>
          </cell>
        </row>
        <row r="1708">
          <cell r="U1708">
            <v>150</v>
          </cell>
        </row>
        <row r="1709">
          <cell r="U1709">
            <v>1367.45</v>
          </cell>
        </row>
        <row r="1710">
          <cell r="U1710">
            <v>2782.19</v>
          </cell>
        </row>
        <row r="1711">
          <cell r="U1711">
            <v>92.5</v>
          </cell>
        </row>
        <row r="1712">
          <cell r="U1712">
            <v>-2973.28</v>
          </cell>
        </row>
        <row r="1713">
          <cell r="U1713">
            <v>910</v>
          </cell>
        </row>
        <row r="1714">
          <cell r="U1714">
            <v>2345</v>
          </cell>
        </row>
        <row r="1715">
          <cell r="U1715">
            <v>231.91</v>
          </cell>
        </row>
        <row r="1716">
          <cell r="U1716">
            <v>6330.94</v>
          </cell>
        </row>
        <row r="1717">
          <cell r="U1717">
            <v>750.56</v>
          </cell>
        </row>
        <row r="1718">
          <cell r="U1718">
            <v>100</v>
          </cell>
        </row>
        <row r="1719">
          <cell r="U1719">
            <v>75</v>
          </cell>
        </row>
        <row r="1720">
          <cell r="U1720">
            <v>50</v>
          </cell>
        </row>
        <row r="1721">
          <cell r="U1721">
            <v>100</v>
          </cell>
        </row>
        <row r="1722">
          <cell r="U1722">
            <v>44.68</v>
          </cell>
        </row>
        <row r="1723">
          <cell r="U1723">
            <v>2315</v>
          </cell>
        </row>
        <row r="1724">
          <cell r="U1724">
            <v>1579.01</v>
          </cell>
        </row>
        <row r="1725">
          <cell r="U1725">
            <v>362.8</v>
          </cell>
        </row>
        <row r="1726">
          <cell r="U1726">
            <v>175</v>
          </cell>
        </row>
        <row r="1727">
          <cell r="U1727">
            <v>1455</v>
          </cell>
        </row>
        <row r="1728">
          <cell r="U1728">
            <v>225</v>
          </cell>
        </row>
        <row r="1729">
          <cell r="U1729">
            <v>150</v>
          </cell>
        </row>
        <row r="1730">
          <cell r="U1730">
            <v>315.12</v>
          </cell>
        </row>
        <row r="1731">
          <cell r="U1731">
            <v>100</v>
          </cell>
        </row>
        <row r="1732">
          <cell r="U1732">
            <v>250</v>
          </cell>
        </row>
        <row r="1733">
          <cell r="U1733">
            <v>126</v>
          </cell>
        </row>
        <row r="1734">
          <cell r="U1734">
            <v>678.62</v>
          </cell>
        </row>
        <row r="1735">
          <cell r="U1735">
            <v>873</v>
          </cell>
        </row>
        <row r="1736">
          <cell r="U1736">
            <v>22098.49</v>
          </cell>
        </row>
        <row r="1737">
          <cell r="U1737">
            <v>1308.6099999999999</v>
          </cell>
        </row>
        <row r="1738">
          <cell r="U1738">
            <v>355</v>
          </cell>
        </row>
        <row r="1739">
          <cell r="U1739">
            <v>500</v>
          </cell>
        </row>
        <row r="1740">
          <cell r="U1740">
            <v>861.44</v>
          </cell>
        </row>
        <row r="1741">
          <cell r="U1741">
            <v>200</v>
          </cell>
        </row>
        <row r="1742">
          <cell r="U1742">
            <v>150</v>
          </cell>
        </row>
        <row r="1743">
          <cell r="U1743">
            <v>100</v>
          </cell>
        </row>
        <row r="1744">
          <cell r="U1744">
            <v>700</v>
          </cell>
        </row>
        <row r="1745">
          <cell r="U1745">
            <v>150</v>
          </cell>
        </row>
        <row r="1746">
          <cell r="U1746">
            <v>100</v>
          </cell>
        </row>
        <row r="1747">
          <cell r="U1747">
            <v>1359.99</v>
          </cell>
        </row>
        <row r="1748">
          <cell r="U1748">
            <v>704.99</v>
          </cell>
        </row>
        <row r="1749">
          <cell r="U1749">
            <v>2000</v>
          </cell>
        </row>
        <row r="1750">
          <cell r="U1750">
            <v>4000</v>
          </cell>
        </row>
        <row r="1751">
          <cell r="U1751">
            <v>1994.99</v>
          </cell>
        </row>
        <row r="1752">
          <cell r="U1752">
            <v>750</v>
          </cell>
        </row>
        <row r="1753">
          <cell r="U1753">
            <v>400</v>
          </cell>
        </row>
        <row r="1754">
          <cell r="U1754">
            <v>1055.76</v>
          </cell>
        </row>
        <row r="1755">
          <cell r="U1755">
            <v>75</v>
          </cell>
        </row>
        <row r="1756">
          <cell r="U1756">
            <v>1402.84</v>
          </cell>
        </row>
        <row r="1757">
          <cell r="U1757">
            <v>25</v>
          </cell>
        </row>
        <row r="1758">
          <cell r="U1758">
            <v>200</v>
          </cell>
        </row>
        <row r="1759">
          <cell r="U1759">
            <v>350</v>
          </cell>
        </row>
        <row r="1760">
          <cell r="U1760">
            <v>15000</v>
          </cell>
        </row>
        <row r="1761">
          <cell r="U1761">
            <v>1613.76</v>
          </cell>
        </row>
        <row r="1762">
          <cell r="U1762">
            <v>2915.03</v>
          </cell>
        </row>
        <row r="1763">
          <cell r="U1763">
            <v>1112.48</v>
          </cell>
        </row>
        <row r="1764">
          <cell r="U1764">
            <v>150</v>
          </cell>
        </row>
        <row r="1765">
          <cell r="U1765">
            <v>1449</v>
          </cell>
        </row>
        <row r="1766">
          <cell r="U1766">
            <v>95</v>
          </cell>
        </row>
        <row r="1767">
          <cell r="U1767">
            <v>76</v>
          </cell>
        </row>
        <row r="1768">
          <cell r="U1768">
            <v>3300</v>
          </cell>
        </row>
        <row r="1769">
          <cell r="U1769">
            <v>104</v>
          </cell>
        </row>
        <row r="1770">
          <cell r="U1770">
            <v>23</v>
          </cell>
        </row>
        <row r="1771">
          <cell r="U1771">
            <v>250</v>
          </cell>
        </row>
        <row r="1772">
          <cell r="U1772">
            <v>150</v>
          </cell>
        </row>
        <row r="1773">
          <cell r="U1773">
            <v>2074.64</v>
          </cell>
        </row>
        <row r="1774">
          <cell r="U1774">
            <v>594.95000000000005</v>
          </cell>
        </row>
        <row r="1775">
          <cell r="U1775">
            <v>200</v>
          </cell>
        </row>
        <row r="1776">
          <cell r="U1776">
            <v>439.04</v>
          </cell>
        </row>
        <row r="1777">
          <cell r="U1777">
            <v>34.69</v>
          </cell>
        </row>
        <row r="1778">
          <cell r="U1778">
            <v>380</v>
          </cell>
        </row>
        <row r="1779">
          <cell r="U1779">
            <v>200</v>
          </cell>
        </row>
        <row r="1780">
          <cell r="U1780">
            <v>4220.83</v>
          </cell>
        </row>
        <row r="1781">
          <cell r="U1781">
            <v>1279</v>
          </cell>
        </row>
        <row r="1782">
          <cell r="U1782">
            <v>1500</v>
          </cell>
        </row>
        <row r="1783">
          <cell r="U1783">
            <v>400</v>
          </cell>
        </row>
        <row r="1784">
          <cell r="U1784">
            <v>180</v>
          </cell>
        </row>
        <row r="1785">
          <cell r="U1785">
            <v>344.25</v>
          </cell>
        </row>
        <row r="1786">
          <cell r="U1786">
            <v>662</v>
          </cell>
        </row>
        <row r="1787">
          <cell r="U1787">
            <v>11585</v>
          </cell>
        </row>
        <row r="1788">
          <cell r="U1788">
            <v>220.97</v>
          </cell>
        </row>
        <row r="1789">
          <cell r="U1789">
            <v>245</v>
          </cell>
        </row>
        <row r="1790">
          <cell r="U1790">
            <v>250</v>
          </cell>
        </row>
        <row r="1791">
          <cell r="U1791">
            <v>150</v>
          </cell>
        </row>
        <row r="1792">
          <cell r="U1792">
            <v>262.5</v>
          </cell>
        </row>
        <row r="1793">
          <cell r="U1793">
            <v>2582.5300000000002</v>
          </cell>
        </row>
        <row r="1794">
          <cell r="U1794">
            <v>7648.55</v>
          </cell>
        </row>
        <row r="1795">
          <cell r="U1795">
            <v>2375.39</v>
          </cell>
        </row>
        <row r="1796">
          <cell r="U1796">
            <v>200</v>
          </cell>
        </row>
        <row r="1797">
          <cell r="U1797">
            <v>400000</v>
          </cell>
        </row>
        <row r="1798">
          <cell r="U1798">
            <v>4900</v>
          </cell>
        </row>
        <row r="1799">
          <cell r="U1799">
            <v>254.63</v>
          </cell>
        </row>
        <row r="1800">
          <cell r="U1800">
            <v>782.17</v>
          </cell>
        </row>
        <row r="1801">
          <cell r="U1801">
            <v>200</v>
          </cell>
        </row>
        <row r="1802">
          <cell r="U1802">
            <v>444.19</v>
          </cell>
        </row>
        <row r="1803">
          <cell r="U1803">
            <v>110</v>
          </cell>
        </row>
        <row r="1804">
          <cell r="U1804">
            <v>2262.96</v>
          </cell>
        </row>
        <row r="1805">
          <cell r="U1805">
            <v>200</v>
          </cell>
        </row>
        <row r="1806">
          <cell r="U1806">
            <v>18738.87</v>
          </cell>
        </row>
        <row r="1807">
          <cell r="U1807">
            <v>400</v>
          </cell>
        </row>
        <row r="1808">
          <cell r="U1808">
            <v>500</v>
          </cell>
        </row>
        <row r="1809">
          <cell r="U1809">
            <v>151.6</v>
          </cell>
        </row>
        <row r="1810">
          <cell r="U1810">
            <v>250</v>
          </cell>
        </row>
        <row r="1811">
          <cell r="U1811">
            <v>439.75</v>
          </cell>
        </row>
        <row r="1812">
          <cell r="U1812">
            <v>50</v>
          </cell>
        </row>
        <row r="1813">
          <cell r="U1813">
            <v>4274.55</v>
          </cell>
        </row>
        <row r="1814">
          <cell r="U1814">
            <v>1376.85</v>
          </cell>
        </row>
        <row r="1815">
          <cell r="U1815">
            <v>6500</v>
          </cell>
        </row>
        <row r="1816">
          <cell r="U1816">
            <v>965</v>
          </cell>
        </row>
        <row r="1817">
          <cell r="U1817">
            <v>65</v>
          </cell>
        </row>
        <row r="1818">
          <cell r="U1818">
            <v>3815.07</v>
          </cell>
        </row>
        <row r="1819">
          <cell r="U1819">
            <v>111.38</v>
          </cell>
        </row>
        <row r="1820">
          <cell r="U1820">
            <v>6811.29</v>
          </cell>
        </row>
        <row r="1821">
          <cell r="U1821">
            <v>209</v>
          </cell>
        </row>
        <row r="1822">
          <cell r="U1822">
            <v>150</v>
          </cell>
        </row>
        <row r="1823">
          <cell r="U1823">
            <v>850</v>
          </cell>
        </row>
        <row r="1824">
          <cell r="U1824">
            <v>341.3</v>
          </cell>
        </row>
        <row r="1825">
          <cell r="U1825">
            <v>10000</v>
          </cell>
        </row>
        <row r="1826">
          <cell r="U1826">
            <v>617.66999999999996</v>
          </cell>
        </row>
        <row r="1827">
          <cell r="U1827">
            <v>2876</v>
          </cell>
        </row>
        <row r="1828">
          <cell r="U1828">
            <v>-124</v>
          </cell>
        </row>
        <row r="1829">
          <cell r="U1829">
            <v>-150</v>
          </cell>
        </row>
        <row r="1830">
          <cell r="U1830">
            <v>-1042.74</v>
          </cell>
        </row>
        <row r="1831">
          <cell r="U1831">
            <v>-158177.75</v>
          </cell>
        </row>
        <row r="1832">
          <cell r="U1832">
            <v>-30859.42</v>
          </cell>
        </row>
        <row r="1833">
          <cell r="U1833">
            <v>-1923.26</v>
          </cell>
        </row>
        <row r="1834">
          <cell r="U1834">
            <v>-144683.54999999999</v>
          </cell>
        </row>
        <row r="1835">
          <cell r="U1835">
            <v>-15400.07</v>
          </cell>
        </row>
        <row r="1836">
          <cell r="U1836">
            <v>-7779.18</v>
          </cell>
        </row>
        <row r="1837">
          <cell r="U1837">
            <v>-468300</v>
          </cell>
        </row>
        <row r="1838">
          <cell r="U1838">
            <v>511.44</v>
          </cell>
        </row>
        <row r="1839">
          <cell r="U1839">
            <v>160.34</v>
          </cell>
        </row>
        <row r="1840">
          <cell r="U1840">
            <v>7995.57</v>
          </cell>
        </row>
        <row r="1841">
          <cell r="U1841">
            <v>5012</v>
          </cell>
        </row>
        <row r="1842">
          <cell r="U1842">
            <v>355</v>
          </cell>
        </row>
        <row r="1843">
          <cell r="U1843">
            <v>200</v>
          </cell>
        </row>
        <row r="1844">
          <cell r="U1844">
            <v>496</v>
          </cell>
        </row>
        <row r="1845">
          <cell r="U1845">
            <v>150</v>
          </cell>
        </row>
        <row r="1846">
          <cell r="U1846">
            <v>280</v>
          </cell>
        </row>
        <row r="1847">
          <cell r="U1847">
            <v>3750</v>
          </cell>
        </row>
        <row r="1848">
          <cell r="U1848">
            <v>388.91</v>
          </cell>
        </row>
        <row r="1849">
          <cell r="U1849">
            <v>7718</v>
          </cell>
        </row>
        <row r="1850">
          <cell r="U1850">
            <v>2142.02</v>
          </cell>
        </row>
        <row r="1851">
          <cell r="U1851">
            <v>727</v>
          </cell>
        </row>
        <row r="1852">
          <cell r="U1852">
            <v>936.66</v>
          </cell>
        </row>
        <row r="1853">
          <cell r="U1853">
            <v>314.26</v>
          </cell>
        </row>
        <row r="1854">
          <cell r="U1854">
            <v>4013.61</v>
          </cell>
        </row>
        <row r="1855">
          <cell r="U1855">
            <v>672.9</v>
          </cell>
        </row>
        <row r="1856">
          <cell r="U1856">
            <v>147.15</v>
          </cell>
        </row>
        <row r="1857">
          <cell r="U1857">
            <v>30.56</v>
          </cell>
        </row>
        <row r="1858">
          <cell r="U1858">
            <v>1285</v>
          </cell>
        </row>
        <row r="1859">
          <cell r="U1859">
            <v>1093.07</v>
          </cell>
        </row>
        <row r="1860">
          <cell r="U1860">
            <v>1075</v>
          </cell>
        </row>
        <row r="1861">
          <cell r="U1861">
            <v>75</v>
          </cell>
        </row>
        <row r="1862">
          <cell r="U1862">
            <v>5609</v>
          </cell>
        </row>
        <row r="1863">
          <cell r="U1863">
            <v>1229.7</v>
          </cell>
        </row>
        <row r="1864">
          <cell r="U1864">
            <v>3203.97</v>
          </cell>
        </row>
        <row r="1865">
          <cell r="U1865">
            <v>195</v>
          </cell>
        </row>
        <row r="1866">
          <cell r="U1866">
            <v>620</v>
          </cell>
        </row>
        <row r="1867">
          <cell r="U1867">
            <v>1371.27</v>
          </cell>
        </row>
        <row r="1868">
          <cell r="U1868">
            <v>610</v>
          </cell>
        </row>
        <row r="1869">
          <cell r="U1869">
            <v>3209.71</v>
          </cell>
        </row>
        <row r="1870">
          <cell r="U1870">
            <v>2424.7199999999998</v>
          </cell>
        </row>
        <row r="1871">
          <cell r="U1871">
            <v>199.99</v>
          </cell>
        </row>
        <row r="1872">
          <cell r="U1872">
            <v>100</v>
          </cell>
        </row>
        <row r="1873">
          <cell r="U1873">
            <v>924</v>
          </cell>
        </row>
        <row r="1874">
          <cell r="U1874">
            <v>1119</v>
          </cell>
        </row>
        <row r="1875">
          <cell r="U1875">
            <v>1128.1500000000001</v>
          </cell>
        </row>
        <row r="1876">
          <cell r="U1876">
            <v>75</v>
          </cell>
        </row>
        <row r="1877">
          <cell r="U1877">
            <v>4900</v>
          </cell>
        </row>
        <row r="1878">
          <cell r="U1878">
            <v>870</v>
          </cell>
        </row>
        <row r="1879">
          <cell r="U1879">
            <v>115</v>
          </cell>
        </row>
        <row r="1880">
          <cell r="U1880">
            <v>373</v>
          </cell>
        </row>
        <row r="1881">
          <cell r="U1881">
            <v>1118.25</v>
          </cell>
        </row>
        <row r="1882">
          <cell r="U1882">
            <v>100</v>
          </cell>
        </row>
        <row r="1883">
          <cell r="U1883">
            <v>75</v>
          </cell>
        </row>
        <row r="1884">
          <cell r="U1884">
            <v>3830</v>
          </cell>
        </row>
        <row r="1885">
          <cell r="U1885">
            <v>375</v>
          </cell>
        </row>
        <row r="1886">
          <cell r="U1886">
            <v>6175.71</v>
          </cell>
        </row>
        <row r="1887">
          <cell r="U1887">
            <v>256.27</v>
          </cell>
        </row>
        <row r="1888">
          <cell r="U1888">
            <v>16000</v>
          </cell>
        </row>
        <row r="1889">
          <cell r="U1889">
            <v>65</v>
          </cell>
        </row>
        <row r="1890">
          <cell r="U1890">
            <v>231.4</v>
          </cell>
        </row>
        <row r="1891">
          <cell r="U1891">
            <v>125</v>
          </cell>
        </row>
        <row r="1892">
          <cell r="U1892">
            <v>3210.73</v>
          </cell>
        </row>
        <row r="1893">
          <cell r="U1893">
            <v>166</v>
          </cell>
        </row>
        <row r="1894">
          <cell r="U1894">
            <v>556.51</v>
          </cell>
        </row>
        <row r="1895">
          <cell r="U1895">
            <v>250</v>
          </cell>
        </row>
        <row r="1896">
          <cell r="U1896">
            <v>106.37</v>
          </cell>
        </row>
        <row r="1897">
          <cell r="U1897">
            <v>1358.33</v>
          </cell>
        </row>
        <row r="1898">
          <cell r="U1898">
            <v>100</v>
          </cell>
        </row>
        <row r="1899">
          <cell r="U1899">
            <v>1022</v>
          </cell>
        </row>
        <row r="1900">
          <cell r="U1900">
            <v>3180.78</v>
          </cell>
        </row>
        <row r="1901">
          <cell r="U1901">
            <v>20000</v>
          </cell>
        </row>
        <row r="1902">
          <cell r="U1902">
            <v>110</v>
          </cell>
        </row>
        <row r="1903">
          <cell r="U1903">
            <v>49.68</v>
          </cell>
        </row>
        <row r="1904">
          <cell r="U1904">
            <v>1267</v>
          </cell>
        </row>
        <row r="1905">
          <cell r="U1905">
            <v>2854</v>
          </cell>
        </row>
        <row r="1906">
          <cell r="U1906">
            <v>2645.8</v>
          </cell>
        </row>
        <row r="1907">
          <cell r="U1907">
            <v>-40616.58</v>
          </cell>
        </row>
        <row r="1908">
          <cell r="U1908">
            <v>272</v>
          </cell>
        </row>
        <row r="1909">
          <cell r="U1909">
            <v>294</v>
          </cell>
        </row>
        <row r="1910">
          <cell r="U1910">
            <v>360.66</v>
          </cell>
        </row>
        <row r="1911">
          <cell r="U1911">
            <v>6300</v>
          </cell>
        </row>
        <row r="1912">
          <cell r="U1912">
            <v>1792.88</v>
          </cell>
        </row>
        <row r="1913">
          <cell r="U1913">
            <v>944.12</v>
          </cell>
        </row>
        <row r="1914">
          <cell r="U1914">
            <v>5882</v>
          </cell>
        </row>
        <row r="1915">
          <cell r="U1915">
            <v>9879</v>
          </cell>
        </row>
        <row r="1916">
          <cell r="U1916">
            <v>1073.31</v>
          </cell>
        </row>
        <row r="1917">
          <cell r="U1917">
            <v>149.56</v>
          </cell>
        </row>
        <row r="1918">
          <cell r="U1918">
            <v>40</v>
          </cell>
        </row>
        <row r="1919">
          <cell r="U1919">
            <v>340</v>
          </cell>
        </row>
        <row r="1920">
          <cell r="U1920">
            <v>414.06</v>
          </cell>
        </row>
        <row r="1921">
          <cell r="U1921">
            <v>232.79</v>
          </cell>
        </row>
        <row r="1922">
          <cell r="U1922">
            <v>6336</v>
          </cell>
        </row>
        <row r="1923">
          <cell r="U1923">
            <v>141.97</v>
          </cell>
        </row>
        <row r="1924">
          <cell r="U1924">
            <v>200</v>
          </cell>
        </row>
        <row r="1925">
          <cell r="U1925">
            <v>3470</v>
          </cell>
        </row>
        <row r="1926">
          <cell r="U1926">
            <v>98</v>
          </cell>
        </row>
        <row r="1927">
          <cell r="U1927">
            <v>1775</v>
          </cell>
        </row>
        <row r="1928">
          <cell r="U1928">
            <v>300</v>
          </cell>
        </row>
        <row r="1929">
          <cell r="U1929">
            <v>100</v>
          </cell>
        </row>
        <row r="1930">
          <cell r="U1930">
            <v>-128418.43</v>
          </cell>
        </row>
        <row r="1931">
          <cell r="U1931">
            <v>-18585.53</v>
          </cell>
        </row>
        <row r="1932">
          <cell r="U1932">
            <v>-413175.45</v>
          </cell>
        </row>
        <row r="1933">
          <cell r="U1933">
            <v>-13739.99</v>
          </cell>
        </row>
        <row r="1934">
          <cell r="U1934">
            <v>4531</v>
          </cell>
        </row>
        <row r="1935">
          <cell r="U1935">
            <v>3175.45</v>
          </cell>
        </row>
        <row r="1936">
          <cell r="U1936">
            <v>150</v>
          </cell>
        </row>
        <row r="1937">
          <cell r="U1937">
            <v>638.84</v>
          </cell>
        </row>
        <row r="1938">
          <cell r="U1938">
            <v>917.8</v>
          </cell>
        </row>
        <row r="1939">
          <cell r="U1939">
            <v>915</v>
          </cell>
        </row>
        <row r="1940">
          <cell r="U1940">
            <v>-727</v>
          </cell>
        </row>
        <row r="1941">
          <cell r="U1941">
            <v>592.21</v>
          </cell>
        </row>
        <row r="1942">
          <cell r="U1942">
            <v>897.04</v>
          </cell>
        </row>
        <row r="1943">
          <cell r="U1943">
            <v>75</v>
          </cell>
        </row>
        <row r="1944">
          <cell r="U1944">
            <v>1814.54</v>
          </cell>
        </row>
        <row r="1945">
          <cell r="U1945">
            <v>609.66</v>
          </cell>
        </row>
        <row r="1946">
          <cell r="U1946">
            <v>1429.97</v>
          </cell>
        </row>
        <row r="1947">
          <cell r="U1947">
            <v>52.97</v>
          </cell>
        </row>
        <row r="1948">
          <cell r="U1948">
            <v>396</v>
          </cell>
        </row>
        <row r="1949">
          <cell r="U1949">
            <v>150</v>
          </cell>
        </row>
        <row r="1950">
          <cell r="U1950">
            <v>25</v>
          </cell>
        </row>
        <row r="1951">
          <cell r="U1951">
            <v>-396</v>
          </cell>
        </row>
        <row r="1952">
          <cell r="U1952">
            <v>-2396.86</v>
          </cell>
        </row>
        <row r="1953">
          <cell r="U1953">
            <v>2000000</v>
          </cell>
        </row>
        <row r="1954">
          <cell r="U1954">
            <v>60</v>
          </cell>
        </row>
        <row r="1955">
          <cell r="U1955">
            <v>1870</v>
          </cell>
        </row>
        <row r="1956">
          <cell r="U1956">
            <v>1728.54</v>
          </cell>
        </row>
        <row r="1957">
          <cell r="U1957">
            <v>892</v>
          </cell>
        </row>
        <row r="1958">
          <cell r="U1958">
            <v>1091</v>
          </cell>
        </row>
        <row r="1959">
          <cell r="U1959">
            <v>883.7</v>
          </cell>
        </row>
        <row r="1960">
          <cell r="U1960">
            <v>12900</v>
          </cell>
        </row>
        <row r="1961">
          <cell r="U1961">
            <v>95</v>
          </cell>
        </row>
        <row r="1962">
          <cell r="U1962">
            <v>180</v>
          </cell>
        </row>
        <row r="1963">
          <cell r="U1963">
            <v>1022.4</v>
          </cell>
        </row>
        <row r="1964">
          <cell r="U1964">
            <v>50</v>
          </cell>
        </row>
        <row r="1965">
          <cell r="U1965">
            <v>327.94</v>
          </cell>
        </row>
        <row r="1966">
          <cell r="U1966">
            <v>50</v>
          </cell>
        </row>
        <row r="1967">
          <cell r="U1967">
            <v>1187.92</v>
          </cell>
        </row>
        <row r="1968">
          <cell r="U1968">
            <v>193</v>
          </cell>
        </row>
        <row r="1969">
          <cell r="U1969">
            <v>1040.1300000000001</v>
          </cell>
        </row>
        <row r="1970">
          <cell r="U1970">
            <v>21400</v>
          </cell>
        </row>
        <row r="1971">
          <cell r="U1971">
            <v>65</v>
          </cell>
        </row>
        <row r="1972">
          <cell r="U1972">
            <v>3600</v>
          </cell>
        </row>
        <row r="1973">
          <cell r="U1973">
            <v>35</v>
          </cell>
        </row>
        <row r="1974">
          <cell r="U1974">
            <v>30</v>
          </cell>
        </row>
        <row r="1975">
          <cell r="U1975">
            <v>677.75</v>
          </cell>
        </row>
        <row r="1976">
          <cell r="U1976">
            <v>145</v>
          </cell>
        </row>
        <row r="1977">
          <cell r="U1977">
            <v>300</v>
          </cell>
        </row>
        <row r="1978">
          <cell r="U1978">
            <v>341.79</v>
          </cell>
        </row>
        <row r="1979">
          <cell r="U1979">
            <v>976.87</v>
          </cell>
        </row>
        <row r="1980">
          <cell r="U1980">
            <v>1123.8</v>
          </cell>
        </row>
        <row r="1981">
          <cell r="U1981">
            <v>3818.49</v>
          </cell>
        </row>
        <row r="1982">
          <cell r="U1982">
            <v>75</v>
          </cell>
        </row>
        <row r="1983">
          <cell r="U1983">
            <v>13.16</v>
          </cell>
        </row>
        <row r="1984">
          <cell r="U1984">
            <v>1864.46</v>
          </cell>
        </row>
        <row r="1985">
          <cell r="U1985">
            <v>23000</v>
          </cell>
        </row>
        <row r="1986">
          <cell r="U1986">
            <v>55</v>
          </cell>
        </row>
        <row r="1987">
          <cell r="U1987">
            <v>500</v>
          </cell>
        </row>
        <row r="1988">
          <cell r="U1988">
            <v>98</v>
          </cell>
        </row>
        <row r="1989">
          <cell r="U1989">
            <v>150</v>
          </cell>
        </row>
        <row r="1990">
          <cell r="U1990">
            <v>100</v>
          </cell>
        </row>
        <row r="1991">
          <cell r="U1991">
            <v>2379.12</v>
          </cell>
        </row>
        <row r="1992">
          <cell r="U1992">
            <v>28.7</v>
          </cell>
        </row>
        <row r="1993">
          <cell r="U1993">
            <v>160</v>
          </cell>
        </row>
        <row r="1994">
          <cell r="U1994">
            <v>120</v>
          </cell>
        </row>
        <row r="1995">
          <cell r="U1995">
            <v>1698.59</v>
          </cell>
        </row>
        <row r="1996">
          <cell r="U1996">
            <v>10</v>
          </cell>
        </row>
        <row r="1997">
          <cell r="U1997">
            <v>-1698.59</v>
          </cell>
        </row>
        <row r="1998">
          <cell r="U1998">
            <v>-72631.44</v>
          </cell>
        </row>
        <row r="1999">
          <cell r="U1999">
            <v>-2001728.54</v>
          </cell>
        </row>
        <row r="2000">
          <cell r="U2000">
            <v>-609.66</v>
          </cell>
        </row>
        <row r="2001">
          <cell r="U2001">
            <v>-14428.52</v>
          </cell>
        </row>
        <row r="2002">
          <cell r="U2002">
            <v>-10</v>
          </cell>
        </row>
        <row r="2003">
          <cell r="U2003">
            <v>2700</v>
          </cell>
        </row>
        <row r="2004">
          <cell r="U2004">
            <v>797.97</v>
          </cell>
        </row>
        <row r="2005">
          <cell r="U2005">
            <v>1467</v>
          </cell>
        </row>
        <row r="2006">
          <cell r="U2006">
            <v>1274</v>
          </cell>
        </row>
        <row r="2007">
          <cell r="U2007">
            <v>6500</v>
          </cell>
        </row>
        <row r="2008">
          <cell r="U2008">
            <v>300</v>
          </cell>
        </row>
        <row r="2009">
          <cell r="U2009">
            <v>890</v>
          </cell>
        </row>
        <row r="2010">
          <cell r="U2010">
            <v>2440.59</v>
          </cell>
        </row>
        <row r="2011">
          <cell r="U2011">
            <v>410.01</v>
          </cell>
        </row>
        <row r="2012">
          <cell r="U2012">
            <v>1518.25</v>
          </cell>
        </row>
        <row r="2013">
          <cell r="U2013">
            <v>6484.6</v>
          </cell>
        </row>
        <row r="2014">
          <cell r="U2014">
            <v>555.58000000000004</v>
          </cell>
        </row>
        <row r="2015">
          <cell r="U2015">
            <v>229.5</v>
          </cell>
        </row>
        <row r="2016">
          <cell r="U2016">
            <v>65</v>
          </cell>
        </row>
        <row r="2017">
          <cell r="U2017">
            <v>101.74</v>
          </cell>
        </row>
        <row r="2018">
          <cell r="U2018">
            <v>185</v>
          </cell>
        </row>
        <row r="2019">
          <cell r="U2019">
            <v>979.2</v>
          </cell>
        </row>
        <row r="2020">
          <cell r="U2020">
            <v>675</v>
          </cell>
        </row>
        <row r="2021">
          <cell r="U2021">
            <v>525</v>
          </cell>
        </row>
        <row r="2022">
          <cell r="U2022">
            <v>750</v>
          </cell>
        </row>
        <row r="2023">
          <cell r="U2023">
            <v>283.12</v>
          </cell>
        </row>
        <row r="2024">
          <cell r="U2024">
            <v>215</v>
          </cell>
        </row>
        <row r="2025">
          <cell r="U2025">
            <v>3323.48</v>
          </cell>
        </row>
        <row r="2026">
          <cell r="U2026">
            <v>1264.46</v>
          </cell>
        </row>
        <row r="2027">
          <cell r="U2027">
            <v>2481.7199999999998</v>
          </cell>
        </row>
        <row r="2028">
          <cell r="U2028">
            <v>5255.01</v>
          </cell>
        </row>
        <row r="2029">
          <cell r="U2029">
            <v>300</v>
          </cell>
        </row>
        <row r="2030">
          <cell r="U2030">
            <v>72.81</v>
          </cell>
        </row>
        <row r="2031">
          <cell r="U2031">
            <v>83</v>
          </cell>
        </row>
        <row r="2032">
          <cell r="U2032">
            <v>92.34</v>
          </cell>
        </row>
        <row r="2033">
          <cell r="U2033">
            <v>616.87</v>
          </cell>
        </row>
        <row r="2034">
          <cell r="U2034">
            <v>3000</v>
          </cell>
        </row>
        <row r="2035">
          <cell r="U2035">
            <v>405.44</v>
          </cell>
        </row>
        <row r="2036">
          <cell r="U2036">
            <v>6747.38</v>
          </cell>
        </row>
        <row r="2037">
          <cell r="U2037">
            <v>960</v>
          </cell>
        </row>
        <row r="2038">
          <cell r="U2038">
            <v>1497.54</v>
          </cell>
        </row>
        <row r="2039">
          <cell r="U2039">
            <v>162.49</v>
          </cell>
        </row>
        <row r="2040">
          <cell r="U2040">
            <v>52.78</v>
          </cell>
        </row>
        <row r="2041">
          <cell r="U2041">
            <v>100</v>
          </cell>
        </row>
        <row r="2042">
          <cell r="U2042">
            <v>3362.6</v>
          </cell>
        </row>
        <row r="2043">
          <cell r="U2043">
            <v>590</v>
          </cell>
        </row>
        <row r="2044">
          <cell r="U2044">
            <v>289.05</v>
          </cell>
        </row>
        <row r="2045">
          <cell r="U2045">
            <v>1442.19</v>
          </cell>
        </row>
        <row r="2046">
          <cell r="U2046">
            <v>2915.15</v>
          </cell>
        </row>
        <row r="2047">
          <cell r="U2047">
            <v>300</v>
          </cell>
        </row>
        <row r="2048">
          <cell r="U2048">
            <v>5234.38</v>
          </cell>
        </row>
        <row r="2049">
          <cell r="U2049">
            <v>700</v>
          </cell>
        </row>
        <row r="2050">
          <cell r="U2050">
            <v>495</v>
          </cell>
        </row>
        <row r="2051">
          <cell r="U2051">
            <v>172.88</v>
          </cell>
        </row>
        <row r="2052">
          <cell r="U2052">
            <v>50</v>
          </cell>
        </row>
        <row r="2053">
          <cell r="U2053">
            <v>1257</v>
          </cell>
        </row>
        <row r="2054">
          <cell r="U2054">
            <v>904</v>
          </cell>
        </row>
        <row r="2055">
          <cell r="U2055">
            <v>149</v>
          </cell>
        </row>
        <row r="2056">
          <cell r="U2056">
            <v>311.92</v>
          </cell>
        </row>
        <row r="2057">
          <cell r="U2057">
            <v>7500</v>
          </cell>
        </row>
        <row r="2058">
          <cell r="U2058">
            <v>82</v>
          </cell>
        </row>
        <row r="2059">
          <cell r="U2059">
            <v>262.99</v>
          </cell>
        </row>
        <row r="2060">
          <cell r="U2060">
            <v>100</v>
          </cell>
        </row>
        <row r="2061">
          <cell r="U2061">
            <v>3040</v>
          </cell>
        </row>
        <row r="2062">
          <cell r="U2062">
            <v>4259.17</v>
          </cell>
        </row>
        <row r="2063">
          <cell r="U2063">
            <v>8232</v>
          </cell>
        </row>
        <row r="2064">
          <cell r="U2064">
            <v>204.79</v>
          </cell>
        </row>
        <row r="2065">
          <cell r="U2065">
            <v>901.56</v>
          </cell>
        </row>
        <row r="2066">
          <cell r="U2066">
            <v>722</v>
          </cell>
        </row>
        <row r="2067">
          <cell r="U2067">
            <v>50</v>
          </cell>
        </row>
        <row r="2068">
          <cell r="U2068">
            <v>150</v>
          </cell>
        </row>
        <row r="2069">
          <cell r="U2069">
            <v>3288.68</v>
          </cell>
        </row>
        <row r="2070">
          <cell r="U2070">
            <v>5250</v>
          </cell>
        </row>
        <row r="2071">
          <cell r="U2071">
            <v>200</v>
          </cell>
        </row>
        <row r="2072">
          <cell r="U2072">
            <v>100</v>
          </cell>
        </row>
        <row r="2073">
          <cell r="U2073">
            <v>1023.11</v>
          </cell>
        </row>
        <row r="2074">
          <cell r="U2074">
            <v>713.02</v>
          </cell>
        </row>
        <row r="2075">
          <cell r="U2075">
            <v>100</v>
          </cell>
        </row>
        <row r="2076">
          <cell r="U2076">
            <v>376.18</v>
          </cell>
        </row>
        <row r="2077">
          <cell r="U2077">
            <v>2393</v>
          </cell>
        </row>
        <row r="2078">
          <cell r="U2078">
            <v>150</v>
          </cell>
        </row>
        <row r="2079">
          <cell r="U2079">
            <v>646.99</v>
          </cell>
        </row>
        <row r="2080">
          <cell r="U2080">
            <v>4000</v>
          </cell>
        </row>
        <row r="2081">
          <cell r="U2081">
            <v>699.99</v>
          </cell>
        </row>
        <row r="2082">
          <cell r="U2082">
            <v>429.36</v>
          </cell>
        </row>
        <row r="2083">
          <cell r="U2083">
            <v>4898.17</v>
          </cell>
        </row>
        <row r="2084">
          <cell r="U2084">
            <v>342.74</v>
          </cell>
        </row>
        <row r="2085">
          <cell r="U2085">
            <v>809.59</v>
          </cell>
        </row>
        <row r="2086">
          <cell r="U2086">
            <v>200</v>
          </cell>
        </row>
        <row r="2087">
          <cell r="U2087">
            <v>280</v>
          </cell>
        </row>
        <row r="2088">
          <cell r="U2088">
            <v>795</v>
          </cell>
        </row>
        <row r="2089">
          <cell r="U2089">
            <v>3558.94</v>
          </cell>
        </row>
        <row r="2090">
          <cell r="U2090">
            <v>1107.8699999999999</v>
          </cell>
        </row>
        <row r="2091">
          <cell r="U2091">
            <v>3792.02</v>
          </cell>
        </row>
        <row r="2092">
          <cell r="U2092">
            <v>250</v>
          </cell>
        </row>
        <row r="2093">
          <cell r="U2093">
            <v>6975.52</v>
          </cell>
        </row>
        <row r="2094">
          <cell r="U2094">
            <v>200</v>
          </cell>
        </row>
        <row r="2095">
          <cell r="U2095">
            <v>782</v>
          </cell>
        </row>
        <row r="2096">
          <cell r="U2096">
            <v>5000</v>
          </cell>
        </row>
        <row r="2097">
          <cell r="U2097">
            <v>682</v>
          </cell>
        </row>
        <row r="2098">
          <cell r="U2098">
            <v>4228.53</v>
          </cell>
        </row>
        <row r="2099">
          <cell r="U2099">
            <v>1736.93</v>
          </cell>
        </row>
        <row r="2100">
          <cell r="U2100">
            <v>3275.65</v>
          </cell>
        </row>
        <row r="2101">
          <cell r="U2101">
            <v>470</v>
          </cell>
        </row>
        <row r="2102">
          <cell r="U2102">
            <v>350</v>
          </cell>
        </row>
        <row r="2103">
          <cell r="U2103">
            <v>850.46</v>
          </cell>
        </row>
        <row r="2104">
          <cell r="U2104">
            <v>770</v>
          </cell>
        </row>
        <row r="2105">
          <cell r="U2105">
            <v>359</v>
          </cell>
        </row>
        <row r="2106">
          <cell r="U2106">
            <v>361</v>
          </cell>
        </row>
        <row r="2107">
          <cell r="U2107">
            <v>100000</v>
          </cell>
        </row>
        <row r="2108">
          <cell r="U2108">
            <v>10116.73</v>
          </cell>
        </row>
        <row r="2109">
          <cell r="U2109">
            <v>586.32000000000005</v>
          </cell>
        </row>
        <row r="2110">
          <cell r="U2110">
            <v>160</v>
          </cell>
        </row>
        <row r="2111">
          <cell r="U2111">
            <v>310</v>
          </cell>
        </row>
        <row r="2112">
          <cell r="U2112">
            <v>11980</v>
          </cell>
        </row>
        <row r="2113">
          <cell r="U2113">
            <v>628.36</v>
          </cell>
        </row>
        <row r="2114">
          <cell r="U2114">
            <v>608</v>
          </cell>
        </row>
        <row r="2115">
          <cell r="U2115">
            <v>1265.52</v>
          </cell>
        </row>
        <row r="2116">
          <cell r="U2116">
            <v>100</v>
          </cell>
        </row>
        <row r="2117">
          <cell r="U2117">
            <v>1416.56</v>
          </cell>
        </row>
        <row r="2118">
          <cell r="U2118">
            <v>771.25</v>
          </cell>
        </row>
        <row r="2119">
          <cell r="U2119">
            <v>345</v>
          </cell>
        </row>
        <row r="2120">
          <cell r="U2120">
            <v>400</v>
          </cell>
        </row>
        <row r="2121">
          <cell r="U2121">
            <v>4576.75</v>
          </cell>
        </row>
        <row r="2122">
          <cell r="U2122">
            <v>7801.52</v>
          </cell>
        </row>
        <row r="2123">
          <cell r="U2123">
            <v>649.23</v>
          </cell>
        </row>
        <row r="2124">
          <cell r="U2124">
            <v>100</v>
          </cell>
        </row>
        <row r="2125">
          <cell r="U2125">
            <v>150</v>
          </cell>
        </row>
        <row r="2126">
          <cell r="U2126">
            <v>320</v>
          </cell>
        </row>
        <row r="2127">
          <cell r="U2127">
            <v>25</v>
          </cell>
        </row>
        <row r="2128">
          <cell r="U2128">
            <v>1352.62</v>
          </cell>
        </row>
        <row r="2129">
          <cell r="U2129">
            <v>135</v>
          </cell>
        </row>
        <row r="2130">
          <cell r="U2130">
            <v>287.75</v>
          </cell>
        </row>
        <row r="2131">
          <cell r="U2131">
            <v>1194</v>
          </cell>
        </row>
        <row r="2132">
          <cell r="U2132">
            <v>150</v>
          </cell>
        </row>
        <row r="2133">
          <cell r="U2133">
            <v>200</v>
          </cell>
        </row>
        <row r="2134">
          <cell r="U2134">
            <v>350</v>
          </cell>
        </row>
        <row r="2135">
          <cell r="U2135">
            <v>150</v>
          </cell>
        </row>
        <row r="2136">
          <cell r="U2136">
            <v>200</v>
          </cell>
        </row>
        <row r="2137">
          <cell r="U2137">
            <v>739.5</v>
          </cell>
        </row>
        <row r="2138">
          <cell r="U2138">
            <v>150</v>
          </cell>
        </row>
        <row r="2139">
          <cell r="U2139">
            <v>175</v>
          </cell>
        </row>
        <row r="2140">
          <cell r="U2140">
            <v>1260.28</v>
          </cell>
        </row>
        <row r="2141">
          <cell r="U2141">
            <v>350</v>
          </cell>
        </row>
        <row r="2142">
          <cell r="U2142">
            <v>325</v>
          </cell>
        </row>
        <row r="2143">
          <cell r="U2143">
            <v>664.89</v>
          </cell>
        </row>
        <row r="2144">
          <cell r="U2144">
            <v>1638.75</v>
          </cell>
        </row>
        <row r="2145">
          <cell r="U2145">
            <v>391.21</v>
          </cell>
        </row>
        <row r="2146">
          <cell r="U2146">
            <v>300</v>
          </cell>
        </row>
        <row r="2147">
          <cell r="U2147">
            <v>264.79000000000002</v>
          </cell>
        </row>
        <row r="2148">
          <cell r="U2148">
            <v>1075.5</v>
          </cell>
        </row>
        <row r="2149">
          <cell r="U2149">
            <v>13310</v>
          </cell>
        </row>
        <row r="2150">
          <cell r="U2150">
            <v>67500</v>
          </cell>
        </row>
        <row r="2151">
          <cell r="U2151">
            <v>635</v>
          </cell>
        </row>
        <row r="2152">
          <cell r="U2152">
            <v>1638.05</v>
          </cell>
        </row>
        <row r="2153">
          <cell r="U2153">
            <v>2956.1</v>
          </cell>
        </row>
        <row r="2154">
          <cell r="U2154">
            <v>1971.55</v>
          </cell>
        </row>
        <row r="2155">
          <cell r="U2155">
            <v>5000</v>
          </cell>
        </row>
        <row r="2156">
          <cell r="U2156">
            <v>100</v>
          </cell>
        </row>
        <row r="2157">
          <cell r="U2157">
            <v>993.99</v>
          </cell>
        </row>
        <row r="2158">
          <cell r="U2158">
            <v>175</v>
          </cell>
        </row>
        <row r="2159">
          <cell r="U2159">
            <v>5469.19</v>
          </cell>
        </row>
        <row r="2160">
          <cell r="U2160">
            <v>164.72</v>
          </cell>
        </row>
        <row r="2161">
          <cell r="U2161">
            <v>582.42999999999995</v>
          </cell>
        </row>
        <row r="2162">
          <cell r="U2162">
            <v>218.5</v>
          </cell>
        </row>
        <row r="2163">
          <cell r="U2163">
            <v>175</v>
          </cell>
        </row>
        <row r="2164">
          <cell r="U2164">
            <v>80</v>
          </cell>
        </row>
        <row r="2165">
          <cell r="U2165">
            <v>20.02</v>
          </cell>
        </row>
        <row r="2166">
          <cell r="U2166">
            <v>32.5</v>
          </cell>
        </row>
        <row r="2167">
          <cell r="U2167">
            <v>493.62</v>
          </cell>
        </row>
        <row r="2168">
          <cell r="U2168">
            <v>530</v>
          </cell>
        </row>
        <row r="2169">
          <cell r="U2169">
            <v>526.54999999999995</v>
          </cell>
        </row>
        <row r="2170">
          <cell r="U2170">
            <v>445</v>
          </cell>
        </row>
        <row r="2171">
          <cell r="U2171">
            <v>825</v>
          </cell>
        </row>
        <row r="2172">
          <cell r="U2172">
            <v>45</v>
          </cell>
        </row>
        <row r="2173">
          <cell r="U2173">
            <v>64</v>
          </cell>
        </row>
        <row r="2174">
          <cell r="U2174">
            <v>10106.709999999999</v>
          </cell>
        </row>
        <row r="2175">
          <cell r="U2175">
            <v>235</v>
          </cell>
        </row>
        <row r="2176">
          <cell r="U2176">
            <v>497.45</v>
          </cell>
        </row>
        <row r="2177">
          <cell r="U2177">
            <v>1305.52</v>
          </cell>
        </row>
        <row r="2178">
          <cell r="U2178">
            <v>168.4</v>
          </cell>
        </row>
        <row r="2179">
          <cell r="U2179">
            <v>6127.57</v>
          </cell>
        </row>
        <row r="2180">
          <cell r="U2180">
            <v>470</v>
          </cell>
        </row>
        <row r="2181">
          <cell r="U2181">
            <v>1700</v>
          </cell>
        </row>
        <row r="2182">
          <cell r="U2182">
            <v>702</v>
          </cell>
        </row>
        <row r="2183">
          <cell r="U2183">
            <v>2021.48</v>
          </cell>
        </row>
        <row r="2184">
          <cell r="U2184">
            <v>1600</v>
          </cell>
        </row>
        <row r="2185">
          <cell r="U2185">
            <v>100</v>
          </cell>
        </row>
        <row r="2186">
          <cell r="U2186">
            <v>2088.62</v>
          </cell>
        </row>
        <row r="2187">
          <cell r="U2187">
            <v>1759</v>
          </cell>
        </row>
        <row r="2188">
          <cell r="U2188">
            <v>1456</v>
          </cell>
        </row>
        <row r="2189">
          <cell r="U2189">
            <v>249.99</v>
          </cell>
        </row>
        <row r="2190">
          <cell r="U2190">
            <v>225</v>
          </cell>
        </row>
        <row r="2191">
          <cell r="U2191">
            <v>364</v>
          </cell>
        </row>
        <row r="2192">
          <cell r="U2192">
            <v>100</v>
          </cell>
        </row>
        <row r="2193">
          <cell r="U2193">
            <v>100</v>
          </cell>
        </row>
        <row r="2194">
          <cell r="U2194">
            <v>875</v>
          </cell>
        </row>
        <row r="2195">
          <cell r="U2195">
            <v>3822</v>
          </cell>
        </row>
        <row r="2196">
          <cell r="U2196">
            <v>200</v>
          </cell>
        </row>
        <row r="2197">
          <cell r="U2197">
            <v>59.8</v>
          </cell>
        </row>
        <row r="2198">
          <cell r="U2198">
            <v>100</v>
          </cell>
        </row>
        <row r="2199">
          <cell r="U2199">
            <v>910.93</v>
          </cell>
        </row>
        <row r="2200">
          <cell r="U2200">
            <v>250</v>
          </cell>
        </row>
        <row r="2201">
          <cell r="U2201">
            <v>100</v>
          </cell>
        </row>
        <row r="2202">
          <cell r="U2202">
            <v>909</v>
          </cell>
        </row>
        <row r="2203">
          <cell r="U2203">
            <v>9573.8700000000008</v>
          </cell>
        </row>
        <row r="2204">
          <cell r="U2204">
            <v>346</v>
          </cell>
        </row>
        <row r="2205">
          <cell r="U2205">
            <v>534</v>
          </cell>
        </row>
        <row r="2206">
          <cell r="U2206">
            <v>100</v>
          </cell>
        </row>
        <row r="2207">
          <cell r="U2207">
            <v>40</v>
          </cell>
        </row>
        <row r="2208">
          <cell r="U2208">
            <v>2452</v>
          </cell>
        </row>
        <row r="2209">
          <cell r="U2209">
            <v>911.56</v>
          </cell>
        </row>
        <row r="2210">
          <cell r="U2210">
            <v>285</v>
          </cell>
        </row>
        <row r="2211">
          <cell r="U2211">
            <v>1508</v>
          </cell>
        </row>
        <row r="2212">
          <cell r="U2212">
            <v>200</v>
          </cell>
        </row>
        <row r="2213">
          <cell r="U2213">
            <v>200</v>
          </cell>
        </row>
        <row r="2214">
          <cell r="U2214">
            <v>250</v>
          </cell>
        </row>
        <row r="2215">
          <cell r="U2215">
            <v>13654</v>
          </cell>
        </row>
        <row r="2216">
          <cell r="U2216">
            <v>1515</v>
          </cell>
        </row>
        <row r="2217">
          <cell r="U2217">
            <v>295.39</v>
          </cell>
        </row>
        <row r="2218">
          <cell r="U2218">
            <v>4065.33</v>
          </cell>
        </row>
        <row r="2219">
          <cell r="U2219">
            <v>300</v>
          </cell>
        </row>
        <row r="2220">
          <cell r="U2220">
            <v>3967.4</v>
          </cell>
        </row>
        <row r="2221">
          <cell r="U2221">
            <v>114.32</v>
          </cell>
        </row>
        <row r="2222">
          <cell r="U2222">
            <v>100</v>
          </cell>
        </row>
        <row r="2223">
          <cell r="U2223">
            <v>59</v>
          </cell>
        </row>
        <row r="2224">
          <cell r="U2224">
            <v>1044.96</v>
          </cell>
        </row>
        <row r="2225">
          <cell r="U2225">
            <v>120</v>
          </cell>
        </row>
        <row r="2226">
          <cell r="U2226">
            <v>337</v>
          </cell>
        </row>
        <row r="2227">
          <cell r="U2227">
            <v>556.48</v>
          </cell>
        </row>
        <row r="2228">
          <cell r="U2228">
            <v>1456.01</v>
          </cell>
        </row>
        <row r="2229">
          <cell r="U2229">
            <v>-26905.439999999999</v>
          </cell>
        </row>
        <row r="2230">
          <cell r="U2230">
            <v>1000</v>
          </cell>
        </row>
        <row r="2231">
          <cell r="U2231">
            <v>503</v>
          </cell>
        </row>
        <row r="2232">
          <cell r="U2232">
            <v>1295</v>
          </cell>
        </row>
        <row r="2233">
          <cell r="U2233">
            <v>7098.97</v>
          </cell>
        </row>
        <row r="2234">
          <cell r="U2234">
            <v>125.35</v>
          </cell>
        </row>
        <row r="2235">
          <cell r="U2235">
            <v>100</v>
          </cell>
        </row>
        <row r="2236">
          <cell r="U2236">
            <v>1218</v>
          </cell>
        </row>
        <row r="2237">
          <cell r="U2237">
            <v>600</v>
          </cell>
        </row>
        <row r="2238">
          <cell r="U2238">
            <v>-5255.01</v>
          </cell>
        </row>
        <row r="2239">
          <cell r="U2239">
            <v>-4065.33</v>
          </cell>
        </row>
        <row r="2240">
          <cell r="U2240">
            <v>-225</v>
          </cell>
        </row>
        <row r="2241">
          <cell r="U2241">
            <v>-126001.05</v>
          </cell>
        </row>
        <row r="2242">
          <cell r="U2242">
            <v>-26017.45</v>
          </cell>
        </row>
        <row r="2243">
          <cell r="U2243">
            <v>-43138.05</v>
          </cell>
        </row>
        <row r="2244">
          <cell r="U2244">
            <v>-163933.43</v>
          </cell>
        </row>
        <row r="2245">
          <cell r="U2245">
            <v>-3296.39</v>
          </cell>
        </row>
        <row r="2246">
          <cell r="U2246">
            <v>-7500</v>
          </cell>
        </row>
        <row r="2247">
          <cell r="U2247">
            <v>-104875.02</v>
          </cell>
        </row>
        <row r="2248">
          <cell r="U2248">
            <v>30</v>
          </cell>
        </row>
        <row r="2249">
          <cell r="U2249">
            <v>418</v>
          </cell>
        </row>
        <row r="2250">
          <cell r="U2250">
            <v>560</v>
          </cell>
        </row>
        <row r="2251">
          <cell r="U2251">
            <v>500</v>
          </cell>
        </row>
        <row r="2252">
          <cell r="U2252">
            <v>1809.43</v>
          </cell>
        </row>
        <row r="2253">
          <cell r="U2253">
            <v>3570.72</v>
          </cell>
        </row>
        <row r="2254">
          <cell r="U2254">
            <v>359.97</v>
          </cell>
        </row>
        <row r="2255">
          <cell r="U2255">
            <v>150</v>
          </cell>
        </row>
        <row r="2256">
          <cell r="U2256">
            <v>250</v>
          </cell>
        </row>
        <row r="2257">
          <cell r="U2257">
            <v>90</v>
          </cell>
        </row>
        <row r="2258">
          <cell r="U2258">
            <v>752.5</v>
          </cell>
        </row>
        <row r="2259">
          <cell r="U2259">
            <v>497.3</v>
          </cell>
        </row>
        <row r="2260">
          <cell r="U2260">
            <v>200</v>
          </cell>
        </row>
        <row r="2261">
          <cell r="U2261">
            <v>5000</v>
          </cell>
        </row>
        <row r="2262">
          <cell r="U2262">
            <v>345</v>
          </cell>
        </row>
        <row r="2263">
          <cell r="U2263">
            <v>8500</v>
          </cell>
        </row>
        <row r="2264">
          <cell r="U2264">
            <v>2439.5</v>
          </cell>
        </row>
        <row r="2265">
          <cell r="U2265">
            <v>200</v>
          </cell>
        </row>
        <row r="2266">
          <cell r="U2266">
            <v>668.99</v>
          </cell>
        </row>
        <row r="2267">
          <cell r="U2267">
            <v>2841.23</v>
          </cell>
        </row>
        <row r="2268">
          <cell r="U2268">
            <v>312.85000000000002</v>
          </cell>
        </row>
        <row r="2269">
          <cell r="U2269">
            <v>1222</v>
          </cell>
        </row>
        <row r="2270">
          <cell r="U2270">
            <v>131.19999999999999</v>
          </cell>
        </row>
        <row r="2271">
          <cell r="U2271">
            <v>973.72</v>
          </cell>
        </row>
        <row r="2272">
          <cell r="U2272">
            <v>702.5</v>
          </cell>
        </row>
        <row r="2273">
          <cell r="U2273">
            <v>520</v>
          </cell>
        </row>
        <row r="2274">
          <cell r="U2274">
            <v>350</v>
          </cell>
        </row>
        <row r="2275">
          <cell r="U2275">
            <v>143</v>
          </cell>
        </row>
        <row r="2276">
          <cell r="U2276">
            <v>700</v>
          </cell>
        </row>
        <row r="2277">
          <cell r="U2277">
            <v>125</v>
          </cell>
        </row>
        <row r="2278">
          <cell r="U2278">
            <v>90</v>
          </cell>
        </row>
        <row r="2279">
          <cell r="U2279">
            <v>855</v>
          </cell>
        </row>
        <row r="2280">
          <cell r="U2280">
            <v>1584.38</v>
          </cell>
        </row>
        <row r="2281">
          <cell r="U2281">
            <v>1500</v>
          </cell>
        </row>
        <row r="2282">
          <cell r="U2282">
            <v>35</v>
          </cell>
        </row>
        <row r="2283">
          <cell r="U2283">
            <v>250</v>
          </cell>
        </row>
        <row r="2284">
          <cell r="U2284">
            <v>15000</v>
          </cell>
        </row>
        <row r="2285">
          <cell r="U2285">
            <v>460</v>
          </cell>
        </row>
        <row r="2286">
          <cell r="U2286">
            <v>1737.34</v>
          </cell>
        </row>
        <row r="2287">
          <cell r="U2287">
            <v>1169.5899999999999</v>
          </cell>
        </row>
        <row r="2288">
          <cell r="U2288">
            <v>750</v>
          </cell>
        </row>
        <row r="2289">
          <cell r="U2289">
            <v>724.75</v>
          </cell>
        </row>
        <row r="2290">
          <cell r="U2290">
            <v>153</v>
          </cell>
        </row>
        <row r="2291">
          <cell r="U2291">
            <v>159</v>
          </cell>
        </row>
        <row r="2292">
          <cell r="U2292">
            <v>175</v>
          </cell>
        </row>
        <row r="2293">
          <cell r="U2293">
            <v>100</v>
          </cell>
        </row>
        <row r="2294">
          <cell r="U2294">
            <v>244.36</v>
          </cell>
        </row>
        <row r="2295">
          <cell r="U2295">
            <v>27301.32</v>
          </cell>
        </row>
        <row r="2296">
          <cell r="U2296">
            <v>3200</v>
          </cell>
        </row>
        <row r="2297">
          <cell r="U2297">
            <v>50</v>
          </cell>
        </row>
        <row r="2298">
          <cell r="U2298">
            <v>858.46</v>
          </cell>
        </row>
        <row r="2299">
          <cell r="U2299">
            <v>125</v>
          </cell>
        </row>
        <row r="2300">
          <cell r="U2300">
            <v>1000</v>
          </cell>
        </row>
        <row r="2301">
          <cell r="U2301">
            <v>180</v>
          </cell>
        </row>
        <row r="2302">
          <cell r="U2302">
            <v>84</v>
          </cell>
        </row>
        <row r="2303">
          <cell r="U2303">
            <v>125</v>
          </cell>
        </row>
        <row r="2304">
          <cell r="U2304">
            <v>1391.31</v>
          </cell>
        </row>
        <row r="2305">
          <cell r="U2305">
            <v>36.35</v>
          </cell>
        </row>
        <row r="2306">
          <cell r="U2306">
            <v>38583.26</v>
          </cell>
        </row>
        <row r="2307">
          <cell r="U2307">
            <v>3342.99</v>
          </cell>
        </row>
        <row r="2308">
          <cell r="U2308">
            <v>428.99</v>
          </cell>
        </row>
        <row r="2309">
          <cell r="U2309">
            <v>2031.32</v>
          </cell>
        </row>
        <row r="2310">
          <cell r="U2310">
            <v>331.05</v>
          </cell>
        </row>
        <row r="2311">
          <cell r="U2311">
            <v>4155.96</v>
          </cell>
        </row>
        <row r="2312">
          <cell r="U2312">
            <v>1144.48</v>
          </cell>
        </row>
        <row r="2313">
          <cell r="U2313">
            <v>741.37</v>
          </cell>
        </row>
        <row r="2314">
          <cell r="U2314">
            <v>314.77999999999997</v>
          </cell>
        </row>
        <row r="2315">
          <cell r="U2315">
            <v>437.5</v>
          </cell>
        </row>
        <row r="2316">
          <cell r="U2316">
            <v>1539.76</v>
          </cell>
        </row>
        <row r="2317">
          <cell r="U2317">
            <v>1290</v>
          </cell>
        </row>
        <row r="2318">
          <cell r="U2318">
            <v>500</v>
          </cell>
        </row>
        <row r="2319">
          <cell r="U2319">
            <v>914</v>
          </cell>
        </row>
        <row r="2320">
          <cell r="U2320">
            <v>120</v>
          </cell>
        </row>
        <row r="2321">
          <cell r="U2321">
            <v>349.87</v>
          </cell>
        </row>
        <row r="2322">
          <cell r="U2322">
            <v>405</v>
          </cell>
        </row>
        <row r="2323">
          <cell r="U2323">
            <v>634</v>
          </cell>
        </row>
        <row r="2324">
          <cell r="U2324">
            <v>165</v>
          </cell>
        </row>
        <row r="2325">
          <cell r="U2325">
            <v>3705.71</v>
          </cell>
        </row>
        <row r="2326">
          <cell r="U2326">
            <v>1200</v>
          </cell>
        </row>
        <row r="2327">
          <cell r="U2327">
            <v>7000</v>
          </cell>
        </row>
        <row r="2328">
          <cell r="U2328">
            <v>7500</v>
          </cell>
        </row>
        <row r="2329">
          <cell r="U2329">
            <v>65</v>
          </cell>
        </row>
        <row r="2330">
          <cell r="U2330">
            <v>202</v>
          </cell>
        </row>
        <row r="2331">
          <cell r="U2331">
            <v>275</v>
          </cell>
        </row>
        <row r="2332">
          <cell r="U2332">
            <v>65</v>
          </cell>
        </row>
        <row r="2333">
          <cell r="U2333">
            <v>100</v>
          </cell>
        </row>
        <row r="2334">
          <cell r="U2334">
            <v>307</v>
          </cell>
        </row>
        <row r="2335">
          <cell r="U2335">
            <v>133</v>
          </cell>
        </row>
        <row r="2336">
          <cell r="U2336">
            <v>300</v>
          </cell>
        </row>
        <row r="2337">
          <cell r="U2337">
            <v>2744.86</v>
          </cell>
        </row>
        <row r="2338">
          <cell r="U2338">
            <v>1386.3</v>
          </cell>
        </row>
        <row r="2339">
          <cell r="U2339">
            <v>1689.88</v>
          </cell>
        </row>
        <row r="2340">
          <cell r="U2340">
            <v>100</v>
          </cell>
        </row>
        <row r="2341">
          <cell r="U2341">
            <v>342.64</v>
          </cell>
        </row>
        <row r="2342">
          <cell r="U2342">
            <v>567</v>
          </cell>
        </row>
        <row r="2343">
          <cell r="U2343">
            <v>1993.55</v>
          </cell>
        </row>
        <row r="2344">
          <cell r="U2344">
            <v>100</v>
          </cell>
        </row>
        <row r="2345">
          <cell r="U2345">
            <v>9585.2000000000007</v>
          </cell>
        </row>
        <row r="2346">
          <cell r="U2346">
            <v>3000</v>
          </cell>
        </row>
        <row r="2347">
          <cell r="U2347">
            <v>100</v>
          </cell>
        </row>
        <row r="2348">
          <cell r="U2348">
            <v>745</v>
          </cell>
        </row>
        <row r="2349">
          <cell r="U2349">
            <v>810.73</v>
          </cell>
        </row>
        <row r="2350">
          <cell r="U2350">
            <v>56.14</v>
          </cell>
        </row>
        <row r="2351">
          <cell r="U2351">
            <v>1020</v>
          </cell>
        </row>
        <row r="2352">
          <cell r="U2352">
            <v>105.14</v>
          </cell>
        </row>
        <row r="2353">
          <cell r="U2353">
            <v>337</v>
          </cell>
        </row>
        <row r="2354">
          <cell r="U2354">
            <v>450</v>
          </cell>
        </row>
        <row r="2355">
          <cell r="U2355">
            <v>2320</v>
          </cell>
        </row>
        <row r="2356">
          <cell r="U2356">
            <v>114.39</v>
          </cell>
        </row>
        <row r="2357">
          <cell r="U2357">
            <v>393.95</v>
          </cell>
        </row>
        <row r="2358">
          <cell r="U2358">
            <v>350</v>
          </cell>
        </row>
        <row r="2359">
          <cell r="U2359">
            <v>6500</v>
          </cell>
        </row>
        <row r="2360">
          <cell r="U2360">
            <v>120</v>
          </cell>
        </row>
        <row r="2361">
          <cell r="U2361">
            <v>399.77</v>
          </cell>
        </row>
        <row r="2362">
          <cell r="U2362">
            <v>75</v>
          </cell>
        </row>
        <row r="2363">
          <cell r="U2363">
            <v>100</v>
          </cell>
        </row>
        <row r="2364">
          <cell r="U2364">
            <v>799.64</v>
          </cell>
        </row>
        <row r="2365">
          <cell r="U2365">
            <v>766.35</v>
          </cell>
        </row>
        <row r="2366">
          <cell r="U2366">
            <v>200</v>
          </cell>
        </row>
        <row r="2367">
          <cell r="U2367">
            <v>3500</v>
          </cell>
        </row>
        <row r="2368">
          <cell r="U2368">
            <v>45</v>
          </cell>
        </row>
        <row r="2369">
          <cell r="U2369">
            <v>35000</v>
          </cell>
        </row>
        <row r="2370">
          <cell r="U2370">
            <v>400.84</v>
          </cell>
        </row>
        <row r="2371">
          <cell r="U2371">
            <v>1121.71</v>
          </cell>
        </row>
        <row r="2372">
          <cell r="U2372">
            <v>406.72</v>
          </cell>
        </row>
        <row r="2373">
          <cell r="U2373">
            <v>400</v>
          </cell>
        </row>
        <row r="2374">
          <cell r="U2374">
            <v>-400</v>
          </cell>
        </row>
        <row r="2375">
          <cell r="U2375">
            <v>1187.5</v>
          </cell>
        </row>
        <row r="2376">
          <cell r="U2376">
            <v>450</v>
          </cell>
        </row>
        <row r="2377">
          <cell r="U2377">
            <v>1081.26</v>
          </cell>
        </row>
        <row r="2378">
          <cell r="U2378">
            <v>1088</v>
          </cell>
        </row>
        <row r="2379">
          <cell r="U2379">
            <v>330</v>
          </cell>
        </row>
        <row r="2380">
          <cell r="U2380">
            <v>765</v>
          </cell>
        </row>
        <row r="2381">
          <cell r="U2381">
            <v>325</v>
          </cell>
        </row>
        <row r="2382">
          <cell r="U2382">
            <v>-2500</v>
          </cell>
        </row>
        <row r="2383">
          <cell r="U2383">
            <v>150</v>
          </cell>
        </row>
        <row r="2384">
          <cell r="U2384">
            <v>945.5</v>
          </cell>
        </row>
        <row r="2385">
          <cell r="U2385">
            <v>985.44</v>
          </cell>
        </row>
        <row r="2386">
          <cell r="U2386">
            <v>1177.26</v>
          </cell>
        </row>
        <row r="2387">
          <cell r="U2387">
            <v>2500</v>
          </cell>
        </row>
        <row r="2388">
          <cell r="U2388">
            <v>2323.12</v>
          </cell>
        </row>
        <row r="2389">
          <cell r="U2389">
            <v>8326.61</v>
          </cell>
        </row>
        <row r="2390">
          <cell r="U2390">
            <v>575</v>
          </cell>
        </row>
        <row r="2391">
          <cell r="U2391">
            <v>77500</v>
          </cell>
        </row>
        <row r="2392">
          <cell r="U2392">
            <v>250</v>
          </cell>
        </row>
        <row r="2393">
          <cell r="U2393">
            <v>450</v>
          </cell>
        </row>
        <row r="2394">
          <cell r="U2394">
            <v>4701.93</v>
          </cell>
        </row>
        <row r="2395">
          <cell r="U2395">
            <v>6536.77</v>
          </cell>
        </row>
        <row r="2396">
          <cell r="U2396">
            <v>670</v>
          </cell>
        </row>
        <row r="2397">
          <cell r="U2397">
            <v>202.07</v>
          </cell>
        </row>
        <row r="2398">
          <cell r="U2398">
            <v>1466.36</v>
          </cell>
        </row>
        <row r="2399">
          <cell r="U2399">
            <v>346.18</v>
          </cell>
        </row>
        <row r="2400">
          <cell r="U2400">
            <v>932.93</v>
          </cell>
        </row>
        <row r="2401">
          <cell r="U2401">
            <v>777.36</v>
          </cell>
        </row>
        <row r="2402">
          <cell r="U2402">
            <v>100</v>
          </cell>
        </row>
        <row r="2403">
          <cell r="U2403">
            <v>940</v>
          </cell>
        </row>
        <row r="2404">
          <cell r="U2404">
            <v>110</v>
          </cell>
        </row>
        <row r="2405">
          <cell r="U2405">
            <v>99</v>
          </cell>
        </row>
        <row r="2406">
          <cell r="U2406">
            <v>-641229.57999999996</v>
          </cell>
        </row>
        <row r="2407">
          <cell r="U2407">
            <v>31000</v>
          </cell>
        </row>
        <row r="2408">
          <cell r="U2408">
            <v>19000</v>
          </cell>
        </row>
        <row r="2409">
          <cell r="U2409">
            <v>1404.26</v>
          </cell>
        </row>
        <row r="2410">
          <cell r="U2410">
            <v>710</v>
          </cell>
        </row>
        <row r="2411">
          <cell r="U2411">
            <v>856.41</v>
          </cell>
        </row>
        <row r="2412">
          <cell r="U2412">
            <v>100</v>
          </cell>
        </row>
        <row r="2413">
          <cell r="U2413">
            <v>604</v>
          </cell>
        </row>
        <row r="2414">
          <cell r="U2414">
            <v>600</v>
          </cell>
        </row>
        <row r="2415">
          <cell r="U2415">
            <v>677.78</v>
          </cell>
        </row>
        <row r="2416">
          <cell r="U2416">
            <v>1171.3699999999999</v>
          </cell>
        </row>
        <row r="2417">
          <cell r="U2417">
            <v>600</v>
          </cell>
        </row>
        <row r="2418">
          <cell r="U2418">
            <v>396</v>
          </cell>
        </row>
        <row r="2419">
          <cell r="U2419">
            <v>350</v>
          </cell>
        </row>
        <row r="2420">
          <cell r="U2420">
            <v>2403</v>
          </cell>
        </row>
        <row r="2421">
          <cell r="U2421">
            <v>295</v>
          </cell>
        </row>
        <row r="2422">
          <cell r="U2422">
            <v>1504.89</v>
          </cell>
        </row>
        <row r="2423">
          <cell r="U2423">
            <v>175</v>
          </cell>
        </row>
        <row r="2424">
          <cell r="U2424">
            <v>200</v>
          </cell>
        </row>
        <row r="2425">
          <cell r="U2425">
            <v>5456.37</v>
          </cell>
        </row>
        <row r="2426">
          <cell r="U2426">
            <v>450</v>
          </cell>
        </row>
        <row r="2427">
          <cell r="U2427">
            <v>70</v>
          </cell>
        </row>
        <row r="2428">
          <cell r="U2428">
            <v>-24800</v>
          </cell>
        </row>
        <row r="2429">
          <cell r="U2429">
            <v>-52700</v>
          </cell>
        </row>
        <row r="2430">
          <cell r="U2430">
            <v>-52500</v>
          </cell>
        </row>
        <row r="2431">
          <cell r="U2431">
            <v>-30301.32</v>
          </cell>
        </row>
        <row r="2432">
          <cell r="U2432">
            <v>-114531.7</v>
          </cell>
        </row>
        <row r="2433">
          <cell r="U2433">
            <v>-17061.03</v>
          </cell>
        </row>
        <row r="2434">
          <cell r="U2434">
            <v>633399.81999999995</v>
          </cell>
        </row>
        <row r="2435">
          <cell r="U2435">
            <v>-108446.94</v>
          </cell>
        </row>
        <row r="2436">
          <cell r="U2436">
            <v>-1200</v>
          </cell>
        </row>
        <row r="2437">
          <cell r="U2437">
            <v>-3644.83</v>
          </cell>
        </row>
        <row r="2438">
          <cell r="U2438">
            <v>-7000</v>
          </cell>
        </row>
        <row r="2439">
          <cell r="U2439">
            <v>4866.2</v>
          </cell>
        </row>
        <row r="2440">
          <cell r="U2440">
            <v>150</v>
          </cell>
        </row>
        <row r="2441">
          <cell r="U2441">
            <v>69</v>
          </cell>
        </row>
        <row r="2442">
          <cell r="U2442">
            <v>464</v>
          </cell>
        </row>
        <row r="2443">
          <cell r="U2443">
            <v>511.23</v>
          </cell>
        </row>
        <row r="2444">
          <cell r="U2444">
            <v>1671</v>
          </cell>
        </row>
        <row r="2445">
          <cell r="U2445">
            <v>1253</v>
          </cell>
        </row>
        <row r="2446">
          <cell r="U2446">
            <v>250</v>
          </cell>
        </row>
        <row r="2447">
          <cell r="U2447">
            <v>200</v>
          </cell>
        </row>
        <row r="2448">
          <cell r="U2448">
            <v>17350</v>
          </cell>
        </row>
        <row r="2449">
          <cell r="U2449">
            <v>650</v>
          </cell>
        </row>
        <row r="2450">
          <cell r="U2450">
            <v>2360</v>
          </cell>
        </row>
        <row r="2451">
          <cell r="U2451">
            <v>1000</v>
          </cell>
        </row>
        <row r="2452">
          <cell r="U2452">
            <v>350</v>
          </cell>
        </row>
        <row r="2453">
          <cell r="U2453">
            <v>471.3</v>
          </cell>
        </row>
        <row r="2454">
          <cell r="U2454">
            <v>939.48</v>
          </cell>
        </row>
        <row r="2455">
          <cell r="U2455">
            <v>200</v>
          </cell>
        </row>
        <row r="2456">
          <cell r="U2456">
            <v>375</v>
          </cell>
        </row>
        <row r="2457">
          <cell r="U2457">
            <v>204</v>
          </cell>
        </row>
        <row r="2458">
          <cell r="U2458">
            <v>1166.95</v>
          </cell>
        </row>
        <row r="2459">
          <cell r="U2459">
            <v>34528.699999999997</v>
          </cell>
        </row>
        <row r="2460">
          <cell r="U2460">
            <v>3000</v>
          </cell>
        </row>
        <row r="2461">
          <cell r="U2461">
            <v>7000</v>
          </cell>
        </row>
        <row r="2462">
          <cell r="U2462">
            <v>3644.83</v>
          </cell>
        </row>
        <row r="2463">
          <cell r="U2463">
            <v>1200</v>
          </cell>
        </row>
        <row r="2464">
          <cell r="U2464">
            <v>108446.94</v>
          </cell>
        </row>
        <row r="2465">
          <cell r="U2465">
            <v>-633399.81999999995</v>
          </cell>
        </row>
        <row r="2466">
          <cell r="U2466">
            <v>17061.03</v>
          </cell>
        </row>
        <row r="2467">
          <cell r="U2467">
            <v>114531.7</v>
          </cell>
        </row>
        <row r="2468">
          <cell r="U2468">
            <v>30301.32</v>
          </cell>
        </row>
        <row r="2469">
          <cell r="U2469">
            <v>52500</v>
          </cell>
        </row>
        <row r="2470">
          <cell r="U2470">
            <v>24800</v>
          </cell>
        </row>
        <row r="2471">
          <cell r="U2471">
            <v>52700</v>
          </cell>
        </row>
        <row r="2472">
          <cell r="U2472">
            <v>-24800</v>
          </cell>
        </row>
        <row r="2473">
          <cell r="U2473">
            <v>-52700</v>
          </cell>
        </row>
        <row r="2474">
          <cell r="U2474">
            <v>-7000</v>
          </cell>
        </row>
        <row r="2475">
          <cell r="U2475">
            <v>-3644.83</v>
          </cell>
        </row>
        <row r="2476">
          <cell r="U2476">
            <v>-1200</v>
          </cell>
        </row>
        <row r="2477">
          <cell r="U2477">
            <v>-108446.94</v>
          </cell>
        </row>
        <row r="2478">
          <cell r="U2478">
            <v>633399.81999999995</v>
          </cell>
        </row>
        <row r="2479">
          <cell r="U2479">
            <v>-17061.03</v>
          </cell>
        </row>
        <row r="2480">
          <cell r="U2480">
            <v>-114531.7</v>
          </cell>
        </row>
        <row r="2481">
          <cell r="U2481">
            <v>-30301.32</v>
          </cell>
        </row>
        <row r="2482">
          <cell r="U2482">
            <v>-52500</v>
          </cell>
        </row>
        <row r="2483">
          <cell r="U2483">
            <v>1350</v>
          </cell>
        </row>
        <row r="2484">
          <cell r="U2484">
            <v>4018.95</v>
          </cell>
        </row>
        <row r="2485">
          <cell r="U2485">
            <v>4708.62</v>
          </cell>
        </row>
        <row r="2486">
          <cell r="U2486">
            <v>164</v>
          </cell>
        </row>
        <row r="2487">
          <cell r="U2487">
            <v>95394.45</v>
          </cell>
        </row>
        <row r="2488">
          <cell r="U2488">
            <v>1815.82</v>
          </cell>
        </row>
        <row r="2489">
          <cell r="U2489">
            <v>1513.3</v>
          </cell>
        </row>
        <row r="2490">
          <cell r="U2490">
            <v>231.53</v>
          </cell>
        </row>
        <row r="2491">
          <cell r="U2491">
            <v>153</v>
          </cell>
        </row>
        <row r="2492">
          <cell r="U2492">
            <v>797</v>
          </cell>
        </row>
        <row r="2493">
          <cell r="U2493">
            <v>183.97</v>
          </cell>
        </row>
        <row r="2494">
          <cell r="U2494">
            <v>1959.36</v>
          </cell>
        </row>
        <row r="2495">
          <cell r="U2495">
            <v>196</v>
          </cell>
        </row>
        <row r="2496">
          <cell r="U2496">
            <v>350</v>
          </cell>
        </row>
        <row r="2497">
          <cell r="U2497">
            <v>32.72</v>
          </cell>
        </row>
        <row r="2498">
          <cell r="U2498">
            <v>1001</v>
          </cell>
        </row>
        <row r="2499">
          <cell r="U2499">
            <v>515</v>
          </cell>
        </row>
        <row r="2500">
          <cell r="U2500">
            <v>2648.32</v>
          </cell>
        </row>
        <row r="2501">
          <cell r="U2501">
            <v>587</v>
          </cell>
        </row>
        <row r="2502">
          <cell r="U2502">
            <v>2730</v>
          </cell>
        </row>
        <row r="2503">
          <cell r="U2503">
            <v>250.84</v>
          </cell>
        </row>
        <row r="2504">
          <cell r="U2504">
            <v>142.28</v>
          </cell>
        </row>
        <row r="2505">
          <cell r="U2505">
            <v>1228.6199999999999</v>
          </cell>
        </row>
        <row r="2506">
          <cell r="U2506">
            <v>1706.64</v>
          </cell>
        </row>
        <row r="2507">
          <cell r="U2507">
            <v>562</v>
          </cell>
        </row>
        <row r="2508">
          <cell r="U2508">
            <v>9561.89</v>
          </cell>
        </row>
        <row r="2509">
          <cell r="U2509">
            <v>150</v>
          </cell>
        </row>
        <row r="2510">
          <cell r="U2510">
            <v>600</v>
          </cell>
        </row>
        <row r="2511">
          <cell r="U2511">
            <v>560</v>
          </cell>
        </row>
        <row r="2512">
          <cell r="U2512">
            <v>870</v>
          </cell>
        </row>
        <row r="2513">
          <cell r="U2513">
            <v>640</v>
          </cell>
        </row>
        <row r="2514">
          <cell r="U2514">
            <v>420</v>
          </cell>
        </row>
        <row r="2515">
          <cell r="U2515">
            <v>7700</v>
          </cell>
        </row>
        <row r="2516">
          <cell r="U2516">
            <v>307</v>
          </cell>
        </row>
        <row r="2517">
          <cell r="U2517">
            <v>2891.95</v>
          </cell>
        </row>
        <row r="2518">
          <cell r="U2518">
            <v>1675</v>
          </cell>
        </row>
        <row r="2519">
          <cell r="U2519">
            <v>960</v>
          </cell>
        </row>
        <row r="2520">
          <cell r="U2520">
            <v>516</v>
          </cell>
        </row>
        <row r="2521">
          <cell r="U2521">
            <v>2384.08</v>
          </cell>
        </row>
        <row r="2522">
          <cell r="U2522">
            <v>200</v>
          </cell>
        </row>
        <row r="2523">
          <cell r="U2523">
            <v>60</v>
          </cell>
        </row>
        <row r="2524">
          <cell r="U2524">
            <v>251.01</v>
          </cell>
        </row>
        <row r="2525">
          <cell r="U2525">
            <v>7500</v>
          </cell>
        </row>
        <row r="2526">
          <cell r="U2526">
            <v>462.03</v>
          </cell>
        </row>
        <row r="2527">
          <cell r="U2527">
            <v>500</v>
          </cell>
        </row>
        <row r="2528">
          <cell r="U2528">
            <v>5335.71</v>
          </cell>
        </row>
        <row r="2529">
          <cell r="U2529">
            <v>1400</v>
          </cell>
        </row>
        <row r="2530">
          <cell r="U2530">
            <v>150</v>
          </cell>
        </row>
        <row r="2531">
          <cell r="U2531">
            <v>1000</v>
          </cell>
        </row>
        <row r="2532">
          <cell r="U2532">
            <v>500</v>
          </cell>
        </row>
        <row r="2533">
          <cell r="U2533">
            <v>200</v>
          </cell>
        </row>
        <row r="2534">
          <cell r="U2534">
            <v>2563.98</v>
          </cell>
        </row>
        <row r="2535">
          <cell r="U2535">
            <v>866</v>
          </cell>
        </row>
        <row r="2536">
          <cell r="U2536">
            <v>200</v>
          </cell>
        </row>
        <row r="2537">
          <cell r="U2537">
            <v>27.47</v>
          </cell>
        </row>
        <row r="2538">
          <cell r="U2538">
            <v>2884.26</v>
          </cell>
        </row>
        <row r="2539">
          <cell r="U2539">
            <v>11500</v>
          </cell>
        </row>
        <row r="2540">
          <cell r="U2540">
            <v>4260.55</v>
          </cell>
        </row>
        <row r="2541">
          <cell r="U2541">
            <v>1883.17</v>
          </cell>
        </row>
        <row r="2542">
          <cell r="U2542">
            <v>111.07</v>
          </cell>
        </row>
        <row r="2543">
          <cell r="U2543">
            <v>255</v>
          </cell>
        </row>
        <row r="2544">
          <cell r="U2544">
            <v>3850</v>
          </cell>
        </row>
        <row r="2545">
          <cell r="U2545">
            <v>177.23</v>
          </cell>
        </row>
        <row r="2546">
          <cell r="U2546">
            <v>200</v>
          </cell>
        </row>
        <row r="2547">
          <cell r="U2547">
            <v>890</v>
          </cell>
        </row>
        <row r="2548">
          <cell r="U2548">
            <v>16752.63</v>
          </cell>
        </row>
        <row r="2549">
          <cell r="U2549">
            <v>300</v>
          </cell>
        </row>
        <row r="2550">
          <cell r="U2550">
            <v>6214.22</v>
          </cell>
        </row>
        <row r="2551">
          <cell r="U2551">
            <v>1290</v>
          </cell>
        </row>
        <row r="2552">
          <cell r="U2552">
            <v>997</v>
          </cell>
        </row>
        <row r="2553">
          <cell r="U2553">
            <v>53400.82</v>
          </cell>
        </row>
        <row r="2554">
          <cell r="U2554">
            <v>1653.33</v>
          </cell>
        </row>
        <row r="2555">
          <cell r="U2555">
            <v>173</v>
          </cell>
        </row>
        <row r="2556">
          <cell r="U2556">
            <v>595</v>
          </cell>
        </row>
        <row r="2557">
          <cell r="U2557">
            <v>4060.7</v>
          </cell>
        </row>
        <row r="2558">
          <cell r="U2558">
            <v>1834.74</v>
          </cell>
        </row>
        <row r="2559">
          <cell r="U2559">
            <v>1432</v>
          </cell>
        </row>
        <row r="2560">
          <cell r="U2560">
            <v>3860</v>
          </cell>
        </row>
        <row r="2561">
          <cell r="U2561">
            <v>246.94</v>
          </cell>
        </row>
        <row r="2562">
          <cell r="U2562">
            <v>702.63</v>
          </cell>
        </row>
        <row r="2563">
          <cell r="U2563">
            <v>344.94</v>
          </cell>
        </row>
        <row r="2564">
          <cell r="U2564">
            <v>173</v>
          </cell>
        </row>
        <row r="2565">
          <cell r="U2565">
            <v>415.73</v>
          </cell>
        </row>
        <row r="2566">
          <cell r="U2566">
            <v>150</v>
          </cell>
        </row>
        <row r="2567">
          <cell r="U2567">
            <v>20</v>
          </cell>
        </row>
        <row r="2568">
          <cell r="U2568">
            <v>461.22</v>
          </cell>
        </row>
        <row r="2569">
          <cell r="U2569">
            <v>3993.49</v>
          </cell>
        </row>
        <row r="2570">
          <cell r="U2570">
            <v>204.91</v>
          </cell>
        </row>
        <row r="2571">
          <cell r="U2571">
            <v>72.48</v>
          </cell>
        </row>
        <row r="2572">
          <cell r="U2572">
            <v>-346</v>
          </cell>
        </row>
        <row r="2573">
          <cell r="U2573">
            <v>-1000</v>
          </cell>
        </row>
        <row r="2574">
          <cell r="U2574">
            <v>2080.91</v>
          </cell>
        </row>
        <row r="2575">
          <cell r="U2575">
            <v>100</v>
          </cell>
        </row>
        <row r="2576">
          <cell r="U2576">
            <v>50</v>
          </cell>
        </row>
        <row r="2577">
          <cell r="U2577">
            <v>268.5</v>
          </cell>
        </row>
        <row r="2578">
          <cell r="U2578">
            <v>40</v>
          </cell>
        </row>
        <row r="2579">
          <cell r="U2579">
            <v>500</v>
          </cell>
        </row>
        <row r="2580">
          <cell r="U2580">
            <v>150</v>
          </cell>
        </row>
        <row r="2581">
          <cell r="U2581">
            <v>5188</v>
          </cell>
        </row>
        <row r="2582">
          <cell r="U2582">
            <v>278.10000000000002</v>
          </cell>
        </row>
        <row r="2583">
          <cell r="U2583">
            <v>555</v>
          </cell>
        </row>
        <row r="2584">
          <cell r="U2584">
            <v>13939.99</v>
          </cell>
        </row>
        <row r="2585">
          <cell r="U2585">
            <v>633.09</v>
          </cell>
        </row>
        <row r="2586">
          <cell r="U2586">
            <v>200</v>
          </cell>
        </row>
        <row r="2587">
          <cell r="U2587">
            <v>1224.06</v>
          </cell>
        </row>
        <row r="2588">
          <cell r="U2588">
            <v>341.05</v>
          </cell>
        </row>
        <row r="2589">
          <cell r="U2589">
            <v>2200</v>
          </cell>
        </row>
        <row r="2590">
          <cell r="U2590">
            <v>966</v>
          </cell>
        </row>
        <row r="2591">
          <cell r="U2591">
            <v>1616.44</v>
          </cell>
        </row>
        <row r="2592">
          <cell r="U2592">
            <v>95</v>
          </cell>
        </row>
        <row r="2593">
          <cell r="U2593">
            <v>730</v>
          </cell>
        </row>
        <row r="2594">
          <cell r="U2594">
            <v>1623.77</v>
          </cell>
        </row>
        <row r="2595">
          <cell r="U2595">
            <v>1131.73</v>
          </cell>
        </row>
        <row r="2596">
          <cell r="U2596">
            <v>3771.73</v>
          </cell>
        </row>
        <row r="2597">
          <cell r="U2597">
            <v>45</v>
          </cell>
        </row>
        <row r="2598">
          <cell r="U2598">
            <v>50</v>
          </cell>
        </row>
        <row r="2599">
          <cell r="U2599">
            <v>150</v>
          </cell>
        </row>
        <row r="2600">
          <cell r="U2600">
            <v>1413.38</v>
          </cell>
        </row>
        <row r="2601">
          <cell r="U2601">
            <v>795</v>
          </cell>
        </row>
        <row r="2602">
          <cell r="U2602">
            <v>2000</v>
          </cell>
        </row>
        <row r="2603">
          <cell r="U2603">
            <v>680</v>
          </cell>
        </row>
        <row r="2604">
          <cell r="U2604">
            <v>218</v>
          </cell>
        </row>
        <row r="2605">
          <cell r="U2605">
            <v>249</v>
          </cell>
        </row>
        <row r="2606">
          <cell r="U2606">
            <v>30</v>
          </cell>
        </row>
        <row r="2607">
          <cell r="U2607">
            <v>134</v>
          </cell>
        </row>
        <row r="2608">
          <cell r="U2608">
            <v>1061</v>
          </cell>
        </row>
        <row r="2609">
          <cell r="U2609">
            <v>270</v>
          </cell>
        </row>
        <row r="2610">
          <cell r="U2610">
            <v>-36623.769999999997</v>
          </cell>
        </row>
        <row r="2611">
          <cell r="U2611">
            <v>-16752.63</v>
          </cell>
        </row>
        <row r="2612">
          <cell r="U2612">
            <v>-249</v>
          </cell>
        </row>
        <row r="2613">
          <cell r="U2613">
            <v>-207372.09</v>
          </cell>
        </row>
        <row r="2614">
          <cell r="U2614">
            <v>-4342.3500000000004</v>
          </cell>
        </row>
        <row r="2615">
          <cell r="U2615">
            <v>-158393.07</v>
          </cell>
        </row>
        <row r="2616">
          <cell r="U2616">
            <v>-5335.71</v>
          </cell>
        </row>
        <row r="2617">
          <cell r="U2617">
            <v>-346</v>
          </cell>
        </row>
        <row r="2618">
          <cell r="U2618">
            <v>-450</v>
          </cell>
        </row>
      </sheetData>
      <sheetData sheetId="1" refreshError="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4"/>
  <sheetViews>
    <sheetView showGridLines="0" tabSelected="1" zoomScaleNormal="100" workbookViewId="0">
      <selection activeCell="B1" sqref="B1"/>
    </sheetView>
  </sheetViews>
  <sheetFormatPr defaultColWidth="9.1796875" defaultRowHeight="13" x14ac:dyDescent="0.25"/>
  <cols>
    <col min="1" max="1" width="5.26953125" style="10" customWidth="1"/>
    <col min="2" max="2" width="111.26953125" style="11" customWidth="1"/>
    <col min="3" max="3" width="5.453125" style="10" customWidth="1"/>
    <col min="4" max="4" width="19.7265625" style="12" customWidth="1"/>
    <col min="5" max="5" width="20.54296875" style="13" customWidth="1"/>
    <col min="6" max="6" width="13.54296875" style="13" customWidth="1"/>
    <col min="7" max="7" width="10.453125" style="10" bestFit="1" customWidth="1"/>
    <col min="8" max="16384" width="9.1796875" style="10"/>
  </cols>
  <sheetData>
    <row r="1" spans="1:7" ht="18" customHeight="1" x14ac:dyDescent="0.25">
      <c r="A1" s="16"/>
      <c r="B1" s="25"/>
      <c r="C1" s="16"/>
      <c r="D1" s="17"/>
    </row>
    <row r="2" spans="1:7" ht="18" customHeight="1" x14ac:dyDescent="0.25">
      <c r="A2" s="427" t="s">
        <v>142</v>
      </c>
      <c r="B2" s="428"/>
      <c r="C2" s="16"/>
      <c r="D2" s="17"/>
    </row>
    <row r="3" spans="1:7" ht="39" customHeight="1" x14ac:dyDescent="0.25">
      <c r="A3" s="428" t="s">
        <v>29</v>
      </c>
      <c r="B3" s="428"/>
      <c r="C3" s="16"/>
      <c r="D3" s="17"/>
      <c r="E3" s="161" t="s">
        <v>332</v>
      </c>
      <c r="F3" s="161" t="s">
        <v>331</v>
      </c>
    </row>
    <row r="4" spans="1:7" ht="15.75" customHeight="1" x14ac:dyDescent="0.25">
      <c r="A4" s="26"/>
      <c r="B4" s="130"/>
      <c r="C4" s="16"/>
      <c r="D4" s="17"/>
      <c r="E4" s="162" t="s">
        <v>138</v>
      </c>
      <c r="F4" s="162" t="s">
        <v>140</v>
      </c>
    </row>
    <row r="5" spans="1:7" ht="20.25" customHeight="1" x14ac:dyDescent="0.25">
      <c r="A5" s="425" t="s">
        <v>158</v>
      </c>
      <c r="B5" s="426"/>
      <c r="C5" s="16"/>
      <c r="D5" s="17"/>
    </row>
    <row r="6" spans="1:7" ht="98.5" customHeight="1" x14ac:dyDescent="0.25">
      <c r="A6" s="18" t="s">
        <v>28</v>
      </c>
      <c r="B6" s="396" t="s">
        <v>972</v>
      </c>
      <c r="C6" s="16"/>
      <c r="D6" s="17" t="s">
        <v>139</v>
      </c>
      <c r="E6" s="14">
        <f>'WP-2019 TO2018 Sch4-TUTRR'!L81+'WP-2019 TO2021 Sch4-TUTRR'!L81</f>
        <v>975389.79544519074</v>
      </c>
      <c r="F6" s="14">
        <f>(E6/E10)*F10</f>
        <v>1044233.8978209967</v>
      </c>
      <c r="G6" s="16"/>
    </row>
    <row r="7" spans="1:7" ht="15.5" x14ac:dyDescent="0.25">
      <c r="A7" s="18"/>
      <c r="B7" s="221"/>
      <c r="C7" s="16"/>
      <c r="D7" s="17"/>
      <c r="E7" s="14"/>
      <c r="F7" s="14"/>
    </row>
    <row r="8" spans="1:7" ht="103.5" customHeight="1" x14ac:dyDescent="0.25">
      <c r="A8" s="18" t="s">
        <v>156</v>
      </c>
      <c r="B8" s="221" t="s">
        <v>978</v>
      </c>
      <c r="C8" s="16"/>
      <c r="D8" s="17" t="s">
        <v>143</v>
      </c>
      <c r="E8" s="14">
        <f>'WP-2019 TO2018 Sch4-TUTRR'!L82+'WP-2019 TO2021 Sch4-TUTRR'!L82</f>
        <v>-7212.2761035651383</v>
      </c>
      <c r="F8" s="14">
        <f>(E8/E10)*F10</f>
        <v>-7721.3266152221649</v>
      </c>
      <c r="G8" s="16"/>
    </row>
    <row r="9" spans="1:7" ht="15.5" x14ac:dyDescent="0.25">
      <c r="A9" s="18"/>
      <c r="B9" s="221"/>
      <c r="C9" s="16"/>
      <c r="D9" s="17"/>
      <c r="E9" s="14"/>
      <c r="F9" s="14"/>
      <c r="G9" s="16"/>
    </row>
    <row r="10" spans="1:7" ht="15.5" x14ac:dyDescent="0.25">
      <c r="A10" s="425" t="s">
        <v>362</v>
      </c>
      <c r="B10" s="426"/>
      <c r="C10" s="19"/>
      <c r="D10" s="20" t="s">
        <v>344</v>
      </c>
      <c r="E10" s="21">
        <f>SUM(E6:E9)</f>
        <v>968177.51934162562</v>
      </c>
      <c r="F10" s="21">
        <f>'WP-Total Adj with Int'!G36</f>
        <v>1036512.5712057746</v>
      </c>
      <c r="G10" s="16"/>
    </row>
    <row r="11" spans="1:7" ht="15.5" x14ac:dyDescent="0.25">
      <c r="A11" s="220"/>
      <c r="B11" s="221"/>
      <c r="C11" s="19"/>
      <c r="D11" s="20"/>
      <c r="E11" s="21"/>
      <c r="F11" s="21"/>
      <c r="G11" s="16"/>
    </row>
    <row r="12" spans="1:7" ht="15.75" customHeight="1" x14ac:dyDescent="0.25">
      <c r="A12" s="220"/>
      <c r="B12" s="221"/>
      <c r="C12" s="19"/>
      <c r="D12" s="27"/>
      <c r="E12" s="14"/>
      <c r="F12" s="14"/>
    </row>
    <row r="13" spans="1:7" ht="20.25" customHeight="1" x14ac:dyDescent="0.25">
      <c r="A13" s="425" t="s">
        <v>333</v>
      </c>
      <c r="B13" s="426"/>
      <c r="C13" s="16"/>
      <c r="D13" s="17"/>
    </row>
    <row r="14" spans="1:7" ht="95" customHeight="1" x14ac:dyDescent="0.25">
      <c r="A14" s="18" t="s">
        <v>28</v>
      </c>
      <c r="B14" s="396" t="s">
        <v>973</v>
      </c>
      <c r="C14" s="16"/>
      <c r="D14" s="17" t="s">
        <v>299</v>
      </c>
      <c r="E14" s="14">
        <f>'WP-2020 Sch4-TUTRR'!L74</f>
        <v>3605737.8565547466</v>
      </c>
      <c r="F14" s="14">
        <f>(E14/E$22)*F$22</f>
        <v>3673451.0728447996</v>
      </c>
    </row>
    <row r="15" spans="1:7" ht="12.75" customHeight="1" x14ac:dyDescent="0.25">
      <c r="A15" s="26"/>
      <c r="B15" s="221"/>
      <c r="C15" s="16"/>
      <c r="D15" s="17"/>
      <c r="E15" s="14"/>
      <c r="F15" s="14"/>
    </row>
    <row r="16" spans="1:7" ht="97.5" customHeight="1" x14ac:dyDescent="0.25">
      <c r="A16" s="18" t="s">
        <v>156</v>
      </c>
      <c r="B16" s="221" t="s">
        <v>975</v>
      </c>
      <c r="C16" s="16"/>
      <c r="D16" s="17" t="s">
        <v>157</v>
      </c>
      <c r="E16" s="14">
        <f>'WP-2020 Sch4-TUTRR'!L75</f>
        <v>-5030.6104044914246</v>
      </c>
      <c r="F16" s="14">
        <f>(E16/E$22)*F$22</f>
        <v>-5125.0817232455274</v>
      </c>
    </row>
    <row r="17" spans="1:9" ht="15.5" x14ac:dyDescent="0.25">
      <c r="A17" s="18"/>
      <c r="B17" s="221"/>
      <c r="C17" s="16"/>
      <c r="D17" s="17"/>
      <c r="E17" s="14"/>
      <c r="F17" s="14"/>
    </row>
    <row r="18" spans="1:9" ht="76" customHeight="1" x14ac:dyDescent="0.25">
      <c r="A18" s="18" t="s">
        <v>297</v>
      </c>
      <c r="B18" s="396" t="s">
        <v>974</v>
      </c>
      <c r="C18" s="16"/>
      <c r="D18" s="17" t="s">
        <v>345</v>
      </c>
      <c r="E18" s="14">
        <f>'WP-2020 Sch4-TUTRR'!L76</f>
        <v>-854.73677349090576</v>
      </c>
      <c r="F18" s="14">
        <f>(E18/E$22)*F$22</f>
        <v>-870.7881278369349</v>
      </c>
    </row>
    <row r="19" spans="1:9" ht="15.5" x14ac:dyDescent="0.25">
      <c r="A19" s="18"/>
      <c r="B19" s="221"/>
      <c r="C19" s="16"/>
      <c r="D19" s="17"/>
      <c r="E19" s="14"/>
      <c r="F19" s="14"/>
    </row>
    <row r="20" spans="1:9" ht="48.5" customHeight="1" x14ac:dyDescent="0.25">
      <c r="A20" s="18" t="s">
        <v>298</v>
      </c>
      <c r="B20" s="396" t="s">
        <v>979</v>
      </c>
      <c r="C20" s="16"/>
      <c r="D20" s="17" t="s">
        <v>359</v>
      </c>
      <c r="E20" s="14">
        <f>'WP-2020 Sch4-TUTRR'!L77</f>
        <v>-40239.826967477798</v>
      </c>
      <c r="F20" s="14">
        <f>(E20/E$22)*F$22</f>
        <v>-40995.502564351787</v>
      </c>
    </row>
    <row r="21" spans="1:9" ht="15.5" customHeight="1" x14ac:dyDescent="0.25">
      <c r="A21" s="26"/>
      <c r="B21" s="221"/>
      <c r="C21" s="16"/>
      <c r="D21" s="17"/>
      <c r="E21" s="14"/>
      <c r="F21" s="14"/>
    </row>
    <row r="22" spans="1:9" ht="33.5" customHeight="1" x14ac:dyDescent="0.25">
      <c r="A22" s="425" t="s">
        <v>363</v>
      </c>
      <c r="B22" s="426"/>
      <c r="C22" s="19"/>
      <c r="D22" s="22" t="s">
        <v>360</v>
      </c>
      <c r="E22" s="21">
        <f>SUM(E14:E21)</f>
        <v>3559612.6824092865</v>
      </c>
      <c r="F22" s="21">
        <f>'WP-Total Adj with Int'!K36</f>
        <v>3626459.7004293655</v>
      </c>
      <c r="G22" s="16"/>
      <c r="H22" s="16"/>
      <c r="I22" s="16"/>
    </row>
    <row r="23" spans="1:9" ht="15.75" customHeight="1" x14ac:dyDescent="0.25">
      <c r="A23" s="220"/>
      <c r="B23" s="221"/>
      <c r="C23" s="19"/>
      <c r="D23" s="22"/>
      <c r="E23" s="21"/>
      <c r="F23" s="21"/>
      <c r="G23" s="16"/>
      <c r="H23" s="16"/>
      <c r="I23" s="16"/>
    </row>
    <row r="24" spans="1:9" ht="12.75" customHeight="1" thickBot="1" x14ac:dyDescent="0.3">
      <c r="A24" s="26"/>
      <c r="B24" s="221"/>
      <c r="C24" s="16"/>
      <c r="D24" s="17"/>
      <c r="E24" s="14"/>
      <c r="F24" s="14"/>
    </row>
    <row r="25" spans="1:9" ht="16" thickBot="1" x14ac:dyDescent="0.3">
      <c r="A25" s="423" t="s">
        <v>364</v>
      </c>
      <c r="B25" s="424"/>
      <c r="C25" s="23"/>
      <c r="D25" s="24" t="s">
        <v>361</v>
      </c>
      <c r="E25" s="163">
        <f>E10+E22</f>
        <v>4527790.2017509118</v>
      </c>
      <c r="F25" s="164">
        <f>F10+F22</f>
        <v>4662972.2716351403</v>
      </c>
      <c r="G25" s="16"/>
    </row>
    <row r="26" spans="1:9" ht="15.5" x14ac:dyDescent="0.25">
      <c r="A26" s="220"/>
      <c r="B26" s="221"/>
      <c r="C26" s="16"/>
      <c r="D26" s="17"/>
      <c r="E26" s="14"/>
      <c r="F26" s="14"/>
      <c r="G26" s="16"/>
    </row>
    <row r="27" spans="1:9" ht="15.5" x14ac:dyDescent="0.25">
      <c r="A27" s="26"/>
      <c r="B27" s="221"/>
      <c r="C27" s="16"/>
      <c r="D27" s="17"/>
      <c r="E27" s="14"/>
      <c r="F27" s="14"/>
    </row>
    <row r="28" spans="1:9" ht="21" x14ac:dyDescent="0.25">
      <c r="A28" s="26" t="s">
        <v>334</v>
      </c>
      <c r="B28" s="165"/>
      <c r="C28" s="166"/>
      <c r="D28" s="167"/>
      <c r="E28" s="14"/>
      <c r="F28" s="14"/>
      <c r="G28" s="28"/>
    </row>
    <row r="29" spans="1:9" ht="15.5" x14ac:dyDescent="0.25">
      <c r="A29" s="26"/>
      <c r="B29" s="221"/>
      <c r="C29" s="16"/>
      <c r="D29" s="17"/>
      <c r="E29" s="14"/>
      <c r="F29" s="14"/>
    </row>
    <row r="30" spans="1:9" ht="29.25" customHeight="1" x14ac:dyDescent="0.25">
      <c r="A30" s="16"/>
      <c r="B30" s="25"/>
      <c r="C30" s="16"/>
      <c r="D30" s="17"/>
      <c r="E30" s="14"/>
      <c r="F30" s="14"/>
    </row>
    <row r="31" spans="1:9" x14ac:dyDescent="0.25">
      <c r="A31" s="16"/>
      <c r="B31" s="168"/>
      <c r="C31" s="168"/>
      <c r="D31" s="17"/>
    </row>
    <row r="32" spans="1:9" ht="14.5" x14ac:dyDescent="0.35">
      <c r="A32" s="16"/>
      <c r="B32" s="421"/>
      <c r="C32" s="422"/>
      <c r="D32" s="422"/>
      <c r="E32" s="422"/>
      <c r="F32" s="422"/>
      <c r="G32" s="422"/>
      <c r="H32" s="422"/>
    </row>
    <row r="33" spans="2:8" ht="14.5" x14ac:dyDescent="0.35">
      <c r="B33" s="421"/>
      <c r="C33" s="422"/>
      <c r="D33" s="422"/>
      <c r="E33" s="422"/>
      <c r="F33" s="422"/>
      <c r="G33" s="422"/>
      <c r="H33" s="422"/>
    </row>
    <row r="34" spans="2:8" x14ac:dyDescent="0.25">
      <c r="B34" s="34"/>
      <c r="C34" s="34"/>
    </row>
  </sheetData>
  <mergeCells count="9">
    <mergeCell ref="B33:H33"/>
    <mergeCell ref="A25:B25"/>
    <mergeCell ref="A22:B22"/>
    <mergeCell ref="A13:B13"/>
    <mergeCell ref="A2:B2"/>
    <mergeCell ref="A3:B3"/>
    <mergeCell ref="A10:B10"/>
    <mergeCell ref="A5:B5"/>
    <mergeCell ref="B32:H32"/>
  </mergeCells>
  <printOptions horizontalCentered="1"/>
  <pageMargins left="0.7" right="0.7" top="0.75" bottom="0.75" header="0.3" footer="0.3"/>
  <pageSetup scale="71" fitToHeight="0" orientation="landscape" r:id="rId1"/>
  <headerFooter>
    <oddHeader>&amp;R&amp;8TO2023 Draft Annual Update
Attachment 4
WP-Schedule 3-One Time Adj Prior Period
Page &amp;P of &amp;N</oddHeader>
    <oddFooter>&amp;R&amp;A</oddFooter>
  </headerFooter>
  <rowBreaks count="1" manualBreakCount="1">
    <brk id="17" max="5"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C0E90-FD47-4538-A5FB-AD9F43A49653}">
  <dimension ref="A1:X110"/>
  <sheetViews>
    <sheetView topLeftCell="A10" zoomScaleNormal="100" zoomScalePageLayoutView="80" workbookViewId="0">
      <selection activeCell="O19" sqref="O19:Q32"/>
    </sheetView>
  </sheetViews>
  <sheetFormatPr defaultRowHeight="12.5" x14ac:dyDescent="0.25"/>
  <cols>
    <col min="1" max="1" width="4.54296875" customWidth="1"/>
    <col min="2" max="2" width="2.54296875" customWidth="1"/>
    <col min="3" max="3" width="8.54296875" customWidth="1"/>
    <col min="4" max="4" width="32.54296875" customWidth="1"/>
    <col min="5" max="5" width="14.54296875" customWidth="1"/>
    <col min="6" max="6" width="15.54296875" customWidth="1"/>
    <col min="7" max="8" width="14.54296875" customWidth="1"/>
    <col min="9" max="9" width="20" customWidth="1"/>
    <col min="10" max="10" width="15.54296875" customWidth="1"/>
    <col min="11" max="11" width="11" bestFit="1" customWidth="1"/>
  </cols>
  <sheetData>
    <row r="1" spans="1:24" ht="13" x14ac:dyDescent="0.3">
      <c r="A1" s="182" t="s">
        <v>171</v>
      </c>
      <c r="F1" s="183" t="s">
        <v>172</v>
      </c>
      <c r="G1" s="184"/>
      <c r="H1" s="185"/>
      <c r="I1" s="185"/>
    </row>
    <row r="2" spans="1:24" ht="13" x14ac:dyDescent="0.3">
      <c r="E2" s="186" t="s">
        <v>173</v>
      </c>
      <c r="F2" s="186" t="s">
        <v>174</v>
      </c>
      <c r="G2" s="186" t="s">
        <v>175</v>
      </c>
      <c r="H2" s="186" t="s">
        <v>176</v>
      </c>
      <c r="I2" s="185"/>
    </row>
    <row r="3" spans="1:24" x14ac:dyDescent="0.25">
      <c r="G3" s="185" t="s">
        <v>177</v>
      </c>
    </row>
    <row r="4" spans="1:24" ht="13" x14ac:dyDescent="0.3">
      <c r="E4" s="187" t="s">
        <v>178</v>
      </c>
      <c r="F4" s="131" t="s">
        <v>179</v>
      </c>
      <c r="G4" s="187" t="s">
        <v>180</v>
      </c>
      <c r="I4" s="187"/>
    </row>
    <row r="5" spans="1:24" ht="13" x14ac:dyDescent="0.3">
      <c r="A5" s="188" t="s">
        <v>39</v>
      </c>
      <c r="B5" s="189"/>
      <c r="C5" s="189" t="s">
        <v>181</v>
      </c>
      <c r="D5" s="189" t="s">
        <v>31</v>
      </c>
      <c r="E5" s="189" t="s">
        <v>32</v>
      </c>
      <c r="F5" s="71" t="s">
        <v>33</v>
      </c>
      <c r="G5" s="189" t="s">
        <v>182</v>
      </c>
      <c r="H5" s="189" t="s">
        <v>82</v>
      </c>
      <c r="I5" s="189" t="s">
        <v>42</v>
      </c>
      <c r="K5" s="189"/>
      <c r="L5" s="189"/>
      <c r="M5" s="189"/>
      <c r="N5" s="189"/>
      <c r="O5" s="189"/>
      <c r="P5" s="189"/>
      <c r="Q5" s="189"/>
      <c r="R5" s="189"/>
      <c r="S5" s="189"/>
      <c r="T5" s="189"/>
      <c r="U5" s="189"/>
      <c r="V5" s="189"/>
      <c r="W5" s="189"/>
      <c r="X5" s="189"/>
    </row>
    <row r="6" spans="1:24" ht="13" x14ac:dyDescent="0.3">
      <c r="A6" s="187">
        <v>1</v>
      </c>
      <c r="C6" s="185">
        <v>920</v>
      </c>
      <c r="D6" t="s">
        <v>183</v>
      </c>
      <c r="E6" s="190">
        <v>512818190</v>
      </c>
      <c r="F6" s="185" t="s">
        <v>184</v>
      </c>
      <c r="G6" s="191">
        <f>D37</f>
        <v>228036741.6356445</v>
      </c>
      <c r="H6" s="191">
        <f t="shared" ref="H6:H19" si="0">E6-G6</f>
        <v>284781448.3643555</v>
      </c>
      <c r="J6" s="192"/>
    </row>
    <row r="7" spans="1:24" ht="13" x14ac:dyDescent="0.3">
      <c r="A7" s="187">
        <f>A6+1</f>
        <v>2</v>
      </c>
      <c r="C7" s="185">
        <v>921</v>
      </c>
      <c r="D7" t="s">
        <v>185</v>
      </c>
      <c r="E7" s="190">
        <v>259355778</v>
      </c>
      <c r="F7" s="185" t="s">
        <v>186</v>
      </c>
      <c r="G7" s="191">
        <f t="shared" ref="G7:G19" si="1">D38</f>
        <v>274716.09000000003</v>
      </c>
      <c r="H7" s="191">
        <f t="shared" si="0"/>
        <v>259081061.91</v>
      </c>
      <c r="J7" s="192"/>
    </row>
    <row r="8" spans="1:24" ht="13" x14ac:dyDescent="0.3">
      <c r="A8" s="187">
        <f>A7+1</f>
        <v>3</v>
      </c>
      <c r="C8" s="185">
        <v>922</v>
      </c>
      <c r="D8" t="s">
        <v>187</v>
      </c>
      <c r="E8" s="190">
        <v>-223403958</v>
      </c>
      <c r="F8" s="185" t="s">
        <v>188</v>
      </c>
      <c r="G8" s="193">
        <f t="shared" si="1"/>
        <v>-110501926.69585</v>
      </c>
      <c r="H8" s="193">
        <f t="shared" si="0"/>
        <v>-112902031.30415</v>
      </c>
      <c r="I8" s="185" t="s">
        <v>189</v>
      </c>
      <c r="J8" s="192"/>
    </row>
    <row r="9" spans="1:24" ht="13" x14ac:dyDescent="0.3">
      <c r="A9" s="187">
        <f t="shared" ref="A9:A20" si="2">A8+1</f>
        <v>4</v>
      </c>
      <c r="B9" s="187"/>
      <c r="C9" s="185">
        <v>923</v>
      </c>
      <c r="D9" t="s">
        <v>190</v>
      </c>
      <c r="E9" s="190">
        <v>49255741</v>
      </c>
      <c r="F9" s="185" t="s">
        <v>191</v>
      </c>
      <c r="G9" s="191">
        <f t="shared" si="1"/>
        <v>2925373.7300000004</v>
      </c>
      <c r="H9" s="191">
        <f t="shared" si="0"/>
        <v>46330367.269999996</v>
      </c>
      <c r="J9" s="192"/>
    </row>
    <row r="10" spans="1:24" ht="13" x14ac:dyDescent="0.3">
      <c r="A10" s="187">
        <f t="shared" si="2"/>
        <v>5</v>
      </c>
      <c r="B10" s="187"/>
      <c r="C10" s="185">
        <v>924</v>
      </c>
      <c r="D10" t="s">
        <v>192</v>
      </c>
      <c r="E10" s="190">
        <v>20441370</v>
      </c>
      <c r="F10" s="185" t="s">
        <v>193</v>
      </c>
      <c r="G10" s="193">
        <f t="shared" si="1"/>
        <v>0</v>
      </c>
      <c r="H10" s="193">
        <f t="shared" si="0"/>
        <v>20441370</v>
      </c>
      <c r="J10" s="192"/>
    </row>
    <row r="11" spans="1:24" ht="13" x14ac:dyDescent="0.3">
      <c r="A11" s="187">
        <f t="shared" si="2"/>
        <v>6</v>
      </c>
      <c r="B11" s="187"/>
      <c r="C11" s="185">
        <v>925</v>
      </c>
      <c r="D11" t="s">
        <v>194</v>
      </c>
      <c r="E11" s="190">
        <v>2255479067</v>
      </c>
      <c r="F11" s="185" t="s">
        <v>195</v>
      </c>
      <c r="G11" s="191">
        <f t="shared" si="1"/>
        <v>366619885.74000001</v>
      </c>
      <c r="H11" s="191">
        <f t="shared" si="0"/>
        <v>1888859181.26</v>
      </c>
      <c r="J11" s="192"/>
    </row>
    <row r="12" spans="1:24" ht="13" x14ac:dyDescent="0.3">
      <c r="A12" s="187">
        <f t="shared" si="2"/>
        <v>7</v>
      </c>
      <c r="B12" s="187"/>
      <c r="C12" s="185">
        <v>926</v>
      </c>
      <c r="D12" t="s">
        <v>196</v>
      </c>
      <c r="E12" s="190">
        <v>78787907</v>
      </c>
      <c r="F12" s="185" t="s">
        <v>197</v>
      </c>
      <c r="G12" s="191">
        <f t="shared" si="1"/>
        <v>8094298.4458499998</v>
      </c>
      <c r="H12" s="191">
        <f t="shared" si="0"/>
        <v>70693608.55415</v>
      </c>
      <c r="J12" s="192"/>
    </row>
    <row r="13" spans="1:24" ht="13" x14ac:dyDescent="0.3">
      <c r="A13" s="187">
        <f t="shared" si="2"/>
        <v>8</v>
      </c>
      <c r="B13" s="187"/>
      <c r="C13" s="185">
        <v>927</v>
      </c>
      <c r="D13" t="s">
        <v>198</v>
      </c>
      <c r="E13" s="190">
        <v>113495974</v>
      </c>
      <c r="F13" s="185" t="s">
        <v>199</v>
      </c>
      <c r="G13" s="193">
        <f t="shared" si="1"/>
        <v>113495974</v>
      </c>
      <c r="H13" s="193">
        <f t="shared" si="0"/>
        <v>0</v>
      </c>
      <c r="J13" s="192"/>
    </row>
    <row r="14" spans="1:24" ht="13" x14ac:dyDescent="0.3">
      <c r="A14" s="187">
        <f t="shared" si="2"/>
        <v>9</v>
      </c>
      <c r="B14" s="187"/>
      <c r="C14" s="185">
        <v>928</v>
      </c>
      <c r="D14" s="192" t="s">
        <v>200</v>
      </c>
      <c r="E14" s="190">
        <v>11842729</v>
      </c>
      <c r="F14" s="185" t="s">
        <v>201</v>
      </c>
      <c r="G14" s="193">
        <f t="shared" si="1"/>
        <v>10887496.710000001</v>
      </c>
      <c r="H14" s="193">
        <f t="shared" si="0"/>
        <v>955232.28999999911</v>
      </c>
      <c r="J14" s="192"/>
    </row>
    <row r="15" spans="1:24" ht="13" x14ac:dyDescent="0.3">
      <c r="A15" s="187">
        <f t="shared" si="2"/>
        <v>10</v>
      </c>
      <c r="B15" s="187"/>
      <c r="C15" s="185">
        <v>929</v>
      </c>
      <c r="D15" t="s">
        <v>202</v>
      </c>
      <c r="E15" s="190">
        <v>0</v>
      </c>
      <c r="F15" s="185" t="s">
        <v>203</v>
      </c>
      <c r="G15" s="193">
        <f t="shared" si="1"/>
        <v>0</v>
      </c>
      <c r="H15" s="193">
        <f t="shared" si="0"/>
        <v>0</v>
      </c>
      <c r="J15" s="192"/>
    </row>
    <row r="16" spans="1:24" ht="13" x14ac:dyDescent="0.3">
      <c r="A16" s="187">
        <f t="shared" si="2"/>
        <v>11</v>
      </c>
      <c r="B16" s="187"/>
      <c r="C16" s="185">
        <v>930.1</v>
      </c>
      <c r="D16" t="s">
        <v>204</v>
      </c>
      <c r="E16" s="190">
        <v>14923247</v>
      </c>
      <c r="F16" s="185" t="s">
        <v>205</v>
      </c>
      <c r="G16" s="191">
        <f t="shared" si="1"/>
        <v>0</v>
      </c>
      <c r="H16" s="191">
        <f t="shared" si="0"/>
        <v>14923247</v>
      </c>
      <c r="J16" s="192"/>
    </row>
    <row r="17" spans="1:17" ht="13" x14ac:dyDescent="0.3">
      <c r="A17" s="187">
        <f t="shared" si="2"/>
        <v>12</v>
      </c>
      <c r="B17" s="187"/>
      <c r="C17" s="185">
        <v>930.2</v>
      </c>
      <c r="D17" t="s">
        <v>206</v>
      </c>
      <c r="E17" s="190">
        <v>38904934</v>
      </c>
      <c r="F17" s="185" t="s">
        <v>207</v>
      </c>
      <c r="G17" s="193">
        <f t="shared" si="1"/>
        <v>36338171.140000001</v>
      </c>
      <c r="H17" s="193">
        <f t="shared" si="0"/>
        <v>2566762.8599999994</v>
      </c>
      <c r="J17" s="192"/>
    </row>
    <row r="18" spans="1:17" ht="13" x14ac:dyDescent="0.3">
      <c r="A18" s="187">
        <f t="shared" si="2"/>
        <v>13</v>
      </c>
      <c r="B18" s="187"/>
      <c r="C18" s="185">
        <v>931</v>
      </c>
      <c r="D18" t="s">
        <v>208</v>
      </c>
      <c r="E18" s="190">
        <v>9432312</v>
      </c>
      <c r="F18" s="185" t="s">
        <v>209</v>
      </c>
      <c r="G18" s="193">
        <f t="shared" si="1"/>
        <v>0</v>
      </c>
      <c r="H18" s="193">
        <f t="shared" si="0"/>
        <v>9432312</v>
      </c>
      <c r="J18" s="192"/>
    </row>
    <row r="19" spans="1:17" ht="13" x14ac:dyDescent="0.3">
      <c r="A19" s="187">
        <f t="shared" si="2"/>
        <v>14</v>
      </c>
      <c r="B19" s="187"/>
      <c r="C19" s="185">
        <v>935</v>
      </c>
      <c r="D19" t="s">
        <v>210</v>
      </c>
      <c r="E19" s="194">
        <v>22574402</v>
      </c>
      <c r="F19" s="185" t="s">
        <v>211</v>
      </c>
      <c r="G19" s="191">
        <f t="shared" si="1"/>
        <v>536097.97</v>
      </c>
      <c r="H19" s="195">
        <f t="shared" si="0"/>
        <v>22038304.030000001</v>
      </c>
      <c r="J19" s="192"/>
      <c r="O19" s="397"/>
      <c r="P19" s="397"/>
    </row>
    <row r="20" spans="1:17" ht="13" x14ac:dyDescent="0.3">
      <c r="A20" s="187">
        <f t="shared" si="2"/>
        <v>15</v>
      </c>
      <c r="E20" s="193">
        <f>SUM(E6:E19)</f>
        <v>3163907693</v>
      </c>
      <c r="G20" s="196" t="s">
        <v>212</v>
      </c>
      <c r="H20" s="197">
        <f>SUM(H6:H19)</f>
        <v>2507200864.2343559</v>
      </c>
      <c r="O20" s="397"/>
      <c r="P20" s="397"/>
    </row>
    <row r="21" spans="1:17" x14ac:dyDescent="0.25">
      <c r="O21" s="397"/>
      <c r="P21" s="397"/>
    </row>
    <row r="22" spans="1:17" ht="13" x14ac:dyDescent="0.3">
      <c r="F22" s="189" t="s">
        <v>32</v>
      </c>
      <c r="G22" s="189" t="s">
        <v>33</v>
      </c>
      <c r="O22" s="397"/>
      <c r="P22" s="397"/>
    </row>
    <row r="23" spans="1:17" ht="13" x14ac:dyDescent="0.3">
      <c r="A23" s="187">
        <f>A20+1</f>
        <v>16</v>
      </c>
      <c r="E23" s="198" t="s">
        <v>213</v>
      </c>
      <c r="F23" s="191">
        <f>H20</f>
        <v>2507200864.2343559</v>
      </c>
      <c r="G23" s="199" t="str">
        <f>"Line "&amp;A20&amp;""</f>
        <v>Line 15</v>
      </c>
      <c r="O23" s="397"/>
      <c r="P23" s="397"/>
    </row>
    <row r="24" spans="1:17" ht="13" x14ac:dyDescent="0.3">
      <c r="A24" s="187">
        <f t="shared" ref="A24:A30" si="3">A23+1</f>
        <v>17</v>
      </c>
      <c r="E24" s="198" t="s">
        <v>214</v>
      </c>
      <c r="F24" s="200">
        <f>E10</f>
        <v>20441370</v>
      </c>
      <c r="G24" s="199" t="str">
        <f>"Line "&amp;A10&amp;""</f>
        <v>Line 5</v>
      </c>
      <c r="O24" s="397"/>
      <c r="P24" s="397"/>
    </row>
    <row r="25" spans="1:17" ht="13" x14ac:dyDescent="0.3">
      <c r="A25" s="187">
        <f t="shared" si="3"/>
        <v>18</v>
      </c>
      <c r="E25" s="198" t="s">
        <v>215</v>
      </c>
      <c r="F25" s="191">
        <f>F23-F24</f>
        <v>2486759494.2343559</v>
      </c>
      <c r="G25" s="199" t="str">
        <f>"Line "&amp;A23&amp;" - Line "&amp;A24&amp;""</f>
        <v>Line 16 - Line 17</v>
      </c>
      <c r="O25" s="397"/>
      <c r="P25" s="397"/>
    </row>
    <row r="26" spans="1:17" ht="13" x14ac:dyDescent="0.3">
      <c r="A26" s="187">
        <f t="shared" si="3"/>
        <v>19</v>
      </c>
      <c r="E26" s="196" t="s">
        <v>216</v>
      </c>
      <c r="F26" s="201">
        <v>6.982260642173875E-2</v>
      </c>
      <c r="G26" s="199" t="s">
        <v>369</v>
      </c>
      <c r="O26" s="397"/>
      <c r="P26" s="397"/>
    </row>
    <row r="27" spans="1:17" ht="13" x14ac:dyDescent="0.3">
      <c r="A27" s="187">
        <f t="shared" si="3"/>
        <v>20</v>
      </c>
      <c r="E27" s="198" t="s">
        <v>218</v>
      </c>
      <c r="F27" s="191">
        <f>F25*F26</f>
        <v>173632029.43144754</v>
      </c>
      <c r="G27" s="199" t="str">
        <f>"Line "&amp;A25&amp;" * Line "&amp;A26&amp;""</f>
        <v>Line 18 * Line 19</v>
      </c>
      <c r="O27" s="397"/>
      <c r="P27" s="397"/>
    </row>
    <row r="28" spans="1:17" ht="13" x14ac:dyDescent="0.3">
      <c r="A28" s="187">
        <f t="shared" si="3"/>
        <v>21</v>
      </c>
      <c r="E28" s="198" t="s">
        <v>219</v>
      </c>
      <c r="F28" s="202">
        <v>0.18354940810043915</v>
      </c>
      <c r="G28" s="203" t="s">
        <v>370</v>
      </c>
      <c r="O28" s="397"/>
      <c r="P28" s="397"/>
    </row>
    <row r="29" spans="1:17" ht="13" x14ac:dyDescent="0.3">
      <c r="A29" s="187">
        <f t="shared" si="3"/>
        <v>22</v>
      </c>
      <c r="E29" s="198" t="s">
        <v>221</v>
      </c>
      <c r="F29" s="200">
        <f>H10*F28</f>
        <v>3752001.3642620738</v>
      </c>
      <c r="G29" s="199" t="str">
        <f>"Line "&amp;A10&amp;" Col 4 * Line "&amp;A28&amp;""</f>
        <v>Line 5 Col 4 * Line 21</v>
      </c>
      <c r="O29" s="397"/>
      <c r="P29" s="397"/>
    </row>
    <row r="30" spans="1:17" ht="13" x14ac:dyDescent="0.3">
      <c r="A30" s="187">
        <f t="shared" si="3"/>
        <v>23</v>
      </c>
      <c r="E30" s="198" t="s">
        <v>222</v>
      </c>
      <c r="F30" s="197">
        <f>F27+F29</f>
        <v>177384030.79570961</v>
      </c>
      <c r="G30" s="199" t="str">
        <f>"Line "&amp;A27&amp;" + Line "&amp;A29&amp;""</f>
        <v>Line 20 + Line 22</v>
      </c>
    </row>
    <row r="31" spans="1:17" x14ac:dyDescent="0.25">
      <c r="O31" s="398"/>
      <c r="P31" s="397"/>
      <c r="Q31" s="397"/>
    </row>
    <row r="32" spans="1:17" ht="13" x14ac:dyDescent="0.3">
      <c r="B32" s="182" t="s">
        <v>223</v>
      </c>
      <c r="E32" s="186" t="s">
        <v>173</v>
      </c>
      <c r="F32" s="186" t="s">
        <v>174</v>
      </c>
      <c r="G32" s="186" t="s">
        <v>175</v>
      </c>
      <c r="H32" s="186" t="s">
        <v>176</v>
      </c>
    </row>
    <row r="33" spans="1:11" ht="13" x14ac:dyDescent="0.3">
      <c r="B33" s="182"/>
      <c r="C33" s="204" t="s">
        <v>286</v>
      </c>
      <c r="D33" s="205" t="s">
        <v>365</v>
      </c>
      <c r="E33" s="187" t="s">
        <v>224</v>
      </c>
      <c r="F33" s="186"/>
      <c r="G33" s="186"/>
      <c r="H33" s="186"/>
    </row>
    <row r="34" spans="1:11" ht="13" x14ac:dyDescent="0.3">
      <c r="E34" s="187" t="s">
        <v>225</v>
      </c>
    </row>
    <row r="35" spans="1:11" ht="13" x14ac:dyDescent="0.3">
      <c r="D35" s="187" t="s">
        <v>226</v>
      </c>
      <c r="E35" s="187" t="s">
        <v>227</v>
      </c>
      <c r="F35" s="187" t="s">
        <v>228</v>
      </c>
      <c r="G35" s="187"/>
      <c r="H35" s="187"/>
    </row>
    <row r="36" spans="1:11" ht="13.5" thickBot="1" x14ac:dyDescent="0.35">
      <c r="C36" s="189" t="s">
        <v>181</v>
      </c>
      <c r="D36" s="186" t="s">
        <v>229</v>
      </c>
      <c r="E36" s="189" t="s">
        <v>230</v>
      </c>
      <c r="F36" s="189" t="s">
        <v>231</v>
      </c>
      <c r="G36" s="189" t="s">
        <v>232</v>
      </c>
      <c r="H36" s="189" t="s">
        <v>233</v>
      </c>
      <c r="I36" s="189" t="s">
        <v>42</v>
      </c>
    </row>
    <row r="37" spans="1:11" ht="13.5" thickBot="1" x14ac:dyDescent="0.35">
      <c r="A37" s="187">
        <f>A30+1</f>
        <v>24</v>
      </c>
      <c r="C37" s="185">
        <v>920</v>
      </c>
      <c r="D37" s="206">
        <f>SUM(E37:H37)</f>
        <v>228036741.6356445</v>
      </c>
      <c r="E37" s="207">
        <v>5732204.0700000003</v>
      </c>
      <c r="F37" s="208"/>
      <c r="G37" s="193">
        <f>G58</f>
        <v>222304537.5656445</v>
      </c>
      <c r="H37" s="208"/>
      <c r="I37" s="199" t="s">
        <v>234</v>
      </c>
    </row>
    <row r="38" spans="1:11" ht="13.5" thickBot="1" x14ac:dyDescent="0.35">
      <c r="A38" s="187">
        <f>A37+1</f>
        <v>25</v>
      </c>
      <c r="C38" s="185">
        <v>921</v>
      </c>
      <c r="D38" s="206">
        <f t="shared" ref="D38:D50" si="4">SUM(E38:H38)</f>
        <v>274716.09000000003</v>
      </c>
      <c r="E38" s="207">
        <v>274716.09000000003</v>
      </c>
      <c r="F38" s="208"/>
      <c r="G38" s="208">
        <v>0</v>
      </c>
      <c r="H38" s="208"/>
      <c r="I38" s="203"/>
    </row>
    <row r="39" spans="1:11" ht="13.5" thickBot="1" x14ac:dyDescent="0.35">
      <c r="A39" s="187">
        <f t="shared" ref="A39:A50" si="5">A38+1</f>
        <v>26</v>
      </c>
      <c r="C39" s="185">
        <v>922</v>
      </c>
      <c r="D39" s="209">
        <f t="shared" si="4"/>
        <v>-110501926.69585</v>
      </c>
      <c r="E39" s="210">
        <v>-11947057.69585</v>
      </c>
      <c r="F39" s="210"/>
      <c r="G39" s="210">
        <v>-98554869</v>
      </c>
      <c r="H39" s="208"/>
      <c r="I39" s="203"/>
    </row>
    <row r="40" spans="1:11" ht="13.5" thickBot="1" x14ac:dyDescent="0.35">
      <c r="A40" s="187">
        <f t="shared" si="5"/>
        <v>27</v>
      </c>
      <c r="C40" s="185">
        <v>923</v>
      </c>
      <c r="D40" s="206">
        <f t="shared" si="4"/>
        <v>2925373.7300000004</v>
      </c>
      <c r="E40" s="207">
        <v>2925373.7300000004</v>
      </c>
      <c r="F40" s="208"/>
      <c r="G40" s="208">
        <v>0</v>
      </c>
      <c r="H40" s="208"/>
      <c r="I40" s="203"/>
      <c r="J40" s="189"/>
      <c r="K40" s="189"/>
    </row>
    <row r="41" spans="1:11" ht="13.5" thickBot="1" x14ac:dyDescent="0.35">
      <c r="A41" s="187">
        <f t="shared" si="5"/>
        <v>28</v>
      </c>
      <c r="C41" s="185">
        <v>924</v>
      </c>
      <c r="D41" s="209">
        <f t="shared" si="4"/>
        <v>0</v>
      </c>
      <c r="E41" s="210">
        <v>0</v>
      </c>
      <c r="F41" s="208"/>
      <c r="G41" s="208">
        <v>0</v>
      </c>
      <c r="H41" s="208"/>
      <c r="I41" s="203"/>
      <c r="K41" s="193"/>
    </row>
    <row r="42" spans="1:11" ht="13.5" thickBot="1" x14ac:dyDescent="0.35">
      <c r="A42" s="187">
        <f t="shared" si="5"/>
        <v>29</v>
      </c>
      <c r="C42" s="185">
        <v>925</v>
      </c>
      <c r="D42" s="206">
        <f t="shared" si="4"/>
        <v>366619885.74000001</v>
      </c>
      <c r="E42" s="207">
        <v>366619885.74000001</v>
      </c>
      <c r="F42" s="208"/>
      <c r="G42" s="208">
        <v>0</v>
      </c>
      <c r="H42" s="208"/>
      <c r="I42" s="199" t="s">
        <v>288</v>
      </c>
      <c r="K42" s="193"/>
    </row>
    <row r="43" spans="1:11" ht="13.5" thickBot="1" x14ac:dyDescent="0.35">
      <c r="A43" s="187">
        <f t="shared" si="5"/>
        <v>30</v>
      </c>
      <c r="C43" s="185">
        <v>926</v>
      </c>
      <c r="D43" s="206">
        <f t="shared" si="4"/>
        <v>8094298.4458499998</v>
      </c>
      <c r="E43" s="207">
        <v>14423298.44585</v>
      </c>
      <c r="F43" s="208"/>
      <c r="G43" s="208">
        <v>0</v>
      </c>
      <c r="H43" s="193">
        <f>E71</f>
        <v>-6329000</v>
      </c>
      <c r="I43" s="199" t="s">
        <v>235</v>
      </c>
      <c r="K43" s="193"/>
    </row>
    <row r="44" spans="1:11" ht="13" x14ac:dyDescent="0.3">
      <c r="A44" s="187">
        <f t="shared" si="5"/>
        <v>31</v>
      </c>
      <c r="C44" s="185">
        <v>927</v>
      </c>
      <c r="D44" s="209">
        <f t="shared" si="4"/>
        <v>113495974</v>
      </c>
      <c r="E44" s="193">
        <v>0</v>
      </c>
      <c r="F44" s="193">
        <f>E13</f>
        <v>113495974</v>
      </c>
      <c r="G44" s="193">
        <v>0</v>
      </c>
      <c r="H44" s="193">
        <v>0</v>
      </c>
      <c r="I44" s="203" t="s">
        <v>236</v>
      </c>
      <c r="K44" s="193"/>
    </row>
    <row r="45" spans="1:11" ht="13" x14ac:dyDescent="0.3">
      <c r="A45" s="187">
        <f t="shared" si="5"/>
        <v>32</v>
      </c>
      <c r="C45" s="185">
        <v>928</v>
      </c>
      <c r="D45" s="209">
        <f t="shared" si="4"/>
        <v>10887496.710000001</v>
      </c>
      <c r="E45" s="210">
        <v>10887496.710000001</v>
      </c>
      <c r="F45" s="208"/>
      <c r="G45" s="208">
        <v>0</v>
      </c>
      <c r="H45" s="208"/>
      <c r="I45" s="203"/>
      <c r="K45" s="193"/>
    </row>
    <row r="46" spans="1:11" ht="13.5" thickBot="1" x14ac:dyDescent="0.35">
      <c r="A46" s="187">
        <f t="shared" si="5"/>
        <v>33</v>
      </c>
      <c r="C46" s="185">
        <v>929</v>
      </c>
      <c r="D46" s="209">
        <f t="shared" si="4"/>
        <v>0</v>
      </c>
      <c r="E46" s="210">
        <v>0</v>
      </c>
      <c r="F46" s="208"/>
      <c r="G46" s="208">
        <v>0</v>
      </c>
      <c r="H46" s="208"/>
      <c r="I46" s="203"/>
      <c r="K46" s="193"/>
    </row>
    <row r="47" spans="1:11" ht="13.5" thickBot="1" x14ac:dyDescent="0.35">
      <c r="A47" s="187">
        <f t="shared" si="5"/>
        <v>34</v>
      </c>
      <c r="C47" s="185">
        <v>930.1</v>
      </c>
      <c r="D47" s="206">
        <f t="shared" si="4"/>
        <v>0</v>
      </c>
      <c r="E47" s="207">
        <v>0</v>
      </c>
      <c r="F47" s="208"/>
      <c r="G47" s="208">
        <v>0</v>
      </c>
      <c r="H47" s="208"/>
      <c r="I47" s="203"/>
      <c r="K47" s="193"/>
    </row>
    <row r="48" spans="1:11" ht="13" x14ac:dyDescent="0.3">
      <c r="A48" s="187">
        <f t="shared" si="5"/>
        <v>35</v>
      </c>
      <c r="C48" s="185">
        <v>930.2</v>
      </c>
      <c r="D48" s="209">
        <f t="shared" si="4"/>
        <v>36338171.140000001</v>
      </c>
      <c r="E48" s="210">
        <v>36338171.140000001</v>
      </c>
      <c r="F48" s="208"/>
      <c r="G48" s="208">
        <v>0</v>
      </c>
      <c r="H48" s="208"/>
      <c r="I48" s="203"/>
      <c r="J48" s="211"/>
    </row>
    <row r="49" spans="1:10" ht="13.5" thickBot="1" x14ac:dyDescent="0.35">
      <c r="A49" s="187">
        <f t="shared" si="5"/>
        <v>36</v>
      </c>
      <c r="C49" s="185">
        <v>931</v>
      </c>
      <c r="D49" s="209">
        <f t="shared" si="4"/>
        <v>0</v>
      </c>
      <c r="E49" s="210">
        <v>0</v>
      </c>
      <c r="F49" s="208"/>
      <c r="G49" s="208">
        <v>0</v>
      </c>
      <c r="H49" s="208"/>
      <c r="I49" s="203"/>
      <c r="J49" s="193"/>
    </row>
    <row r="50" spans="1:10" ht="13.5" thickBot="1" x14ac:dyDescent="0.35">
      <c r="A50" s="187">
        <f t="shared" si="5"/>
        <v>37</v>
      </c>
      <c r="C50" s="185">
        <v>935</v>
      </c>
      <c r="D50" s="206">
        <f t="shared" si="4"/>
        <v>536097.97</v>
      </c>
      <c r="E50" s="207">
        <v>536097.97</v>
      </c>
      <c r="F50" s="208"/>
      <c r="G50" s="208">
        <v>0</v>
      </c>
      <c r="H50" s="208"/>
      <c r="I50" s="203"/>
    </row>
    <row r="51" spans="1:10" ht="13" x14ac:dyDescent="0.3">
      <c r="A51" s="187"/>
      <c r="C51" s="185"/>
      <c r="D51" s="209"/>
      <c r="E51" s="211"/>
      <c r="F51" s="193"/>
      <c r="G51" s="193"/>
      <c r="H51" s="193"/>
      <c r="I51" s="203"/>
    </row>
    <row r="52" spans="1:10" ht="13" x14ac:dyDescent="0.3">
      <c r="B52" s="182" t="s">
        <v>237</v>
      </c>
    </row>
    <row r="53" spans="1:10" ht="13" x14ac:dyDescent="0.3">
      <c r="B53" s="182"/>
      <c r="C53" s="192" t="s">
        <v>238</v>
      </c>
      <c r="G53" s="187"/>
      <c r="H53" s="187"/>
    </row>
    <row r="54" spans="1:10" ht="13" x14ac:dyDescent="0.3">
      <c r="B54" s="182"/>
      <c r="C54" s="60" t="s">
        <v>239</v>
      </c>
      <c r="D54" s="60"/>
      <c r="E54" s="60"/>
      <c r="G54" s="187"/>
      <c r="H54" s="187"/>
    </row>
    <row r="55" spans="1:10" ht="13" x14ac:dyDescent="0.3">
      <c r="B55" s="182"/>
      <c r="C55" s="204" t="s">
        <v>286</v>
      </c>
      <c r="D55" s="205" t="s">
        <v>365</v>
      </c>
      <c r="G55" s="189" t="s">
        <v>32</v>
      </c>
      <c r="H55" s="189" t="s">
        <v>33</v>
      </c>
    </row>
    <row r="56" spans="1:10" ht="13" x14ac:dyDescent="0.3">
      <c r="A56" s="187"/>
      <c r="B56" s="187" t="s">
        <v>114</v>
      </c>
      <c r="C56" s="212"/>
      <c r="F56" s="198" t="s">
        <v>240</v>
      </c>
      <c r="G56" s="210">
        <v>216604107.38</v>
      </c>
      <c r="H56" s="199" t="s">
        <v>241</v>
      </c>
    </row>
    <row r="57" spans="1:10" ht="13" x14ac:dyDescent="0.3">
      <c r="A57" s="187"/>
      <c r="B57" s="187" t="s">
        <v>116</v>
      </c>
      <c r="C57" s="192"/>
      <c r="F57" s="198" t="s">
        <v>242</v>
      </c>
      <c r="G57" s="200">
        <f>E61</f>
        <v>-5700430.1856445111</v>
      </c>
      <c r="H57" s="199" t="str">
        <f>"Note 2, "&amp;B61&amp;""</f>
        <v>Note 2, d</v>
      </c>
    </row>
    <row r="58" spans="1:10" ht="13" x14ac:dyDescent="0.3">
      <c r="A58" s="187"/>
      <c r="B58" s="187" t="s">
        <v>119</v>
      </c>
      <c r="F58" s="198" t="s">
        <v>243</v>
      </c>
      <c r="G58" s="193">
        <f>G56-G57</f>
        <v>222304537.5656445</v>
      </c>
    </row>
    <row r="59" spans="1:10" ht="13" x14ac:dyDescent="0.3">
      <c r="A59" s="187"/>
      <c r="C59" s="60" t="s">
        <v>244</v>
      </c>
      <c r="D59" s="60"/>
      <c r="E59" s="60"/>
      <c r="G59" s="193"/>
    </row>
    <row r="60" spans="1:10" ht="13" x14ac:dyDescent="0.3">
      <c r="A60" s="187"/>
      <c r="D60" s="213" t="s">
        <v>245</v>
      </c>
      <c r="E60" s="189" t="s">
        <v>32</v>
      </c>
      <c r="F60" s="189" t="s">
        <v>33</v>
      </c>
      <c r="G60" s="193"/>
    </row>
    <row r="61" spans="1:10" ht="13" x14ac:dyDescent="0.3">
      <c r="A61" s="187"/>
      <c r="B61" s="187" t="s">
        <v>121</v>
      </c>
      <c r="D61" t="s">
        <v>246</v>
      </c>
      <c r="E61" s="132">
        <v>-5700430.1856445111</v>
      </c>
      <c r="F61" s="199" t="s">
        <v>247</v>
      </c>
      <c r="G61" s="193"/>
    </row>
    <row r="62" spans="1:10" ht="13" x14ac:dyDescent="0.3">
      <c r="A62" s="187"/>
      <c r="B62" s="187" t="s">
        <v>125</v>
      </c>
      <c r="D62" s="192" t="s">
        <v>248</v>
      </c>
      <c r="E62" s="132">
        <v>-2569165.2078082524</v>
      </c>
      <c r="F62" s="199" t="s">
        <v>247</v>
      </c>
      <c r="G62" s="193"/>
      <c r="I62" s="133"/>
    </row>
    <row r="63" spans="1:10" ht="13" x14ac:dyDescent="0.3">
      <c r="A63" s="187"/>
      <c r="B63" s="187" t="s">
        <v>127</v>
      </c>
      <c r="D63" s="192" t="s">
        <v>249</v>
      </c>
      <c r="E63" s="134">
        <v>-9126423.6065472364</v>
      </c>
      <c r="F63" s="199" t="s">
        <v>247</v>
      </c>
      <c r="G63" s="193"/>
      <c r="I63" s="193"/>
    </row>
    <row r="64" spans="1:10" ht="13" x14ac:dyDescent="0.3">
      <c r="A64" s="187"/>
      <c r="B64" s="187" t="s">
        <v>129</v>
      </c>
      <c r="D64" s="198" t="s">
        <v>250</v>
      </c>
      <c r="E64" s="193">
        <f>SUM(E61:E63)</f>
        <v>-17396019</v>
      </c>
      <c r="F64" s="199" t="str">
        <f>"Sum of "&amp;B61&amp;" to "&amp;B63&amp;""</f>
        <v>Sum of d to f</v>
      </c>
      <c r="G64" s="193"/>
    </row>
    <row r="66" spans="1:7" ht="13" x14ac:dyDescent="0.3">
      <c r="B66" s="182" t="s">
        <v>251</v>
      </c>
    </row>
    <row r="67" spans="1:7" ht="13" x14ac:dyDescent="0.3">
      <c r="E67" s="189" t="s">
        <v>32</v>
      </c>
      <c r="F67" s="213" t="s">
        <v>252</v>
      </c>
    </row>
    <row r="68" spans="1:7" ht="13" x14ac:dyDescent="0.3">
      <c r="A68" s="187"/>
      <c r="B68" s="187" t="s">
        <v>114</v>
      </c>
      <c r="D68" s="198" t="s">
        <v>253</v>
      </c>
      <c r="E68" s="214">
        <v>0</v>
      </c>
      <c r="F68" s="199" t="s">
        <v>254</v>
      </c>
    </row>
    <row r="69" spans="1:7" ht="13" x14ac:dyDescent="0.3">
      <c r="A69" s="187"/>
      <c r="B69" s="187" t="s">
        <v>116</v>
      </c>
      <c r="D69" s="198" t="s">
        <v>255</v>
      </c>
      <c r="E69" s="215">
        <v>6329000</v>
      </c>
      <c r="F69" s="199" t="s">
        <v>256</v>
      </c>
    </row>
    <row r="70" spans="1:7" ht="13" x14ac:dyDescent="0.3">
      <c r="A70" s="187"/>
      <c r="B70" s="187" t="s">
        <v>119</v>
      </c>
      <c r="D70" s="198" t="s">
        <v>257</v>
      </c>
      <c r="E70" s="216">
        <v>0</v>
      </c>
      <c r="F70" s="199" t="s">
        <v>241</v>
      </c>
    </row>
    <row r="71" spans="1:7" ht="13" x14ac:dyDescent="0.3">
      <c r="A71" s="187"/>
      <c r="B71" s="187" t="s">
        <v>121</v>
      </c>
      <c r="D71" s="198" t="s">
        <v>258</v>
      </c>
      <c r="E71" s="193">
        <f>E70-E69</f>
        <v>-6329000</v>
      </c>
      <c r="F71" s="199" t="str">
        <f>""&amp;B70&amp;" - "&amp;B69&amp;""</f>
        <v>c - b</v>
      </c>
    </row>
    <row r="72" spans="1:7" ht="13" x14ac:dyDescent="0.3">
      <c r="A72" s="187"/>
      <c r="B72" s="182" t="s">
        <v>259</v>
      </c>
      <c r="D72" s="198"/>
      <c r="E72" s="193"/>
      <c r="F72" s="199"/>
    </row>
    <row r="73" spans="1:7" ht="13" x14ac:dyDescent="0.3">
      <c r="A73" s="187"/>
      <c r="B73" s="182"/>
      <c r="C73" t="str">
        <f>"Amount in Line "&amp;A44&amp;", column 2 equals amount in Line "&amp;A13&amp;", column 1 because all Franchise Requirements Expenses are excluded"</f>
        <v>Amount in Line 31, column 2 equals amount in Line 8, column 1 because all Franchise Requirements Expenses are excluded</v>
      </c>
      <c r="D73" s="198"/>
      <c r="E73" s="193"/>
      <c r="F73" s="199"/>
    </row>
    <row r="74" spans="1:7" ht="13" x14ac:dyDescent="0.3">
      <c r="A74" s="187"/>
      <c r="B74" s="182"/>
      <c r="C74" s="192" t="s">
        <v>260</v>
      </c>
      <c r="D74" s="198"/>
      <c r="E74" s="193"/>
      <c r="F74" s="199"/>
    </row>
    <row r="76" spans="1:7" ht="13" x14ac:dyDescent="0.3">
      <c r="B76" s="182" t="s">
        <v>104</v>
      </c>
    </row>
    <row r="77" spans="1:7" x14ac:dyDescent="0.25">
      <c r="C77" s="192" t="str">
        <f>"1) Enter amounts of A&amp;G expenses from FERC Form 1 in Lines "&amp;A6&amp;" to "&amp;A19&amp;"."</f>
        <v>1) Enter amounts of A&amp;G expenses from FERC Form 1 in Lines 1 to 14.</v>
      </c>
    </row>
    <row r="78" spans="1:7" x14ac:dyDescent="0.25">
      <c r="C78" s="192" t="s">
        <v>261</v>
      </c>
      <c r="G78" t="str">
        <f>"Column 3, Line "&amp;A37&amp;""</f>
        <v>Column 3, Line 24</v>
      </c>
    </row>
    <row r="79" spans="1:7" x14ac:dyDescent="0.25">
      <c r="C79" s="199" t="str">
        <f>"is calculated in Note 2.  The PBOPs exclusion in Column 4, Line "&amp;A43&amp;" is calculated in Note 3."</f>
        <v>is calculated in Note 2.  The PBOPs exclusion in Column 4, Line 30 is calculated in Note 3.</v>
      </c>
      <c r="G79" s="192"/>
    </row>
    <row r="80" spans="1:7" x14ac:dyDescent="0.25">
      <c r="C80" s="199" t="s">
        <v>262</v>
      </c>
    </row>
    <row r="81" spans="3:7" x14ac:dyDescent="0.25">
      <c r="C81" s="199" t="s">
        <v>263</v>
      </c>
      <c r="D81" s="198"/>
      <c r="E81" s="193"/>
      <c r="F81" s="199"/>
    </row>
    <row r="82" spans="3:7" x14ac:dyDescent="0.25">
      <c r="C82" s="199" t="s">
        <v>264</v>
      </c>
      <c r="D82" s="198"/>
      <c r="E82" s="193"/>
      <c r="F82" s="199"/>
    </row>
    <row r="83" spans="3:7" x14ac:dyDescent="0.25">
      <c r="C83" s="199" t="s">
        <v>265</v>
      </c>
    </row>
    <row r="84" spans="3:7" x14ac:dyDescent="0.25">
      <c r="C84" s="199" t="s">
        <v>266</v>
      </c>
    </row>
    <row r="85" spans="3:7" x14ac:dyDescent="0.25">
      <c r="C85" s="199" t="s">
        <v>267</v>
      </c>
    </row>
    <row r="86" spans="3:7" x14ac:dyDescent="0.25">
      <c r="C86" s="199" t="s">
        <v>268</v>
      </c>
    </row>
    <row r="87" spans="3:7" x14ac:dyDescent="0.25">
      <c r="C87" s="199" t="s">
        <v>269</v>
      </c>
    </row>
    <row r="88" spans="3:7" x14ac:dyDescent="0.25">
      <c r="C88" s="199" t="s">
        <v>270</v>
      </c>
      <c r="D88" s="192"/>
      <c r="E88" s="217"/>
      <c r="F88" s="217"/>
      <c r="G88" s="217"/>
    </row>
    <row r="89" spans="3:7" x14ac:dyDescent="0.25">
      <c r="C89" s="218" t="s">
        <v>271</v>
      </c>
      <c r="D89" s="192"/>
      <c r="E89" s="217"/>
      <c r="F89" s="217"/>
      <c r="G89" s="217"/>
    </row>
    <row r="90" spans="3:7" x14ac:dyDescent="0.25">
      <c r="C90" s="218" t="s">
        <v>272</v>
      </c>
      <c r="D90" s="192"/>
      <c r="E90" s="217"/>
      <c r="F90" s="217"/>
      <c r="G90" s="217"/>
    </row>
    <row r="91" spans="3:7" x14ac:dyDescent="0.25">
      <c r="C91" s="218" t="s">
        <v>273</v>
      </c>
      <c r="D91" s="192"/>
      <c r="E91" s="217"/>
      <c r="F91" s="217"/>
      <c r="G91" s="217"/>
    </row>
    <row r="92" spans="3:7" x14ac:dyDescent="0.25">
      <c r="C92" s="199" t="s">
        <v>274</v>
      </c>
      <c r="D92" s="192"/>
      <c r="E92" s="217"/>
      <c r="F92" s="217"/>
      <c r="G92" s="217"/>
    </row>
    <row r="93" spans="3:7" x14ac:dyDescent="0.25">
      <c r="C93" s="218" t="s">
        <v>275</v>
      </c>
      <c r="D93" s="192"/>
      <c r="E93" s="217"/>
      <c r="F93" s="217"/>
      <c r="G93" s="217"/>
    </row>
    <row r="94" spans="3:7" x14ac:dyDescent="0.25">
      <c r="C94" s="218" t="s">
        <v>276</v>
      </c>
      <c r="D94" s="192"/>
      <c r="E94" s="217"/>
      <c r="F94" s="217"/>
      <c r="G94" s="217"/>
    </row>
    <row r="95" spans="3:7" x14ac:dyDescent="0.25">
      <c r="C95" s="218" t="s">
        <v>277</v>
      </c>
      <c r="D95" s="192"/>
      <c r="E95" s="217"/>
      <c r="F95" s="217"/>
      <c r="G95" s="217"/>
    </row>
    <row r="96" spans="3:7" x14ac:dyDescent="0.25">
      <c r="C96" s="218" t="s">
        <v>278</v>
      </c>
      <c r="D96" s="192"/>
      <c r="E96" s="217"/>
      <c r="F96" s="217"/>
      <c r="G96" s="217"/>
    </row>
    <row r="97" spans="3:10" ht="13" x14ac:dyDescent="0.3">
      <c r="C97" s="69" t="s">
        <v>279</v>
      </c>
      <c r="D97" s="60"/>
      <c r="E97" s="60"/>
      <c r="F97" s="60"/>
      <c r="G97" s="60"/>
      <c r="H97" s="60"/>
      <c r="I97" s="60"/>
      <c r="J97" s="60"/>
    </row>
    <row r="98" spans="3:10" x14ac:dyDescent="0.25">
      <c r="C98" s="192" t="s">
        <v>280</v>
      </c>
    </row>
    <row r="99" spans="3:10" x14ac:dyDescent="0.25">
      <c r="C99" s="69" t="s">
        <v>281</v>
      </c>
      <c r="D99" s="60"/>
      <c r="E99" s="60"/>
      <c r="F99" s="60"/>
      <c r="G99" s="60"/>
      <c r="H99" s="60"/>
      <c r="I99" s="60"/>
    </row>
    <row r="100" spans="3:10" x14ac:dyDescent="0.25">
      <c r="C100" s="192" t="str">
        <f>"4) Determine the PBOPs exclusion.  The authorized amount of PBOPs expense (line "&amp;B68&amp;") may only be revised"</f>
        <v>4) Determine the PBOPs exclusion.  The authorized amount of PBOPs expense (line a) may only be revised</v>
      </c>
    </row>
    <row r="101" spans="3:10" x14ac:dyDescent="0.25">
      <c r="C101" s="192" t="s">
        <v>282</v>
      </c>
    </row>
    <row r="102" spans="3:10" x14ac:dyDescent="0.25">
      <c r="C102" s="192" t="s">
        <v>283</v>
      </c>
    </row>
    <row r="103" spans="3:10" x14ac:dyDescent="0.25">
      <c r="C103" s="192" t="s">
        <v>284</v>
      </c>
      <c r="I103" s="205" t="s">
        <v>366</v>
      </c>
      <c r="J103" s="205"/>
    </row>
    <row r="104" spans="3:10" x14ac:dyDescent="0.25">
      <c r="C104" s="192" t="s">
        <v>285</v>
      </c>
    </row>
    <row r="105" spans="3:10" x14ac:dyDescent="0.25">
      <c r="C105" t="s">
        <v>290</v>
      </c>
    </row>
    <row r="106" spans="3:10" x14ac:dyDescent="0.25">
      <c r="C106" t="s">
        <v>291</v>
      </c>
    </row>
    <row r="107" spans="3:10" x14ac:dyDescent="0.25">
      <c r="C107" t="s">
        <v>292</v>
      </c>
    </row>
    <row r="108" spans="3:10" x14ac:dyDescent="0.25">
      <c r="C108" t="s">
        <v>293</v>
      </c>
    </row>
    <row r="109" spans="3:10" x14ac:dyDescent="0.25">
      <c r="C109" t="s">
        <v>294</v>
      </c>
    </row>
    <row r="110" spans="3:10" x14ac:dyDescent="0.25">
      <c r="C110" s="219"/>
    </row>
  </sheetData>
  <pageMargins left="0.75" right="0.75" top="1" bottom="1" header="0.5" footer="0.5"/>
  <pageSetup scale="68" orientation="landscape" cellComments="asDisplayed" r:id="rId1"/>
  <headerFooter alignWithMargins="0">
    <oddHeader>&amp;CSchedule 20
Administrative and General Expenses
(Revised 2020 True Up TRR)&amp;RTO2023 Draft Annual Update
Attachment 4
WP-Schedule 3-One Time Adj Prior Period
Page &amp;P of &amp;N</oddHeader>
    <oddFooter>&amp;R&amp;A</oddFooter>
  </headerFooter>
  <rowBreaks count="2" manualBreakCount="2">
    <brk id="51" max="11" man="1"/>
    <brk id="75"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B0B5C-89AF-4DEA-8769-08DECDD0AC0B}">
  <dimension ref="A1:IT275"/>
  <sheetViews>
    <sheetView topLeftCell="A46" zoomScaleNormal="100" zoomScalePageLayoutView="80" workbookViewId="0">
      <selection activeCell="J84" sqref="J84"/>
    </sheetView>
  </sheetViews>
  <sheetFormatPr defaultRowHeight="12.5" x14ac:dyDescent="0.25"/>
  <cols>
    <col min="1" max="1" width="6.453125" style="192" customWidth="1"/>
    <col min="2" max="2" width="8.54296875" style="192" customWidth="1"/>
    <col min="3" max="3" width="9.54296875" style="192" customWidth="1"/>
    <col min="4" max="4" width="51.54296875" style="192" customWidth="1"/>
    <col min="5" max="6" width="16.453125" style="331" customWidth="1"/>
    <col min="7" max="7" width="18.453125" style="331" bestFit="1" customWidth="1"/>
    <col min="8" max="8" width="15.54296875" style="275" bestFit="1" customWidth="1"/>
    <col min="9" max="9" width="16.54296875" style="275" bestFit="1" customWidth="1"/>
    <col min="10" max="10" width="15.54296875" style="331" customWidth="1"/>
    <col min="11" max="11" width="6.54296875" style="332" customWidth="1"/>
    <col min="12" max="12" width="16.453125" style="333" customWidth="1"/>
    <col min="13" max="13" width="17.453125" style="275" bestFit="1" customWidth="1"/>
    <col min="14" max="14" width="18.453125" style="331" bestFit="1" customWidth="1"/>
    <col min="15" max="15" width="8.54296875" style="275" customWidth="1"/>
  </cols>
  <sheetData>
    <row r="1" spans="1:15" ht="13" x14ac:dyDescent="0.3">
      <c r="A1" s="226"/>
      <c r="B1" s="227" t="s">
        <v>139</v>
      </c>
      <c r="C1" s="227" t="s">
        <v>143</v>
      </c>
      <c r="D1" s="227" t="s">
        <v>378</v>
      </c>
      <c r="E1" s="227" t="s">
        <v>299</v>
      </c>
      <c r="F1" s="227" t="s">
        <v>157</v>
      </c>
      <c r="G1" s="227" t="s">
        <v>345</v>
      </c>
      <c r="H1" s="227" t="s">
        <v>359</v>
      </c>
      <c r="I1" s="227" t="s">
        <v>379</v>
      </c>
      <c r="J1" s="227" t="s">
        <v>380</v>
      </c>
      <c r="K1" s="227" t="s">
        <v>381</v>
      </c>
      <c r="L1" s="227" t="s">
        <v>382</v>
      </c>
      <c r="M1" s="227" t="s">
        <v>383</v>
      </c>
      <c r="N1" s="227" t="s">
        <v>384</v>
      </c>
      <c r="O1" s="227" t="s">
        <v>385</v>
      </c>
    </row>
    <row r="2" spans="1:15" x14ac:dyDescent="0.25">
      <c r="A2" s="228"/>
      <c r="B2" s="229"/>
      <c r="C2" s="229"/>
      <c r="D2" s="229"/>
      <c r="E2" s="230"/>
      <c r="F2" s="230"/>
      <c r="G2" s="499" t="s">
        <v>386</v>
      </c>
      <c r="H2" s="488"/>
      <c r="I2" s="489"/>
      <c r="J2" s="499" t="s">
        <v>387</v>
      </c>
      <c r="K2" s="488"/>
      <c r="L2" s="488"/>
      <c r="M2" s="489"/>
      <c r="N2" s="231" t="s">
        <v>388</v>
      </c>
      <c r="O2" s="228"/>
    </row>
    <row r="3" spans="1:15" ht="26.25" customHeight="1" x14ac:dyDescent="0.3">
      <c r="A3" s="232" t="s">
        <v>389</v>
      </c>
      <c r="B3" s="233" t="s">
        <v>390</v>
      </c>
      <c r="C3" s="233" t="s">
        <v>391</v>
      </c>
      <c r="D3" s="233" t="s">
        <v>392</v>
      </c>
      <c r="E3" s="234" t="s">
        <v>393</v>
      </c>
      <c r="F3" s="235" t="s">
        <v>394</v>
      </c>
      <c r="G3" s="235" t="s">
        <v>395</v>
      </c>
      <c r="H3" s="232" t="s">
        <v>396</v>
      </c>
      <c r="I3" s="232" t="s">
        <v>397</v>
      </c>
      <c r="J3" s="234" t="s">
        <v>395</v>
      </c>
      <c r="K3" s="236" t="s">
        <v>398</v>
      </c>
      <c r="L3" s="237" t="s">
        <v>399</v>
      </c>
      <c r="M3" s="232" t="s">
        <v>400</v>
      </c>
      <c r="N3" s="234" t="s">
        <v>395</v>
      </c>
      <c r="O3" s="232" t="s">
        <v>42</v>
      </c>
    </row>
    <row r="4" spans="1:15" x14ac:dyDescent="0.25">
      <c r="A4" s="238" t="s">
        <v>401</v>
      </c>
      <c r="B4" s="239">
        <v>450</v>
      </c>
      <c r="C4" s="239" t="s">
        <v>402</v>
      </c>
      <c r="D4" s="240" t="s">
        <v>403</v>
      </c>
      <c r="E4" s="241">
        <v>3190630</v>
      </c>
      <c r="F4" s="241" t="s">
        <v>386</v>
      </c>
      <c r="G4" s="242">
        <f>IF(F4=$G$2,E4,0)</f>
        <v>3190630</v>
      </c>
      <c r="H4" s="243">
        <v>0</v>
      </c>
      <c r="I4" s="244">
        <f>G4-H4</f>
        <v>3190630</v>
      </c>
      <c r="J4" s="242">
        <f>IF(F4=$J$2,E4,0)</f>
        <v>0</v>
      </c>
      <c r="K4" s="245"/>
      <c r="L4" s="241"/>
      <c r="M4" s="244">
        <f>J4-L4</f>
        <v>0</v>
      </c>
      <c r="N4" s="242">
        <f>IF(F4=$N$2,E4,0)</f>
        <v>0</v>
      </c>
      <c r="O4" s="243">
        <v>1</v>
      </c>
    </row>
    <row r="5" spans="1:15" x14ac:dyDescent="0.25">
      <c r="A5" s="238" t="s">
        <v>404</v>
      </c>
      <c r="B5" s="239">
        <v>450</v>
      </c>
      <c r="C5" s="240" t="s">
        <v>405</v>
      </c>
      <c r="D5" s="240" t="s">
        <v>406</v>
      </c>
      <c r="E5" s="241">
        <v>2855717.81</v>
      </c>
      <c r="F5" s="241" t="s">
        <v>386</v>
      </c>
      <c r="G5" s="242">
        <f>IF(F5=$G$2,E5,0)</f>
        <v>2855717.81</v>
      </c>
      <c r="H5" s="243">
        <v>0</v>
      </c>
      <c r="I5" s="244">
        <f>G5-H5</f>
        <v>2855717.81</v>
      </c>
      <c r="J5" s="242">
        <f>IF(F5=$J$2,E5,0)</f>
        <v>0</v>
      </c>
      <c r="K5" s="245"/>
      <c r="L5" s="241"/>
      <c r="M5" s="244">
        <f>J5-L5</f>
        <v>0</v>
      </c>
      <c r="N5" s="242">
        <f>IF(F5=$N$2,E5,0)</f>
        <v>0</v>
      </c>
      <c r="O5" s="243">
        <v>1</v>
      </c>
    </row>
    <row r="6" spans="1:15" x14ac:dyDescent="0.25">
      <c r="A6" s="246"/>
      <c r="B6" s="247"/>
      <c r="C6" s="248"/>
      <c r="D6" s="249"/>
      <c r="E6" s="250"/>
      <c r="F6" s="250"/>
      <c r="G6" s="241"/>
      <c r="H6" s="251"/>
      <c r="I6" s="252"/>
      <c r="J6" s="241"/>
      <c r="K6" s="253"/>
      <c r="L6" s="241"/>
      <c r="M6" s="252"/>
      <c r="N6" s="241"/>
      <c r="O6" s="251"/>
    </row>
    <row r="7" spans="1:15" x14ac:dyDescent="0.25">
      <c r="A7" s="246"/>
      <c r="B7" s="247"/>
      <c r="C7" s="248"/>
      <c r="D7" s="249"/>
      <c r="E7" s="250"/>
      <c r="F7" s="250"/>
      <c r="G7" s="241"/>
      <c r="H7" s="251"/>
      <c r="I7" s="252"/>
      <c r="J7" s="241"/>
      <c r="K7" s="253"/>
      <c r="L7" s="241"/>
      <c r="M7" s="252"/>
      <c r="N7" s="241"/>
      <c r="O7" s="251"/>
    </row>
    <row r="8" spans="1:15" ht="13" x14ac:dyDescent="0.3">
      <c r="A8" s="238">
        <v>2</v>
      </c>
      <c r="B8" s="487" t="s">
        <v>407</v>
      </c>
      <c r="C8" s="488"/>
      <c r="D8" s="489"/>
      <c r="E8" s="254">
        <f>SUM(E4:E7)</f>
        <v>6046347.8100000005</v>
      </c>
      <c r="F8" s="255"/>
      <c r="G8" s="254">
        <f>SUM(G4:G7)</f>
        <v>6046347.8100000005</v>
      </c>
      <c r="H8" s="227">
        <f>SUM(H4:H7)</f>
        <v>0</v>
      </c>
      <c r="I8" s="254">
        <f>SUM(I4:I7)</f>
        <v>6046347.8100000005</v>
      </c>
      <c r="J8" s="254">
        <f>SUM(J4:J7)</f>
        <v>0</v>
      </c>
      <c r="K8" s="255"/>
      <c r="L8" s="254">
        <f>SUM(L4:L7)</f>
        <v>0</v>
      </c>
      <c r="M8" s="254">
        <f>SUM(M4:M7)</f>
        <v>0</v>
      </c>
      <c r="N8" s="254">
        <f>SUM(N4:N7)</f>
        <v>0</v>
      </c>
      <c r="O8" s="243"/>
    </row>
    <row r="9" spans="1:15" ht="12.75" customHeight="1" x14ac:dyDescent="0.3">
      <c r="A9" s="238">
        <v>3</v>
      </c>
      <c r="B9" s="493" t="s">
        <v>408</v>
      </c>
      <c r="C9" s="494"/>
      <c r="D9" s="495"/>
      <c r="E9" s="256">
        <v>6046348</v>
      </c>
      <c r="F9" s="257"/>
      <c r="G9" s="258"/>
      <c r="H9" s="257"/>
      <c r="I9" s="257"/>
      <c r="J9" s="258"/>
      <c r="K9" s="257"/>
      <c r="L9" s="258"/>
      <c r="M9" s="258"/>
      <c r="N9" s="258"/>
      <c r="O9" s="187"/>
    </row>
    <row r="10" spans="1:15" ht="13" x14ac:dyDescent="0.3">
      <c r="A10" s="259"/>
      <c r="B10" s="182"/>
      <c r="C10" s="260"/>
      <c r="D10" s="260"/>
      <c r="E10" s="258"/>
      <c r="F10" s="258"/>
      <c r="G10" s="258"/>
      <c r="H10" s="257"/>
      <c r="I10" s="257"/>
      <c r="J10" s="258"/>
      <c r="K10" s="257"/>
      <c r="L10" s="258"/>
      <c r="M10" s="258"/>
      <c r="N10" s="258"/>
      <c r="O10" s="187"/>
    </row>
    <row r="11" spans="1:15" x14ac:dyDescent="0.25">
      <c r="A11" s="238" t="s">
        <v>409</v>
      </c>
      <c r="B11" s="239">
        <v>451</v>
      </c>
      <c r="C11" s="240" t="s">
        <v>410</v>
      </c>
      <c r="D11" s="240" t="s">
        <v>411</v>
      </c>
      <c r="E11" s="241">
        <v>85685.69</v>
      </c>
      <c r="F11" s="241" t="s">
        <v>386</v>
      </c>
      <c r="G11" s="261">
        <f t="shared" ref="G11:G26" si="0">IF(F11=$G$2,E11,0)</f>
        <v>85685.69</v>
      </c>
      <c r="H11" s="262">
        <v>0</v>
      </c>
      <c r="I11" s="262">
        <f>G11-H11</f>
        <v>85685.69</v>
      </c>
      <c r="J11" s="261">
        <f t="shared" ref="J11:J34" si="1">IF(F11=$J$2,E11,0)</f>
        <v>0</v>
      </c>
      <c r="K11" s="261"/>
      <c r="L11" s="263"/>
      <c r="M11" s="262">
        <f t="shared" ref="M11:M26" si="2">J11-L11</f>
        <v>0</v>
      </c>
      <c r="N11" s="261">
        <f t="shared" ref="N11:N34" si="3">IF(F11=$N$2,E11,0)</f>
        <v>0</v>
      </c>
      <c r="O11" s="262">
        <v>1</v>
      </c>
    </row>
    <row r="12" spans="1:15" x14ac:dyDescent="0.25">
      <c r="A12" s="238" t="s">
        <v>412</v>
      </c>
      <c r="B12" s="239">
        <v>451</v>
      </c>
      <c r="C12" s="240" t="s">
        <v>413</v>
      </c>
      <c r="D12" s="240" t="s">
        <v>414</v>
      </c>
      <c r="E12" s="241">
        <v>421826.67</v>
      </c>
      <c r="F12" s="241" t="s">
        <v>386</v>
      </c>
      <c r="G12" s="261">
        <f>IF(F12=$G$2,E12,0)</f>
        <v>421826.67</v>
      </c>
      <c r="H12" s="262">
        <v>0</v>
      </c>
      <c r="I12" s="262">
        <f t="shared" ref="I12:I34" si="4">G12-H12</f>
        <v>421826.67</v>
      </c>
      <c r="J12" s="261">
        <f t="shared" si="1"/>
        <v>0</v>
      </c>
      <c r="K12" s="261"/>
      <c r="L12" s="263"/>
      <c r="M12" s="262">
        <f t="shared" si="2"/>
        <v>0</v>
      </c>
      <c r="N12" s="261">
        <f t="shared" si="3"/>
        <v>0</v>
      </c>
      <c r="O12" s="262">
        <v>1</v>
      </c>
    </row>
    <row r="13" spans="1:15" x14ac:dyDescent="0.25">
      <c r="A13" s="238" t="s">
        <v>415</v>
      </c>
      <c r="B13" s="239">
        <v>451</v>
      </c>
      <c r="C13" s="240" t="s">
        <v>416</v>
      </c>
      <c r="D13" s="240" t="s">
        <v>417</v>
      </c>
      <c r="E13" s="241"/>
      <c r="F13" s="241" t="s">
        <v>386</v>
      </c>
      <c r="G13" s="261">
        <f t="shared" si="0"/>
        <v>0</v>
      </c>
      <c r="H13" s="262">
        <v>0</v>
      </c>
      <c r="I13" s="262">
        <f t="shared" si="4"/>
        <v>0</v>
      </c>
      <c r="J13" s="261">
        <f t="shared" si="1"/>
        <v>0</v>
      </c>
      <c r="K13" s="261"/>
      <c r="L13" s="263"/>
      <c r="M13" s="262">
        <f t="shared" si="2"/>
        <v>0</v>
      </c>
      <c r="N13" s="261">
        <f t="shared" si="3"/>
        <v>0</v>
      </c>
      <c r="O13" s="262">
        <v>1</v>
      </c>
    </row>
    <row r="14" spans="1:15" x14ac:dyDescent="0.25">
      <c r="A14" s="238" t="s">
        <v>418</v>
      </c>
      <c r="B14" s="239">
        <v>451</v>
      </c>
      <c r="C14" s="240" t="s">
        <v>419</v>
      </c>
      <c r="D14" s="240" t="s">
        <v>420</v>
      </c>
      <c r="E14" s="241">
        <v>1213295.6299999999</v>
      </c>
      <c r="F14" s="241" t="s">
        <v>386</v>
      </c>
      <c r="G14" s="261">
        <f t="shared" si="0"/>
        <v>1213295.6299999999</v>
      </c>
      <c r="H14" s="262">
        <v>0</v>
      </c>
      <c r="I14" s="262">
        <f t="shared" si="4"/>
        <v>1213295.6299999999</v>
      </c>
      <c r="J14" s="261">
        <f t="shared" si="1"/>
        <v>0</v>
      </c>
      <c r="K14" s="261"/>
      <c r="L14" s="263"/>
      <c r="M14" s="262">
        <f t="shared" si="2"/>
        <v>0</v>
      </c>
      <c r="N14" s="261">
        <f t="shared" si="3"/>
        <v>0</v>
      </c>
      <c r="O14" s="262">
        <v>1</v>
      </c>
    </row>
    <row r="15" spans="1:15" x14ac:dyDescent="0.25">
      <c r="A15" s="238" t="s">
        <v>421</v>
      </c>
      <c r="B15" s="239">
        <v>451</v>
      </c>
      <c r="C15" s="240" t="s">
        <v>422</v>
      </c>
      <c r="D15" s="240" t="s">
        <v>423</v>
      </c>
      <c r="E15" s="241">
        <v>1988</v>
      </c>
      <c r="F15" s="241" t="s">
        <v>386</v>
      </c>
      <c r="G15" s="261">
        <f t="shared" si="0"/>
        <v>1988</v>
      </c>
      <c r="H15" s="262">
        <v>0</v>
      </c>
      <c r="I15" s="262">
        <f t="shared" si="4"/>
        <v>1988</v>
      </c>
      <c r="J15" s="261">
        <f t="shared" si="1"/>
        <v>0</v>
      </c>
      <c r="K15" s="261"/>
      <c r="L15" s="263"/>
      <c r="M15" s="262">
        <f t="shared" si="2"/>
        <v>0</v>
      </c>
      <c r="N15" s="261">
        <f t="shared" si="3"/>
        <v>0</v>
      </c>
      <c r="O15" s="262">
        <v>1</v>
      </c>
    </row>
    <row r="16" spans="1:15" x14ac:dyDescent="0.25">
      <c r="A16" s="238" t="s">
        <v>424</v>
      </c>
      <c r="B16" s="239">
        <v>451</v>
      </c>
      <c r="C16" s="240" t="s">
        <v>425</v>
      </c>
      <c r="D16" s="240" t="s">
        <v>426</v>
      </c>
      <c r="E16" s="264">
        <v>1265.72</v>
      </c>
      <c r="F16" s="241" t="s">
        <v>386</v>
      </c>
      <c r="G16" s="261">
        <f t="shared" si="0"/>
        <v>1265.72</v>
      </c>
      <c r="H16" s="262">
        <v>0</v>
      </c>
      <c r="I16" s="262">
        <f t="shared" si="4"/>
        <v>1265.72</v>
      </c>
      <c r="J16" s="261">
        <f t="shared" si="1"/>
        <v>0</v>
      </c>
      <c r="K16" s="261"/>
      <c r="L16" s="263"/>
      <c r="M16" s="262">
        <f t="shared" si="2"/>
        <v>0</v>
      </c>
      <c r="N16" s="261">
        <f t="shared" si="3"/>
        <v>0</v>
      </c>
      <c r="O16" s="262">
        <v>1</v>
      </c>
    </row>
    <row r="17" spans="1:15" x14ac:dyDescent="0.25">
      <c r="A17" s="238" t="s">
        <v>427</v>
      </c>
      <c r="B17" s="239">
        <v>451</v>
      </c>
      <c r="C17" s="240" t="s">
        <v>428</v>
      </c>
      <c r="D17" s="240" t="s">
        <v>429</v>
      </c>
      <c r="E17" s="241"/>
      <c r="F17" s="241" t="s">
        <v>386</v>
      </c>
      <c r="G17" s="261">
        <f t="shared" si="0"/>
        <v>0</v>
      </c>
      <c r="H17" s="262">
        <v>0</v>
      </c>
      <c r="I17" s="262">
        <f t="shared" si="4"/>
        <v>0</v>
      </c>
      <c r="J17" s="261">
        <f t="shared" si="1"/>
        <v>0</v>
      </c>
      <c r="K17" s="261"/>
      <c r="L17" s="263"/>
      <c r="M17" s="262">
        <f t="shared" si="2"/>
        <v>0</v>
      </c>
      <c r="N17" s="261">
        <f t="shared" si="3"/>
        <v>0</v>
      </c>
      <c r="O17" s="262">
        <v>1</v>
      </c>
    </row>
    <row r="18" spans="1:15" x14ac:dyDescent="0.25">
      <c r="A18" s="238" t="s">
        <v>430</v>
      </c>
      <c r="B18" s="239">
        <v>451</v>
      </c>
      <c r="C18" s="240" t="s">
        <v>431</v>
      </c>
      <c r="D18" s="240" t="s">
        <v>432</v>
      </c>
      <c r="E18" s="264">
        <v>-35</v>
      </c>
      <c r="F18" s="241" t="s">
        <v>387</v>
      </c>
      <c r="G18" s="261">
        <f t="shared" si="0"/>
        <v>0</v>
      </c>
      <c r="H18" s="262">
        <v>0</v>
      </c>
      <c r="I18" s="262">
        <f t="shared" si="4"/>
        <v>0</v>
      </c>
      <c r="J18" s="261">
        <f>IF(F18=$J$2,E18,0)</f>
        <v>-35</v>
      </c>
      <c r="K18" s="265" t="s">
        <v>433</v>
      </c>
      <c r="L18" s="263"/>
      <c r="M18" s="262">
        <f t="shared" si="2"/>
        <v>-35</v>
      </c>
      <c r="N18" s="261">
        <f t="shared" si="3"/>
        <v>0</v>
      </c>
      <c r="O18" s="262">
        <v>2</v>
      </c>
    </row>
    <row r="19" spans="1:15" x14ac:dyDescent="0.25">
      <c r="A19" s="238" t="s">
        <v>434</v>
      </c>
      <c r="B19" s="239">
        <v>451</v>
      </c>
      <c r="C19" s="240" t="s">
        <v>435</v>
      </c>
      <c r="D19" s="240" t="s">
        <v>436</v>
      </c>
      <c r="E19" s="241">
        <v>655977.21</v>
      </c>
      <c r="F19" s="241" t="s">
        <v>388</v>
      </c>
      <c r="G19" s="261">
        <f>IF(F19=$G$2,E19,0)</f>
        <v>0</v>
      </c>
      <c r="H19" s="262">
        <v>0</v>
      </c>
      <c r="I19" s="262">
        <f t="shared" si="4"/>
        <v>0</v>
      </c>
      <c r="J19" s="261">
        <f>IF(F19=$J$2,E19,0)</f>
        <v>0</v>
      </c>
      <c r="K19" s="261"/>
      <c r="L19" s="263"/>
      <c r="M19" s="262">
        <f t="shared" si="2"/>
        <v>0</v>
      </c>
      <c r="N19" s="261">
        <f t="shared" si="3"/>
        <v>655977.21</v>
      </c>
      <c r="O19" s="262">
        <v>6</v>
      </c>
    </row>
    <row r="20" spans="1:15" x14ac:dyDescent="0.25">
      <c r="A20" s="238" t="s">
        <v>437</v>
      </c>
      <c r="B20" s="239">
        <v>451</v>
      </c>
      <c r="C20" s="239">
        <v>4182120</v>
      </c>
      <c r="D20" s="266" t="s">
        <v>438</v>
      </c>
      <c r="E20" s="241"/>
      <c r="F20" s="241" t="s">
        <v>386</v>
      </c>
      <c r="G20" s="261">
        <f t="shared" si="0"/>
        <v>0</v>
      </c>
      <c r="H20" s="262">
        <v>0</v>
      </c>
      <c r="I20" s="262">
        <f t="shared" si="4"/>
        <v>0</v>
      </c>
      <c r="J20" s="261">
        <f t="shared" si="1"/>
        <v>0</v>
      </c>
      <c r="K20" s="261"/>
      <c r="L20" s="263"/>
      <c r="M20" s="262">
        <f t="shared" si="2"/>
        <v>0</v>
      </c>
      <c r="N20" s="261">
        <f t="shared" si="3"/>
        <v>0</v>
      </c>
      <c r="O20" s="262">
        <v>1</v>
      </c>
    </row>
    <row r="21" spans="1:15" x14ac:dyDescent="0.25">
      <c r="A21" s="238" t="s">
        <v>439</v>
      </c>
      <c r="B21" s="239">
        <v>451</v>
      </c>
      <c r="C21" s="239">
        <v>4192152</v>
      </c>
      <c r="D21" s="266" t="s">
        <v>440</v>
      </c>
      <c r="E21" s="241">
        <v>1580</v>
      </c>
      <c r="F21" s="241" t="s">
        <v>388</v>
      </c>
      <c r="G21" s="261">
        <f t="shared" si="0"/>
        <v>0</v>
      </c>
      <c r="H21" s="262">
        <v>0</v>
      </c>
      <c r="I21" s="262">
        <f t="shared" si="4"/>
        <v>0</v>
      </c>
      <c r="J21" s="261">
        <f t="shared" si="1"/>
        <v>0</v>
      </c>
      <c r="K21" s="261"/>
      <c r="L21" s="263"/>
      <c r="M21" s="262">
        <f t="shared" si="2"/>
        <v>0</v>
      </c>
      <c r="N21" s="261">
        <f t="shared" si="3"/>
        <v>1580</v>
      </c>
      <c r="O21" s="262">
        <v>1</v>
      </c>
    </row>
    <row r="22" spans="1:15" x14ac:dyDescent="0.25">
      <c r="A22" s="238" t="s">
        <v>441</v>
      </c>
      <c r="B22" s="239">
        <v>451</v>
      </c>
      <c r="C22" s="239">
        <v>4192155</v>
      </c>
      <c r="D22" s="266" t="s">
        <v>442</v>
      </c>
      <c r="E22" s="241">
        <v>36120</v>
      </c>
      <c r="F22" s="241" t="s">
        <v>388</v>
      </c>
      <c r="G22" s="261">
        <f t="shared" si="0"/>
        <v>0</v>
      </c>
      <c r="H22" s="262">
        <v>0</v>
      </c>
      <c r="I22" s="262">
        <f t="shared" si="4"/>
        <v>0</v>
      </c>
      <c r="J22" s="261">
        <f t="shared" si="1"/>
        <v>0</v>
      </c>
      <c r="K22" s="261"/>
      <c r="L22" s="263"/>
      <c r="M22" s="262">
        <f t="shared" si="2"/>
        <v>0</v>
      </c>
      <c r="N22" s="261">
        <f t="shared" si="3"/>
        <v>36120</v>
      </c>
      <c r="O22" s="262">
        <v>1</v>
      </c>
    </row>
    <row r="23" spans="1:15" x14ac:dyDescent="0.25">
      <c r="A23" s="238" t="s">
        <v>443</v>
      </c>
      <c r="B23" s="239">
        <v>451</v>
      </c>
      <c r="C23" s="239">
        <v>4192158</v>
      </c>
      <c r="D23" s="266" t="s">
        <v>444</v>
      </c>
      <c r="E23" s="241">
        <v>37275</v>
      </c>
      <c r="F23" s="241" t="s">
        <v>388</v>
      </c>
      <c r="G23" s="261">
        <f t="shared" si="0"/>
        <v>0</v>
      </c>
      <c r="H23" s="262">
        <v>0</v>
      </c>
      <c r="I23" s="262">
        <f t="shared" si="4"/>
        <v>0</v>
      </c>
      <c r="J23" s="261">
        <f t="shared" si="1"/>
        <v>0</v>
      </c>
      <c r="K23" s="261"/>
      <c r="L23" s="263"/>
      <c r="M23" s="262">
        <f t="shared" si="2"/>
        <v>0</v>
      </c>
      <c r="N23" s="261">
        <f t="shared" si="3"/>
        <v>37275</v>
      </c>
      <c r="O23" s="262">
        <v>1</v>
      </c>
    </row>
    <row r="24" spans="1:15" x14ac:dyDescent="0.25">
      <c r="A24" s="238" t="s">
        <v>445</v>
      </c>
      <c r="B24" s="239">
        <v>451</v>
      </c>
      <c r="C24" s="239">
        <v>4192160</v>
      </c>
      <c r="D24" s="266" t="s">
        <v>446</v>
      </c>
      <c r="E24" s="241">
        <v>197880</v>
      </c>
      <c r="F24" s="241" t="s">
        <v>388</v>
      </c>
      <c r="G24" s="261">
        <f t="shared" si="0"/>
        <v>0</v>
      </c>
      <c r="H24" s="262">
        <v>0</v>
      </c>
      <c r="I24" s="262">
        <f t="shared" si="4"/>
        <v>0</v>
      </c>
      <c r="J24" s="261">
        <f t="shared" si="1"/>
        <v>0</v>
      </c>
      <c r="K24" s="261"/>
      <c r="L24" s="263"/>
      <c r="M24" s="262">
        <f t="shared" si="2"/>
        <v>0</v>
      </c>
      <c r="N24" s="261">
        <f t="shared" si="3"/>
        <v>197880</v>
      </c>
      <c r="O24" s="262">
        <v>1</v>
      </c>
    </row>
    <row r="25" spans="1:15" x14ac:dyDescent="0.25">
      <c r="A25" s="238" t="s">
        <v>447</v>
      </c>
      <c r="B25" s="239">
        <v>451</v>
      </c>
      <c r="C25" s="239">
        <v>4192135</v>
      </c>
      <c r="D25" s="267" t="s">
        <v>448</v>
      </c>
      <c r="E25" s="241">
        <v>4053694.14</v>
      </c>
      <c r="F25" s="241" t="s">
        <v>386</v>
      </c>
      <c r="G25" s="261">
        <f t="shared" si="0"/>
        <v>4053694.14</v>
      </c>
      <c r="H25" s="262">
        <v>0</v>
      </c>
      <c r="I25" s="262">
        <f t="shared" si="4"/>
        <v>4053694.14</v>
      </c>
      <c r="J25" s="261">
        <f t="shared" si="1"/>
        <v>0</v>
      </c>
      <c r="K25" s="261"/>
      <c r="L25" s="263"/>
      <c r="M25" s="262">
        <f t="shared" si="2"/>
        <v>0</v>
      </c>
      <c r="N25" s="261">
        <f t="shared" si="3"/>
        <v>0</v>
      </c>
      <c r="O25" s="262">
        <v>1</v>
      </c>
    </row>
    <row r="26" spans="1:15" x14ac:dyDescent="0.25">
      <c r="A26" s="238" t="s">
        <v>449</v>
      </c>
      <c r="B26" s="239">
        <v>451</v>
      </c>
      <c r="C26" s="239">
        <v>4192145</v>
      </c>
      <c r="D26" s="267" t="s">
        <v>450</v>
      </c>
      <c r="E26" s="241">
        <v>1833461.87</v>
      </c>
      <c r="F26" s="241" t="s">
        <v>386</v>
      </c>
      <c r="G26" s="261">
        <f t="shared" si="0"/>
        <v>1833461.87</v>
      </c>
      <c r="H26" s="262">
        <v>0</v>
      </c>
      <c r="I26" s="262">
        <f t="shared" si="4"/>
        <v>1833461.87</v>
      </c>
      <c r="J26" s="261">
        <f t="shared" si="1"/>
        <v>0</v>
      </c>
      <c r="K26" s="261"/>
      <c r="L26" s="263"/>
      <c r="M26" s="262">
        <f t="shared" si="2"/>
        <v>0</v>
      </c>
      <c r="N26" s="261">
        <f t="shared" si="3"/>
        <v>0</v>
      </c>
      <c r="O26" s="262">
        <v>1</v>
      </c>
    </row>
    <row r="27" spans="1:15" x14ac:dyDescent="0.25">
      <c r="A27" s="238" t="s">
        <v>451</v>
      </c>
      <c r="B27" s="239">
        <v>451</v>
      </c>
      <c r="C27" s="239">
        <v>4192150</v>
      </c>
      <c r="D27" s="267" t="s">
        <v>452</v>
      </c>
      <c r="E27" s="241">
        <v>13661</v>
      </c>
      <c r="F27" s="241" t="s">
        <v>386</v>
      </c>
      <c r="G27" s="261">
        <f>IF(F27=$G$2,E27,0)</f>
        <v>13661</v>
      </c>
      <c r="H27" s="262">
        <v>0</v>
      </c>
      <c r="I27" s="262">
        <f t="shared" si="4"/>
        <v>13661</v>
      </c>
      <c r="J27" s="261">
        <f t="shared" si="1"/>
        <v>0</v>
      </c>
      <c r="K27" s="261"/>
      <c r="L27" s="263"/>
      <c r="M27" s="262">
        <f>J27-L27</f>
        <v>0</v>
      </c>
      <c r="N27" s="261">
        <f t="shared" si="3"/>
        <v>0</v>
      </c>
      <c r="O27" s="262">
        <v>1</v>
      </c>
    </row>
    <row r="28" spans="1:15" x14ac:dyDescent="0.25">
      <c r="A28" s="238" t="s">
        <v>453</v>
      </c>
      <c r="B28" s="239">
        <v>451</v>
      </c>
      <c r="C28" s="239" t="s">
        <v>454</v>
      </c>
      <c r="D28" s="267" t="s">
        <v>455</v>
      </c>
      <c r="E28" s="241">
        <v>3946075</v>
      </c>
      <c r="F28" s="241" t="s">
        <v>386</v>
      </c>
      <c r="G28" s="261">
        <f t="shared" ref="G28:G34" si="5">IF(F28=$G$2,E28,0)</f>
        <v>3946075</v>
      </c>
      <c r="H28" s="262">
        <v>0</v>
      </c>
      <c r="I28" s="262">
        <f t="shared" si="4"/>
        <v>3946075</v>
      </c>
      <c r="J28" s="261">
        <f t="shared" si="1"/>
        <v>0</v>
      </c>
      <c r="K28" s="261"/>
      <c r="L28" s="263"/>
      <c r="M28" s="262">
        <f t="shared" ref="M28:M34" si="6">J28-L28</f>
        <v>0</v>
      </c>
      <c r="N28" s="261">
        <f t="shared" si="3"/>
        <v>0</v>
      </c>
      <c r="O28" s="262">
        <v>1</v>
      </c>
    </row>
    <row r="29" spans="1:15" x14ac:dyDescent="0.25">
      <c r="A29" s="238" t="s">
        <v>456</v>
      </c>
      <c r="B29" s="239">
        <v>451</v>
      </c>
      <c r="C29" s="239" t="s">
        <v>457</v>
      </c>
      <c r="D29" s="267" t="s">
        <v>458</v>
      </c>
      <c r="E29" s="264">
        <v>-562410</v>
      </c>
      <c r="F29" s="241" t="s">
        <v>386</v>
      </c>
      <c r="G29" s="261">
        <f t="shared" si="5"/>
        <v>-562410</v>
      </c>
      <c r="H29" s="262">
        <v>0</v>
      </c>
      <c r="I29" s="262">
        <f t="shared" si="4"/>
        <v>-562410</v>
      </c>
      <c r="J29" s="261">
        <f t="shared" si="1"/>
        <v>0</v>
      </c>
      <c r="K29" s="261"/>
      <c r="L29" s="263"/>
      <c r="M29" s="262">
        <f t="shared" si="6"/>
        <v>0</v>
      </c>
      <c r="N29" s="261">
        <f t="shared" si="3"/>
        <v>0</v>
      </c>
      <c r="O29" s="262">
        <v>1</v>
      </c>
    </row>
    <row r="30" spans="1:15" s="192" customFormat="1" x14ac:dyDescent="0.25">
      <c r="A30" s="238" t="s">
        <v>459</v>
      </c>
      <c r="B30" s="239">
        <v>451</v>
      </c>
      <c r="C30" s="239" t="s">
        <v>460</v>
      </c>
      <c r="D30" s="267" t="s">
        <v>461</v>
      </c>
      <c r="E30" s="241">
        <v>84800</v>
      </c>
      <c r="F30" s="241" t="s">
        <v>386</v>
      </c>
      <c r="G30" s="261">
        <f t="shared" si="5"/>
        <v>84800</v>
      </c>
      <c r="H30" s="262">
        <v>0</v>
      </c>
      <c r="I30" s="262">
        <f t="shared" si="4"/>
        <v>84800</v>
      </c>
      <c r="J30" s="261">
        <f t="shared" si="1"/>
        <v>0</v>
      </c>
      <c r="K30" s="261"/>
      <c r="L30" s="263"/>
      <c r="M30" s="262">
        <f t="shared" si="6"/>
        <v>0</v>
      </c>
      <c r="N30" s="261">
        <f t="shared" si="3"/>
        <v>0</v>
      </c>
      <c r="O30" s="262">
        <v>1</v>
      </c>
    </row>
    <row r="31" spans="1:15" s="192" customFormat="1" x14ac:dyDescent="0.25">
      <c r="A31" s="246" t="s">
        <v>462</v>
      </c>
      <c r="B31" s="247">
        <v>451</v>
      </c>
      <c r="C31" s="247">
        <v>4184531</v>
      </c>
      <c r="D31" s="268" t="s">
        <v>463</v>
      </c>
      <c r="E31" s="241">
        <v>9300</v>
      </c>
      <c r="F31" s="241" t="s">
        <v>386</v>
      </c>
      <c r="G31" s="264">
        <f t="shared" si="5"/>
        <v>9300</v>
      </c>
      <c r="H31" s="263">
        <v>0</v>
      </c>
      <c r="I31" s="263">
        <f t="shared" si="4"/>
        <v>9300</v>
      </c>
      <c r="J31" s="264">
        <f t="shared" si="1"/>
        <v>0</v>
      </c>
      <c r="K31" s="264"/>
      <c r="L31" s="263"/>
      <c r="M31" s="263">
        <f t="shared" si="6"/>
        <v>0</v>
      </c>
      <c r="N31" s="264">
        <f t="shared" si="3"/>
        <v>0</v>
      </c>
      <c r="O31" s="263">
        <v>1</v>
      </c>
    </row>
    <row r="32" spans="1:15" s="192" customFormat="1" x14ac:dyDescent="0.25">
      <c r="A32" s="246" t="s">
        <v>464</v>
      </c>
      <c r="B32" s="247">
        <v>451</v>
      </c>
      <c r="C32" s="247">
        <v>4184532</v>
      </c>
      <c r="D32" s="268" t="s">
        <v>465</v>
      </c>
      <c r="E32" s="241">
        <v>13150</v>
      </c>
      <c r="F32" s="241" t="s">
        <v>386</v>
      </c>
      <c r="G32" s="264">
        <f t="shared" si="5"/>
        <v>13150</v>
      </c>
      <c r="H32" s="263">
        <v>0</v>
      </c>
      <c r="I32" s="263">
        <f t="shared" si="4"/>
        <v>13150</v>
      </c>
      <c r="J32" s="264">
        <f t="shared" si="1"/>
        <v>0</v>
      </c>
      <c r="K32" s="264"/>
      <c r="L32" s="263"/>
      <c r="M32" s="263">
        <f t="shared" si="6"/>
        <v>0</v>
      </c>
      <c r="N32" s="264">
        <f t="shared" si="3"/>
        <v>0</v>
      </c>
      <c r="O32" s="263">
        <v>1</v>
      </c>
    </row>
    <row r="33" spans="1:15" s="192" customFormat="1" x14ac:dyDescent="0.25">
      <c r="A33" s="246" t="s">
        <v>466</v>
      </c>
      <c r="B33" s="247">
        <v>451</v>
      </c>
      <c r="C33" s="247">
        <v>4184534</v>
      </c>
      <c r="D33" s="268" t="s">
        <v>467</v>
      </c>
      <c r="E33" s="241">
        <v>9000</v>
      </c>
      <c r="F33" s="241" t="s">
        <v>386</v>
      </c>
      <c r="G33" s="264">
        <f t="shared" si="5"/>
        <v>9000</v>
      </c>
      <c r="H33" s="263">
        <v>0</v>
      </c>
      <c r="I33" s="263">
        <f t="shared" si="4"/>
        <v>9000</v>
      </c>
      <c r="J33" s="264">
        <f t="shared" si="1"/>
        <v>0</v>
      </c>
      <c r="K33" s="264"/>
      <c r="L33" s="263"/>
      <c r="M33" s="263">
        <f t="shared" si="6"/>
        <v>0</v>
      </c>
      <c r="N33" s="264">
        <f t="shared" si="3"/>
        <v>0</v>
      </c>
      <c r="O33" s="263">
        <v>1</v>
      </c>
    </row>
    <row r="34" spans="1:15" s="192" customFormat="1" x14ac:dyDescent="0.25">
      <c r="A34" s="246" t="s">
        <v>468</v>
      </c>
      <c r="B34" s="247">
        <v>451</v>
      </c>
      <c r="C34" s="247">
        <v>4184535</v>
      </c>
      <c r="D34" s="268" t="s">
        <v>469</v>
      </c>
      <c r="E34" s="241">
        <v>45000</v>
      </c>
      <c r="F34" s="241" t="s">
        <v>386</v>
      </c>
      <c r="G34" s="264">
        <f t="shared" si="5"/>
        <v>45000</v>
      </c>
      <c r="H34" s="263">
        <v>0</v>
      </c>
      <c r="I34" s="263">
        <f t="shared" si="4"/>
        <v>45000</v>
      </c>
      <c r="J34" s="264">
        <f t="shared" si="1"/>
        <v>0</v>
      </c>
      <c r="K34" s="264"/>
      <c r="L34" s="263"/>
      <c r="M34" s="263">
        <f t="shared" si="6"/>
        <v>0</v>
      </c>
      <c r="N34" s="264">
        <f t="shared" si="3"/>
        <v>0</v>
      </c>
      <c r="O34" s="263">
        <v>1</v>
      </c>
    </row>
    <row r="35" spans="1:15" s="192" customFormat="1" x14ac:dyDescent="0.25">
      <c r="A35" s="246"/>
      <c r="B35" s="247"/>
      <c r="C35" s="247"/>
      <c r="D35" s="268"/>
      <c r="E35" s="241"/>
      <c r="F35" s="241"/>
      <c r="G35" s="269"/>
      <c r="H35" s="270"/>
      <c r="I35" s="270"/>
      <c r="J35" s="269"/>
      <c r="K35" s="264"/>
      <c r="L35" s="263"/>
      <c r="M35" s="270"/>
      <c r="N35" s="269"/>
      <c r="O35" s="270"/>
    </row>
    <row r="36" spans="1:15" x14ac:dyDescent="0.25">
      <c r="A36" s="246"/>
      <c r="B36" s="247"/>
      <c r="C36" s="248"/>
      <c r="D36" s="268"/>
      <c r="E36" s="241"/>
      <c r="F36" s="241"/>
      <c r="G36" s="264"/>
      <c r="H36" s="263"/>
      <c r="I36" s="263"/>
      <c r="J36" s="264"/>
      <c r="K36" s="264"/>
      <c r="L36" s="263"/>
      <c r="M36" s="263"/>
      <c r="N36" s="264"/>
      <c r="O36" s="263"/>
    </row>
    <row r="37" spans="1:15" ht="13" x14ac:dyDescent="0.3">
      <c r="A37" s="238">
        <v>5</v>
      </c>
      <c r="B37" s="487" t="s">
        <v>470</v>
      </c>
      <c r="C37" s="488"/>
      <c r="D37" s="489"/>
      <c r="E37" s="254">
        <f>SUM(E11:E36)</f>
        <v>12098590.93</v>
      </c>
      <c r="F37" s="255"/>
      <c r="G37" s="271">
        <f>SUM(G11:G36)</f>
        <v>11169793.719999999</v>
      </c>
      <c r="H37" s="272">
        <f>SUM(H11:H36)</f>
        <v>0</v>
      </c>
      <c r="I37" s="271">
        <f>SUM(I11:I36)</f>
        <v>11169793.719999999</v>
      </c>
      <c r="J37" s="271">
        <f>SUM(J11:J36)</f>
        <v>-35</v>
      </c>
      <c r="K37" s="273"/>
      <c r="L37" s="271">
        <f>SUM(L11:L36)</f>
        <v>0</v>
      </c>
      <c r="M37" s="271">
        <f>SUM(M11:M36)</f>
        <v>-35</v>
      </c>
      <c r="N37" s="271">
        <f>SUM(N11:N36)</f>
        <v>928832.21</v>
      </c>
      <c r="O37" s="262"/>
    </row>
    <row r="38" spans="1:15" ht="25.5" customHeight="1" x14ac:dyDescent="0.3">
      <c r="A38" s="238">
        <v>6</v>
      </c>
      <c r="B38" s="493" t="s">
        <v>471</v>
      </c>
      <c r="C38" s="494"/>
      <c r="D38" s="495"/>
      <c r="E38" s="256">
        <v>12098591</v>
      </c>
      <c r="F38" s="257"/>
      <c r="G38" s="258"/>
      <c r="H38" s="274"/>
      <c r="I38" s="274"/>
      <c r="J38" s="258"/>
      <c r="K38" s="257"/>
      <c r="L38" s="258"/>
      <c r="M38" s="258"/>
      <c r="N38" s="257"/>
    </row>
    <row r="39" spans="1:15" ht="13" x14ac:dyDescent="0.3">
      <c r="A39" s="276"/>
      <c r="B39" s="182"/>
      <c r="C39" s="260"/>
      <c r="D39" s="260"/>
      <c r="E39" s="258"/>
      <c r="F39" s="258"/>
      <c r="G39" s="258"/>
      <c r="H39" s="274"/>
      <c r="I39" s="274"/>
      <c r="J39" s="258"/>
      <c r="K39" s="257"/>
      <c r="L39" s="258"/>
      <c r="M39" s="258"/>
      <c r="N39" s="258"/>
    </row>
    <row r="40" spans="1:15" x14ac:dyDescent="0.25">
      <c r="A40" s="246" t="s">
        <v>472</v>
      </c>
      <c r="B40" s="247">
        <v>453</v>
      </c>
      <c r="C40" s="248">
        <v>4183120</v>
      </c>
      <c r="D40" s="249" t="s">
        <v>473</v>
      </c>
      <c r="E40" s="241">
        <v>566609.81000000006</v>
      </c>
      <c r="F40" s="241" t="s">
        <v>387</v>
      </c>
      <c r="G40" s="241">
        <f t="shared" ref="G40:G41" si="7">IF(F40=$G$2,E40,0)</f>
        <v>0</v>
      </c>
      <c r="H40" s="252">
        <v>0</v>
      </c>
      <c r="I40" s="252">
        <f>G40-H40</f>
        <v>0</v>
      </c>
      <c r="J40" s="241">
        <f t="shared" ref="J40:J41" si="8">IF(F40=$J$2,E40,0)</f>
        <v>566609.81000000006</v>
      </c>
      <c r="K40" s="277" t="s">
        <v>433</v>
      </c>
      <c r="L40" s="277">
        <v>0</v>
      </c>
      <c r="M40" s="252">
        <f>J40-L40</f>
        <v>566609.81000000006</v>
      </c>
      <c r="N40" s="241">
        <f>IF(F40=$N$2,E40,0)</f>
        <v>0</v>
      </c>
      <c r="O40" s="251">
        <v>2</v>
      </c>
    </row>
    <row r="41" spans="1:15" x14ac:dyDescent="0.25">
      <c r="A41" s="246" t="s">
        <v>474</v>
      </c>
      <c r="B41" s="247">
        <v>453</v>
      </c>
      <c r="C41" s="248">
        <v>4183110</v>
      </c>
      <c r="D41" s="249" t="s">
        <v>475</v>
      </c>
      <c r="E41" s="241">
        <v>1041628.67</v>
      </c>
      <c r="F41" s="241" t="s">
        <v>386</v>
      </c>
      <c r="G41" s="264">
        <f t="shared" si="7"/>
        <v>1041628.67</v>
      </c>
      <c r="H41" s="263">
        <v>0</v>
      </c>
      <c r="I41" s="263">
        <f t="shared" ref="I41" si="9">G41-H41</f>
        <v>1041628.67</v>
      </c>
      <c r="J41" s="264">
        <f t="shared" si="8"/>
        <v>0</v>
      </c>
      <c r="K41" s="241"/>
      <c r="L41" s="252"/>
      <c r="M41" s="263">
        <f t="shared" ref="M41" si="10">J41-L41</f>
        <v>0</v>
      </c>
      <c r="N41" s="241">
        <f>IF(F41=$N$2,E41,0)</f>
        <v>0</v>
      </c>
      <c r="O41" s="251">
        <v>1</v>
      </c>
    </row>
    <row r="42" spans="1:15" x14ac:dyDescent="0.25">
      <c r="A42" s="246"/>
      <c r="B42" s="247"/>
      <c r="C42" s="248"/>
      <c r="D42" s="249"/>
      <c r="E42" s="241"/>
      <c r="F42" s="241"/>
      <c r="G42" s="253"/>
      <c r="H42" s="251"/>
      <c r="I42" s="252"/>
      <c r="J42" s="241"/>
      <c r="K42" s="241"/>
      <c r="L42" s="252"/>
      <c r="M42" s="252"/>
      <c r="N42" s="241"/>
      <c r="O42" s="251"/>
    </row>
    <row r="43" spans="1:15" x14ac:dyDescent="0.25">
      <c r="A43" s="246"/>
      <c r="B43" s="247"/>
      <c r="C43" s="248"/>
      <c r="D43" s="249"/>
      <c r="E43" s="241"/>
      <c r="F43" s="241"/>
      <c r="G43" s="253"/>
      <c r="H43" s="251"/>
      <c r="I43" s="252"/>
      <c r="J43" s="241"/>
      <c r="K43" s="241"/>
      <c r="L43" s="252"/>
      <c r="M43" s="252"/>
      <c r="N43" s="241"/>
      <c r="O43" s="251"/>
    </row>
    <row r="44" spans="1:15" ht="13" x14ac:dyDescent="0.3">
      <c r="A44" s="238">
        <v>8</v>
      </c>
      <c r="B44" s="487" t="s">
        <v>476</v>
      </c>
      <c r="C44" s="488"/>
      <c r="D44" s="489"/>
      <c r="E44" s="254">
        <f>SUM(E40:E43)</f>
        <v>1608238.48</v>
      </c>
      <c r="F44" s="255"/>
      <c r="G44" s="254">
        <f>SUM(G40:G43)</f>
        <v>1041628.67</v>
      </c>
      <c r="H44" s="227">
        <f>SUM(H40:H43)</f>
        <v>0</v>
      </c>
      <c r="I44" s="254">
        <f>SUM(I40:I43)</f>
        <v>1041628.67</v>
      </c>
      <c r="J44" s="254">
        <f>SUM(J40:J43)</f>
        <v>566609.81000000006</v>
      </c>
      <c r="K44" s="255"/>
      <c r="L44" s="254">
        <f>SUM(L40:L43)</f>
        <v>0</v>
      </c>
      <c r="M44" s="254">
        <f>SUM(M40:M43)</f>
        <v>566609.81000000006</v>
      </c>
      <c r="N44" s="254">
        <f>SUM(N40:N43)</f>
        <v>0</v>
      </c>
      <c r="O44" s="227"/>
    </row>
    <row r="45" spans="1:15" ht="25.5" customHeight="1" x14ac:dyDescent="0.3">
      <c r="A45" s="238">
        <v>9</v>
      </c>
      <c r="B45" s="490" t="s">
        <v>477</v>
      </c>
      <c r="C45" s="491"/>
      <c r="D45" s="491"/>
      <c r="E45" s="278">
        <v>1608238</v>
      </c>
      <c r="F45" s="257"/>
      <c r="G45" s="258"/>
      <c r="H45" s="274"/>
      <c r="I45" s="279"/>
      <c r="J45" s="258"/>
      <c r="K45" s="257"/>
      <c r="L45" s="258"/>
      <c r="M45" s="258"/>
      <c r="N45" s="258"/>
      <c r="O45" s="187"/>
    </row>
    <row r="46" spans="1:15" ht="13" x14ac:dyDescent="0.3">
      <c r="A46" s="259"/>
      <c r="B46" s="182"/>
      <c r="C46" s="260"/>
      <c r="D46" s="260"/>
      <c r="E46" s="258"/>
      <c r="F46" s="258"/>
      <c r="G46" s="258"/>
      <c r="H46" s="274"/>
      <c r="I46" s="279"/>
      <c r="J46" s="258"/>
      <c r="K46" s="257"/>
      <c r="L46" s="258"/>
      <c r="M46" s="258"/>
      <c r="N46" s="258"/>
      <c r="O46" s="187"/>
    </row>
    <row r="47" spans="1:15" x14ac:dyDescent="0.25">
      <c r="A47" s="238" t="s">
        <v>478</v>
      </c>
      <c r="B47" s="239">
        <v>454</v>
      </c>
      <c r="C47" s="240" t="s">
        <v>479</v>
      </c>
      <c r="D47" s="240" t="s">
        <v>480</v>
      </c>
      <c r="E47" s="241">
        <v>806917.25</v>
      </c>
      <c r="F47" s="241" t="s">
        <v>386</v>
      </c>
      <c r="G47" s="242">
        <f>IF(F47=$G$2,E47,0)</f>
        <v>806917.25</v>
      </c>
      <c r="H47" s="244">
        <v>0</v>
      </c>
      <c r="I47" s="244">
        <f>G47-H47</f>
        <v>806917.25</v>
      </c>
      <c r="J47" s="242">
        <f>IF(F47=$J$2,E47,0)</f>
        <v>0</v>
      </c>
      <c r="K47" s="242"/>
      <c r="L47" s="252"/>
      <c r="M47" s="244">
        <f>J47-L47</f>
        <v>0</v>
      </c>
      <c r="N47" s="242">
        <f>IF(F47=$N$2,E47,0)</f>
        <v>0</v>
      </c>
      <c r="O47" s="243">
        <v>4</v>
      </c>
    </row>
    <row r="48" spans="1:15" x14ac:dyDescent="0.25">
      <c r="A48" s="238" t="s">
        <v>481</v>
      </c>
      <c r="B48" s="239">
        <v>454</v>
      </c>
      <c r="C48" s="240" t="s">
        <v>482</v>
      </c>
      <c r="D48" s="240" t="s">
        <v>483</v>
      </c>
      <c r="E48" s="241">
        <v>6509735.54</v>
      </c>
      <c r="F48" s="241" t="s">
        <v>386</v>
      </c>
      <c r="G48" s="242">
        <f>IF(F48=$G$2,E48,0)</f>
        <v>6509735.54</v>
      </c>
      <c r="H48" s="244">
        <v>0</v>
      </c>
      <c r="I48" s="244">
        <f>G48-H48</f>
        <v>6509735.54</v>
      </c>
      <c r="J48" s="242">
        <f t="shared" ref="J48:J72" si="11">IF(F48=$J$2,E48,0)</f>
        <v>0</v>
      </c>
      <c r="K48" s="242"/>
      <c r="L48" s="252"/>
      <c r="M48" s="244">
        <f t="shared" ref="M48:M50" si="12">J48-L48</f>
        <v>0</v>
      </c>
      <c r="N48" s="242">
        <f>IF(F48=$N$2,E48,0)</f>
        <v>0</v>
      </c>
      <c r="O48" s="243">
        <v>4</v>
      </c>
    </row>
    <row r="49" spans="1:15" x14ac:dyDescent="0.25">
      <c r="A49" s="238" t="s">
        <v>484</v>
      </c>
      <c r="B49" s="239">
        <v>454</v>
      </c>
      <c r="C49" s="240" t="s">
        <v>485</v>
      </c>
      <c r="D49" s="240" t="s">
        <v>486</v>
      </c>
      <c r="E49" s="241">
        <v>1293119.76</v>
      </c>
      <c r="F49" s="241" t="s">
        <v>386</v>
      </c>
      <c r="G49" s="242">
        <f>IF(F49=$G$2,E49,0)</f>
        <v>1293119.76</v>
      </c>
      <c r="H49" s="244">
        <v>0</v>
      </c>
      <c r="I49" s="244">
        <f>G49-H49</f>
        <v>1293119.76</v>
      </c>
      <c r="J49" s="242">
        <f t="shared" si="11"/>
        <v>0</v>
      </c>
      <c r="K49" s="242"/>
      <c r="L49" s="252"/>
      <c r="M49" s="244">
        <f t="shared" si="12"/>
        <v>0</v>
      </c>
      <c r="N49" s="242">
        <f>IF(F49=$N$2,E49,0)</f>
        <v>0</v>
      </c>
      <c r="O49" s="243">
        <v>4</v>
      </c>
    </row>
    <row r="50" spans="1:15" x14ac:dyDescent="0.25">
      <c r="A50" s="280" t="s">
        <v>487</v>
      </c>
      <c r="B50" s="239">
        <v>454</v>
      </c>
      <c r="C50" s="239">
        <v>4184120</v>
      </c>
      <c r="D50" s="240" t="s">
        <v>488</v>
      </c>
      <c r="E50" s="241">
        <v>1763500</v>
      </c>
      <c r="F50" s="241" t="s">
        <v>386</v>
      </c>
      <c r="G50" s="242">
        <f>IF(F50=$G$2,E50,0)</f>
        <v>1763500</v>
      </c>
      <c r="H50" s="244">
        <v>0</v>
      </c>
      <c r="I50" s="244">
        <f>G50-H50</f>
        <v>1763500</v>
      </c>
      <c r="J50" s="242">
        <f t="shared" si="11"/>
        <v>0</v>
      </c>
      <c r="K50" s="242"/>
      <c r="L50" s="252"/>
      <c r="M50" s="244">
        <f t="shared" si="12"/>
        <v>0</v>
      </c>
      <c r="N50" s="242">
        <f>IF(F50=$N$2,E50,0)</f>
        <v>0</v>
      </c>
      <c r="O50" s="243">
        <v>4</v>
      </c>
    </row>
    <row r="51" spans="1:15" x14ac:dyDescent="0.25">
      <c r="A51" s="281" t="s">
        <v>489</v>
      </c>
      <c r="B51" s="239">
        <v>454</v>
      </c>
      <c r="C51" s="240" t="s">
        <v>490</v>
      </c>
      <c r="D51" s="240" t="s">
        <v>491</v>
      </c>
      <c r="E51" s="241">
        <v>282235.03999999998</v>
      </c>
      <c r="F51" s="241" t="s">
        <v>387</v>
      </c>
      <c r="G51" s="242">
        <f t="shared" ref="G51:G57" si="13">IF(F51=$G$2,E51,0)</f>
        <v>0</v>
      </c>
      <c r="H51" s="244">
        <v>0</v>
      </c>
      <c r="I51" s="244">
        <f>G51-H51</f>
        <v>0</v>
      </c>
      <c r="J51" s="242">
        <f t="shared" si="11"/>
        <v>282235.03999999998</v>
      </c>
      <c r="K51" s="282" t="s">
        <v>433</v>
      </c>
      <c r="L51" s="277">
        <v>59680.321338987102</v>
      </c>
      <c r="M51" s="244">
        <f>J51-L51</f>
        <v>222554.71866101288</v>
      </c>
      <c r="N51" s="242">
        <f>IF(F51=$N$2,E51,0)</f>
        <v>0</v>
      </c>
      <c r="O51" s="243">
        <v>2</v>
      </c>
    </row>
    <row r="52" spans="1:15" x14ac:dyDescent="0.25">
      <c r="A52" s="238" t="s">
        <v>492</v>
      </c>
      <c r="B52" s="239">
        <v>454</v>
      </c>
      <c r="C52" s="240" t="s">
        <v>493</v>
      </c>
      <c r="D52" s="240" t="s">
        <v>494</v>
      </c>
      <c r="E52" s="241">
        <v>44613.36</v>
      </c>
      <c r="F52" s="241" t="s">
        <v>387</v>
      </c>
      <c r="G52" s="242">
        <f t="shared" si="13"/>
        <v>0</v>
      </c>
      <c r="H52" s="244">
        <v>0</v>
      </c>
      <c r="I52" s="244">
        <f t="shared" ref="I52:I54" si="14">G52-H52</f>
        <v>0</v>
      </c>
      <c r="J52" s="242">
        <f t="shared" si="11"/>
        <v>44613.36</v>
      </c>
      <c r="K52" s="282" t="s">
        <v>433</v>
      </c>
      <c r="L52" s="277">
        <v>14554.870138128401</v>
      </c>
      <c r="M52" s="244">
        <f>J52-L52</f>
        <v>30058.4898618716</v>
      </c>
      <c r="N52" s="242">
        <f t="shared" ref="N52:N57" si="15">IF(F52=$N$2,E52,0)</f>
        <v>0</v>
      </c>
      <c r="O52" s="243">
        <v>2</v>
      </c>
    </row>
    <row r="53" spans="1:15" x14ac:dyDescent="0.25">
      <c r="A53" s="238" t="s">
        <v>495</v>
      </c>
      <c r="B53" s="239">
        <v>454</v>
      </c>
      <c r="C53" s="240" t="s">
        <v>496</v>
      </c>
      <c r="D53" s="240" t="s">
        <v>497</v>
      </c>
      <c r="E53" s="241"/>
      <c r="F53" s="241" t="s">
        <v>387</v>
      </c>
      <c r="G53" s="242">
        <f t="shared" si="13"/>
        <v>0</v>
      </c>
      <c r="H53" s="244">
        <v>0</v>
      </c>
      <c r="I53" s="244">
        <f t="shared" si="14"/>
        <v>0</v>
      </c>
      <c r="J53" s="242">
        <f t="shared" si="11"/>
        <v>0</v>
      </c>
      <c r="K53" s="282" t="s">
        <v>433</v>
      </c>
      <c r="L53" s="277"/>
      <c r="M53" s="244">
        <f>J53-L53</f>
        <v>0</v>
      </c>
      <c r="N53" s="242">
        <f t="shared" si="15"/>
        <v>0</v>
      </c>
      <c r="O53" s="243">
        <v>2</v>
      </c>
    </row>
    <row r="54" spans="1:15" x14ac:dyDescent="0.25">
      <c r="A54" s="238" t="s">
        <v>498</v>
      </c>
      <c r="B54" s="239">
        <v>454</v>
      </c>
      <c r="C54" s="239" t="s">
        <v>499</v>
      </c>
      <c r="D54" s="240" t="s">
        <v>500</v>
      </c>
      <c r="E54" s="241">
        <v>8328.32</v>
      </c>
      <c r="F54" s="241" t="s">
        <v>387</v>
      </c>
      <c r="G54" s="242">
        <f t="shared" si="13"/>
        <v>0</v>
      </c>
      <c r="H54" s="244">
        <v>0</v>
      </c>
      <c r="I54" s="244">
        <f t="shared" si="14"/>
        <v>0</v>
      </c>
      <c r="J54" s="242">
        <f t="shared" si="11"/>
        <v>8328.32</v>
      </c>
      <c r="K54" s="282" t="s">
        <v>433</v>
      </c>
      <c r="L54" s="283">
        <v>2288.5917887616001</v>
      </c>
      <c r="M54" s="244">
        <f t="shared" ref="M54:M72" si="16">J54-L54</f>
        <v>6039.7282112384</v>
      </c>
      <c r="N54" s="242">
        <f t="shared" si="15"/>
        <v>0</v>
      </c>
      <c r="O54" s="243">
        <v>2</v>
      </c>
    </row>
    <row r="55" spans="1:15" x14ac:dyDescent="0.25">
      <c r="A55" s="238" t="s">
        <v>501</v>
      </c>
      <c r="B55" s="239">
        <v>454</v>
      </c>
      <c r="C55" s="240" t="s">
        <v>502</v>
      </c>
      <c r="D55" s="240" t="s">
        <v>503</v>
      </c>
      <c r="E55" s="264">
        <v>-480842.67</v>
      </c>
      <c r="F55" s="241" t="s">
        <v>386</v>
      </c>
      <c r="G55" s="242">
        <f>IF(F55=$G$2,E55,0)</f>
        <v>-480842.67</v>
      </c>
      <c r="H55" s="244">
        <v>0</v>
      </c>
      <c r="I55" s="244">
        <f>G55-H55</f>
        <v>-480842.67</v>
      </c>
      <c r="J55" s="242">
        <f>IF(F55=$J$2,E55,0)</f>
        <v>0</v>
      </c>
      <c r="K55" s="242"/>
      <c r="L55" s="252"/>
      <c r="M55" s="244">
        <f t="shared" si="16"/>
        <v>0</v>
      </c>
      <c r="N55" s="242">
        <f t="shared" si="15"/>
        <v>0</v>
      </c>
      <c r="O55" s="243">
        <v>4</v>
      </c>
    </row>
    <row r="56" spans="1:15" x14ac:dyDescent="0.25">
      <c r="A56" s="238" t="s">
        <v>504</v>
      </c>
      <c r="B56" s="239">
        <v>454</v>
      </c>
      <c r="C56" s="240" t="s">
        <v>505</v>
      </c>
      <c r="D56" s="240" t="s">
        <v>506</v>
      </c>
      <c r="E56" s="241">
        <v>47504.65</v>
      </c>
      <c r="F56" s="241" t="s">
        <v>388</v>
      </c>
      <c r="G56" s="242">
        <f>I56+H56</f>
        <v>2893.0331850000002</v>
      </c>
      <c r="H56" s="244">
        <f>E56*$D$267</f>
        <v>2893.0331850000002</v>
      </c>
      <c r="I56" s="244">
        <v>0</v>
      </c>
      <c r="J56" s="242">
        <f t="shared" si="11"/>
        <v>0</v>
      </c>
      <c r="K56" s="242"/>
      <c r="L56" s="252"/>
      <c r="M56" s="244">
        <f>J56-L56</f>
        <v>0</v>
      </c>
      <c r="N56" s="242">
        <f>IF(F56=$N$2,E56-H56,0)</f>
        <v>44611.616815000001</v>
      </c>
      <c r="O56" s="243" t="s">
        <v>507</v>
      </c>
    </row>
    <row r="57" spans="1:15" x14ac:dyDescent="0.25">
      <c r="A57" s="238" t="s">
        <v>508</v>
      </c>
      <c r="B57" s="239">
        <v>454</v>
      </c>
      <c r="C57" s="240" t="s">
        <v>509</v>
      </c>
      <c r="D57" s="240" t="s">
        <v>510</v>
      </c>
      <c r="E57" s="241"/>
      <c r="F57" s="241" t="s">
        <v>386</v>
      </c>
      <c r="G57" s="242">
        <f t="shared" si="13"/>
        <v>0</v>
      </c>
      <c r="H57" s="244">
        <f>E57*$D$267</f>
        <v>0</v>
      </c>
      <c r="I57" s="244">
        <f>G57-H57</f>
        <v>0</v>
      </c>
      <c r="J57" s="242">
        <f t="shared" si="11"/>
        <v>0</v>
      </c>
      <c r="K57" s="242"/>
      <c r="L57" s="252"/>
      <c r="M57" s="244">
        <f t="shared" si="16"/>
        <v>0</v>
      </c>
      <c r="N57" s="242">
        <f t="shared" si="15"/>
        <v>0</v>
      </c>
      <c r="O57" s="243">
        <v>7</v>
      </c>
    </row>
    <row r="58" spans="1:15" x14ac:dyDescent="0.25">
      <c r="A58" s="238" t="s">
        <v>511</v>
      </c>
      <c r="B58" s="239">
        <v>454</v>
      </c>
      <c r="C58" s="240" t="s">
        <v>512</v>
      </c>
      <c r="D58" s="240" t="s">
        <v>513</v>
      </c>
      <c r="E58" s="241">
        <v>1340461.1599999999</v>
      </c>
      <c r="F58" s="241" t="s">
        <v>388</v>
      </c>
      <c r="G58" s="242">
        <f>I58+H58</f>
        <v>81634.084644000002</v>
      </c>
      <c r="H58" s="244">
        <f>E58*$D$267</f>
        <v>81634.084644000002</v>
      </c>
      <c r="I58" s="244">
        <v>0</v>
      </c>
      <c r="J58" s="242">
        <f>IF(F58=$J$2,E58,0)</f>
        <v>0</v>
      </c>
      <c r="K58" s="242"/>
      <c r="L58" s="252"/>
      <c r="M58" s="244">
        <f>J58-L58</f>
        <v>0</v>
      </c>
      <c r="N58" s="242">
        <f>IF(F58=$N$2,E58-H58,0)</f>
        <v>1258827.0753559999</v>
      </c>
      <c r="O58" s="243" t="s">
        <v>507</v>
      </c>
    </row>
    <row r="59" spans="1:15" x14ac:dyDescent="0.25">
      <c r="A59" s="238" t="s">
        <v>514</v>
      </c>
      <c r="B59" s="239">
        <v>454</v>
      </c>
      <c r="C59" s="240" t="s">
        <v>515</v>
      </c>
      <c r="D59" s="240" t="s">
        <v>516</v>
      </c>
      <c r="E59" s="241"/>
      <c r="F59" s="241" t="s">
        <v>386</v>
      </c>
      <c r="G59" s="242">
        <f>I59+H59</f>
        <v>0</v>
      </c>
      <c r="H59" s="244">
        <f>E59*$D$261</f>
        <v>0</v>
      </c>
      <c r="I59" s="244">
        <v>0</v>
      </c>
      <c r="J59" s="242">
        <f t="shared" si="11"/>
        <v>0</v>
      </c>
      <c r="K59" s="242"/>
      <c r="L59" s="252"/>
      <c r="M59" s="244">
        <f t="shared" si="16"/>
        <v>0</v>
      </c>
      <c r="N59" s="242">
        <f t="shared" ref="N59:N70" si="17">IF(F59=$N$2,E59,0)</f>
        <v>0</v>
      </c>
      <c r="O59" s="243">
        <v>7</v>
      </c>
    </row>
    <row r="60" spans="1:15" x14ac:dyDescent="0.25">
      <c r="A60" s="238" t="s">
        <v>517</v>
      </c>
      <c r="B60" s="239">
        <v>454</v>
      </c>
      <c r="C60" s="240" t="s">
        <v>518</v>
      </c>
      <c r="D60" s="240" t="s">
        <v>519</v>
      </c>
      <c r="E60" s="241"/>
      <c r="F60" s="241" t="s">
        <v>386</v>
      </c>
      <c r="G60" s="242">
        <f t="shared" ref="G60:G70" si="18">IF(F60=$G$2,E60,0)</f>
        <v>0</v>
      </c>
      <c r="H60" s="244">
        <v>0</v>
      </c>
      <c r="I60" s="244">
        <f t="shared" ref="I60:I65" si="19">G60-H60</f>
        <v>0</v>
      </c>
      <c r="J60" s="242">
        <f t="shared" si="11"/>
        <v>0</v>
      </c>
      <c r="K60" s="242"/>
      <c r="L60" s="252"/>
      <c r="M60" s="244">
        <f t="shared" si="16"/>
        <v>0</v>
      </c>
      <c r="N60" s="242">
        <f t="shared" si="17"/>
        <v>0</v>
      </c>
      <c r="O60" s="243">
        <v>1</v>
      </c>
    </row>
    <row r="61" spans="1:15" x14ac:dyDescent="0.25">
      <c r="A61" s="238" t="s">
        <v>520</v>
      </c>
      <c r="B61" s="239">
        <v>454</v>
      </c>
      <c r="C61" s="240" t="s">
        <v>521</v>
      </c>
      <c r="D61" s="240" t="s">
        <v>522</v>
      </c>
      <c r="E61" s="241">
        <v>11396044.6</v>
      </c>
      <c r="F61" s="241" t="s">
        <v>386</v>
      </c>
      <c r="G61" s="242">
        <f t="shared" si="18"/>
        <v>11396044.6</v>
      </c>
      <c r="H61" s="244">
        <v>0</v>
      </c>
      <c r="I61" s="244">
        <f>G61-H61</f>
        <v>11396044.6</v>
      </c>
      <c r="J61" s="242">
        <f t="shared" si="11"/>
        <v>0</v>
      </c>
      <c r="K61" s="242"/>
      <c r="L61" s="252"/>
      <c r="M61" s="244">
        <f t="shared" si="16"/>
        <v>0</v>
      </c>
      <c r="N61" s="242">
        <f t="shared" si="17"/>
        <v>0</v>
      </c>
      <c r="O61" s="243">
        <v>4</v>
      </c>
    </row>
    <row r="62" spans="1:15" x14ac:dyDescent="0.25">
      <c r="A62" s="238" t="s">
        <v>523</v>
      </c>
      <c r="B62" s="239">
        <v>454</v>
      </c>
      <c r="C62" s="240" t="s">
        <v>524</v>
      </c>
      <c r="D62" s="240" t="s">
        <v>525</v>
      </c>
      <c r="E62" s="241">
        <v>532166.59</v>
      </c>
      <c r="F62" s="241" t="s">
        <v>386</v>
      </c>
      <c r="G62" s="242">
        <f t="shared" si="18"/>
        <v>532166.59</v>
      </c>
      <c r="H62" s="244">
        <v>0</v>
      </c>
      <c r="I62" s="244">
        <f>G62-H62</f>
        <v>532166.59</v>
      </c>
      <c r="J62" s="242">
        <f t="shared" si="11"/>
        <v>0</v>
      </c>
      <c r="K62" s="242"/>
      <c r="L62" s="252"/>
      <c r="M62" s="244">
        <f t="shared" si="16"/>
        <v>0</v>
      </c>
      <c r="N62" s="242">
        <f t="shared" si="17"/>
        <v>0</v>
      </c>
      <c r="O62" s="243">
        <v>4</v>
      </c>
    </row>
    <row r="63" spans="1:15" x14ac:dyDescent="0.25">
      <c r="A63" s="238" t="s">
        <v>526</v>
      </c>
      <c r="B63" s="239">
        <v>454</v>
      </c>
      <c r="C63" s="240" t="s">
        <v>527</v>
      </c>
      <c r="D63" s="240" t="s">
        <v>528</v>
      </c>
      <c r="E63" s="241">
        <v>19497021.199999999</v>
      </c>
      <c r="F63" s="241" t="s">
        <v>386</v>
      </c>
      <c r="G63" s="242">
        <f t="shared" si="18"/>
        <v>19497021.199999999</v>
      </c>
      <c r="H63" s="244">
        <v>0</v>
      </c>
      <c r="I63" s="244">
        <f>G63-H63</f>
        <v>19497021.199999999</v>
      </c>
      <c r="J63" s="242">
        <f t="shared" si="11"/>
        <v>0</v>
      </c>
      <c r="K63" s="242"/>
      <c r="L63" s="252"/>
      <c r="M63" s="244">
        <f t="shared" si="16"/>
        <v>0</v>
      </c>
      <c r="N63" s="242">
        <f t="shared" si="17"/>
        <v>0</v>
      </c>
      <c r="O63" s="243">
        <v>4</v>
      </c>
    </row>
    <row r="64" spans="1:15" x14ac:dyDescent="0.25">
      <c r="A64" s="238" t="s">
        <v>529</v>
      </c>
      <c r="B64" s="239">
        <v>454</v>
      </c>
      <c r="C64" s="240" t="s">
        <v>530</v>
      </c>
      <c r="D64" s="240" t="s">
        <v>531</v>
      </c>
      <c r="E64" s="241">
        <v>11003379.5</v>
      </c>
      <c r="F64" s="241" t="s">
        <v>386</v>
      </c>
      <c r="G64" s="242">
        <f t="shared" si="18"/>
        <v>11003379.5</v>
      </c>
      <c r="H64" s="263">
        <v>2866540.7922</v>
      </c>
      <c r="I64" s="244">
        <f>G64-H64</f>
        <v>8136838.7078</v>
      </c>
      <c r="J64" s="242">
        <f t="shared" si="11"/>
        <v>0</v>
      </c>
      <c r="K64" s="242"/>
      <c r="L64" s="252"/>
      <c r="M64" s="244">
        <f t="shared" si="16"/>
        <v>0</v>
      </c>
      <c r="N64" s="242">
        <f t="shared" si="17"/>
        <v>0</v>
      </c>
      <c r="O64" s="243">
        <v>8</v>
      </c>
    </row>
    <row r="65" spans="1:15" x14ac:dyDescent="0.25">
      <c r="A65" s="238" t="s">
        <v>532</v>
      </c>
      <c r="B65" s="239">
        <v>454</v>
      </c>
      <c r="C65" s="240" t="s">
        <v>533</v>
      </c>
      <c r="D65" s="240" t="s">
        <v>534</v>
      </c>
      <c r="E65" s="241">
        <v>22769302.899999999</v>
      </c>
      <c r="F65" s="241" t="s">
        <v>387</v>
      </c>
      <c r="G65" s="242">
        <f t="shared" si="18"/>
        <v>0</v>
      </c>
      <c r="H65" s="244">
        <v>0</v>
      </c>
      <c r="I65" s="244">
        <f t="shared" si="19"/>
        <v>0</v>
      </c>
      <c r="J65" s="242">
        <f t="shared" si="11"/>
        <v>22769302.899999999</v>
      </c>
      <c r="K65" s="282" t="s">
        <v>433</v>
      </c>
      <c r="L65" s="277">
        <v>4546791.8685539598</v>
      </c>
      <c r="M65" s="244">
        <f t="shared" si="16"/>
        <v>18222511.03144604</v>
      </c>
      <c r="N65" s="242">
        <f t="shared" si="17"/>
        <v>0</v>
      </c>
      <c r="O65" s="243">
        <v>2</v>
      </c>
    </row>
    <row r="66" spans="1:15" x14ac:dyDescent="0.25">
      <c r="A66" s="238" t="s">
        <v>535</v>
      </c>
      <c r="B66" s="239">
        <v>454</v>
      </c>
      <c r="C66" s="240" t="s">
        <v>536</v>
      </c>
      <c r="D66" s="240" t="s">
        <v>537</v>
      </c>
      <c r="E66" s="241"/>
      <c r="F66" s="241" t="s">
        <v>386</v>
      </c>
      <c r="G66" s="242">
        <f t="shared" si="18"/>
        <v>0</v>
      </c>
      <c r="H66" s="244">
        <v>0</v>
      </c>
      <c r="I66" s="244">
        <f>G66-H66</f>
        <v>0</v>
      </c>
      <c r="J66" s="242">
        <f t="shared" si="11"/>
        <v>0</v>
      </c>
      <c r="K66" s="242"/>
      <c r="L66" s="252"/>
      <c r="M66" s="244">
        <f t="shared" si="16"/>
        <v>0</v>
      </c>
      <c r="N66" s="242">
        <f t="shared" si="17"/>
        <v>0</v>
      </c>
      <c r="O66" s="243">
        <v>4</v>
      </c>
    </row>
    <row r="67" spans="1:15" x14ac:dyDescent="0.25">
      <c r="A67" s="238" t="s">
        <v>538</v>
      </c>
      <c r="B67" s="239">
        <v>454</v>
      </c>
      <c r="C67" s="238" t="s">
        <v>539</v>
      </c>
      <c r="D67" s="240" t="s">
        <v>540</v>
      </c>
      <c r="E67" s="241"/>
      <c r="F67" s="241" t="s">
        <v>386</v>
      </c>
      <c r="G67" s="242">
        <f t="shared" si="18"/>
        <v>0</v>
      </c>
      <c r="H67" s="244">
        <v>0</v>
      </c>
      <c r="I67" s="244">
        <f>G67-H67</f>
        <v>0</v>
      </c>
      <c r="J67" s="242">
        <f t="shared" si="11"/>
        <v>0</v>
      </c>
      <c r="K67" s="242"/>
      <c r="L67" s="252"/>
      <c r="M67" s="244">
        <f t="shared" si="16"/>
        <v>0</v>
      </c>
      <c r="N67" s="242">
        <f t="shared" si="17"/>
        <v>0</v>
      </c>
      <c r="O67" s="243">
        <v>1</v>
      </c>
    </row>
    <row r="68" spans="1:15" x14ac:dyDescent="0.25">
      <c r="A68" s="238" t="s">
        <v>541</v>
      </c>
      <c r="B68" s="239">
        <v>454</v>
      </c>
      <c r="C68" s="239">
        <v>4206515</v>
      </c>
      <c r="D68" s="266" t="s">
        <v>542</v>
      </c>
      <c r="E68" s="241">
        <v>1552731.3</v>
      </c>
      <c r="F68" s="241" t="s">
        <v>387</v>
      </c>
      <c r="G68" s="242">
        <f t="shared" si="18"/>
        <v>0</v>
      </c>
      <c r="H68" s="244">
        <v>0</v>
      </c>
      <c r="I68" s="244">
        <f>G68-H68</f>
        <v>0</v>
      </c>
      <c r="J68" s="242">
        <f t="shared" si="11"/>
        <v>1552731.3</v>
      </c>
      <c r="K68" s="242" t="s">
        <v>433</v>
      </c>
      <c r="L68" s="252">
        <v>1147070.8805553999</v>
      </c>
      <c r="M68" s="244">
        <f t="shared" si="16"/>
        <v>405660.41944460012</v>
      </c>
      <c r="N68" s="242">
        <f t="shared" si="17"/>
        <v>0</v>
      </c>
      <c r="O68" s="243">
        <v>2</v>
      </c>
    </row>
    <row r="69" spans="1:15" x14ac:dyDescent="0.25">
      <c r="A69" s="238" t="s">
        <v>543</v>
      </c>
      <c r="B69" s="239">
        <v>454</v>
      </c>
      <c r="C69" s="239">
        <v>4184122</v>
      </c>
      <c r="D69" s="266" t="s">
        <v>544</v>
      </c>
      <c r="E69" s="241"/>
      <c r="F69" s="241" t="s">
        <v>386</v>
      </c>
      <c r="G69" s="242">
        <f t="shared" si="18"/>
        <v>0</v>
      </c>
      <c r="H69" s="244">
        <v>0</v>
      </c>
      <c r="I69" s="244">
        <f>G69-H69</f>
        <v>0</v>
      </c>
      <c r="J69" s="242">
        <f t="shared" si="11"/>
        <v>0</v>
      </c>
      <c r="K69" s="242"/>
      <c r="L69" s="252"/>
      <c r="M69" s="244">
        <f t="shared" si="16"/>
        <v>0</v>
      </c>
      <c r="N69" s="242">
        <f t="shared" si="17"/>
        <v>0</v>
      </c>
      <c r="O69" s="243">
        <v>4</v>
      </c>
    </row>
    <row r="70" spans="1:15" x14ac:dyDescent="0.25">
      <c r="A70" s="238" t="s">
        <v>545</v>
      </c>
      <c r="B70" s="239">
        <v>454</v>
      </c>
      <c r="C70" s="239">
        <v>4184124</v>
      </c>
      <c r="D70" s="266" t="s">
        <v>546</v>
      </c>
      <c r="E70" s="241">
        <v>81401.820000000007</v>
      </c>
      <c r="F70" s="241" t="s">
        <v>386</v>
      </c>
      <c r="G70" s="242">
        <f t="shared" si="18"/>
        <v>81401.820000000007</v>
      </c>
      <c r="H70" s="244">
        <v>0</v>
      </c>
      <c r="I70" s="244">
        <f>G70-H70</f>
        <v>81401.820000000007</v>
      </c>
      <c r="J70" s="242">
        <f t="shared" si="11"/>
        <v>0</v>
      </c>
      <c r="K70" s="242"/>
      <c r="L70" s="252"/>
      <c r="M70" s="244">
        <f t="shared" si="16"/>
        <v>0</v>
      </c>
      <c r="N70" s="242">
        <f t="shared" si="17"/>
        <v>0</v>
      </c>
      <c r="O70" s="243">
        <v>4</v>
      </c>
    </row>
    <row r="71" spans="1:15" x14ac:dyDescent="0.25">
      <c r="A71" s="238" t="s">
        <v>547</v>
      </c>
      <c r="B71" s="239">
        <v>454</v>
      </c>
      <c r="C71" s="239">
        <v>4184821</v>
      </c>
      <c r="D71" s="266" t="s">
        <v>548</v>
      </c>
      <c r="E71" s="241">
        <v>86928.01</v>
      </c>
      <c r="F71" s="241" t="s">
        <v>388</v>
      </c>
      <c r="G71" s="242">
        <f>I71+H71</f>
        <v>5293.9158090000001</v>
      </c>
      <c r="H71" s="244">
        <f>E71*$D$267</f>
        <v>5293.9158090000001</v>
      </c>
      <c r="I71" s="244">
        <v>0</v>
      </c>
      <c r="J71" s="242">
        <f t="shared" si="11"/>
        <v>0</v>
      </c>
      <c r="K71" s="242"/>
      <c r="L71" s="252"/>
      <c r="M71" s="244">
        <f t="shared" si="16"/>
        <v>0</v>
      </c>
      <c r="N71" s="242">
        <f>IF(F71=$N$2,E71-H71,0)</f>
        <v>81634.094190999996</v>
      </c>
      <c r="O71" s="243" t="s">
        <v>507</v>
      </c>
    </row>
    <row r="72" spans="1:15" x14ac:dyDescent="0.25">
      <c r="A72" s="238" t="s">
        <v>549</v>
      </c>
      <c r="B72" s="239">
        <v>454</v>
      </c>
      <c r="C72" s="239">
        <v>4184811</v>
      </c>
      <c r="D72" s="266" t="s">
        <v>550</v>
      </c>
      <c r="E72" s="241">
        <v>732372.56</v>
      </c>
      <c r="F72" s="241" t="s">
        <v>388</v>
      </c>
      <c r="G72" s="242">
        <f>I72+H72</f>
        <v>44601.488904000005</v>
      </c>
      <c r="H72" s="244">
        <f>E72*$D$267</f>
        <v>44601.488904000005</v>
      </c>
      <c r="I72" s="244">
        <v>0</v>
      </c>
      <c r="J72" s="242">
        <f t="shared" si="11"/>
        <v>0</v>
      </c>
      <c r="K72" s="242"/>
      <c r="L72" s="252"/>
      <c r="M72" s="244">
        <f t="shared" si="16"/>
        <v>0</v>
      </c>
      <c r="N72" s="242">
        <f t="shared" ref="N72" si="20">IF(F72=$N$2,E72-H72,0)</f>
        <v>687771.07109600003</v>
      </c>
      <c r="O72" s="243" t="s">
        <v>507</v>
      </c>
    </row>
    <row r="73" spans="1:15" x14ac:dyDescent="0.25">
      <c r="A73" s="238" t="s">
        <v>551</v>
      </c>
      <c r="B73" s="239">
        <v>454</v>
      </c>
      <c r="C73" s="239">
        <v>4184515</v>
      </c>
      <c r="D73" s="266" t="s">
        <v>455</v>
      </c>
      <c r="E73" s="241"/>
      <c r="F73" s="241" t="s">
        <v>388</v>
      </c>
      <c r="G73" s="242">
        <f>IF(F73=$G$2,E73,0)</f>
        <v>0</v>
      </c>
      <c r="H73" s="244">
        <v>0</v>
      </c>
      <c r="I73" s="244">
        <f>G73-H73</f>
        <v>0</v>
      </c>
      <c r="J73" s="242">
        <f>IF(F73=$J$2,E73,0)</f>
        <v>0</v>
      </c>
      <c r="K73" s="242"/>
      <c r="L73" s="252"/>
      <c r="M73" s="244">
        <f>J73-L73</f>
        <v>0</v>
      </c>
      <c r="N73" s="242">
        <f>IF(F73=$N$2,E73-H73,0)</f>
        <v>0</v>
      </c>
      <c r="O73" s="243">
        <v>6</v>
      </c>
    </row>
    <row r="74" spans="1:15" ht="13" thickBot="1" x14ac:dyDescent="0.3">
      <c r="A74" s="238" t="s">
        <v>552</v>
      </c>
      <c r="B74" s="239">
        <v>454</v>
      </c>
      <c r="C74" s="284">
        <v>4184126</v>
      </c>
      <c r="D74" s="285" t="s">
        <v>553</v>
      </c>
      <c r="E74" s="241">
        <v>1675736</v>
      </c>
      <c r="F74" s="286" t="s">
        <v>386</v>
      </c>
      <c r="G74" s="242">
        <f>IF(F74=$G$2,E74,0)</f>
        <v>1675736</v>
      </c>
      <c r="H74" s="244">
        <v>0</v>
      </c>
      <c r="I74" s="244">
        <f>G74-H74</f>
        <v>1675736</v>
      </c>
      <c r="J74" s="242">
        <f>IF(F74=$J$2,E74,0)</f>
        <v>0</v>
      </c>
      <c r="K74" s="287"/>
      <c r="L74" s="252"/>
      <c r="M74" s="244">
        <f t="shared" ref="M74:M77" si="21">J74-L74</f>
        <v>0</v>
      </c>
      <c r="N74" s="242">
        <f t="shared" ref="N74:N75" si="22">IF(F74=$N$2,E74-H74,0)</f>
        <v>0</v>
      </c>
      <c r="O74" s="243">
        <v>4</v>
      </c>
    </row>
    <row r="75" spans="1:15" ht="13" thickBot="1" x14ac:dyDescent="0.3">
      <c r="A75" s="238" t="s">
        <v>554</v>
      </c>
      <c r="B75" s="239">
        <v>454</v>
      </c>
      <c r="C75" s="288">
        <v>4184526</v>
      </c>
      <c r="D75" s="285" t="s">
        <v>555</v>
      </c>
      <c r="E75" s="241">
        <v>10440</v>
      </c>
      <c r="F75" s="241" t="s">
        <v>387</v>
      </c>
      <c r="G75" s="242">
        <f>IF(F75=$G$2,E75,0)</f>
        <v>0</v>
      </c>
      <c r="H75" s="244">
        <v>0</v>
      </c>
      <c r="I75" s="244">
        <f>G75-H75</f>
        <v>0</v>
      </c>
      <c r="J75" s="289">
        <f>IF(F75=$J$2,E75,0)</f>
        <v>10440</v>
      </c>
      <c r="K75" s="290" t="s">
        <v>433</v>
      </c>
      <c r="L75" s="291">
        <v>1861.8595907377</v>
      </c>
      <c r="M75" s="244">
        <f>J75-L75</f>
        <v>8578.1404092622997</v>
      </c>
      <c r="N75" s="242">
        <f t="shared" si="22"/>
        <v>0</v>
      </c>
      <c r="O75" s="243">
        <v>2</v>
      </c>
    </row>
    <row r="76" spans="1:15" x14ac:dyDescent="0.25">
      <c r="A76" s="246" t="s">
        <v>556</v>
      </c>
      <c r="B76" s="247">
        <v>454</v>
      </c>
      <c r="C76" s="248">
        <v>4197020</v>
      </c>
      <c r="D76" s="268" t="s">
        <v>557</v>
      </c>
      <c r="E76" s="241">
        <v>31296.36</v>
      </c>
      <c r="F76" s="241" t="s">
        <v>386</v>
      </c>
      <c r="G76" s="241">
        <f t="shared" ref="G76:G77" si="23">IF(F76=$G$2,E76,0)</f>
        <v>31296.36</v>
      </c>
      <c r="H76" s="252">
        <v>0</v>
      </c>
      <c r="I76" s="252">
        <f>G76-H76</f>
        <v>31296.36</v>
      </c>
      <c r="J76" s="241">
        <f t="shared" ref="J76:J77" si="24">IF(F76=$J$2,E76,0)</f>
        <v>0</v>
      </c>
      <c r="K76" s="292"/>
      <c r="L76" s="252"/>
      <c r="M76" s="252">
        <f t="shared" si="21"/>
        <v>0</v>
      </c>
      <c r="N76" s="241">
        <f t="shared" ref="N76:N77" si="25">IF(F76=$N$2,E76,0)</f>
        <v>0</v>
      </c>
      <c r="O76" s="251">
        <v>4</v>
      </c>
    </row>
    <row r="77" spans="1:15" x14ac:dyDescent="0.25">
      <c r="A77" s="246" t="s">
        <v>558</v>
      </c>
      <c r="B77" s="293">
        <v>454</v>
      </c>
      <c r="C77" s="248">
        <v>6120090</v>
      </c>
      <c r="D77" s="268" t="s">
        <v>559</v>
      </c>
      <c r="E77" s="241">
        <v>-14104.72</v>
      </c>
      <c r="F77" s="241" t="s">
        <v>386</v>
      </c>
      <c r="G77" s="241">
        <f t="shared" si="23"/>
        <v>-14104.72</v>
      </c>
      <c r="H77" s="252">
        <v>0</v>
      </c>
      <c r="I77" s="252">
        <f>G77-H77</f>
        <v>-14104.72</v>
      </c>
      <c r="J77" s="241">
        <f t="shared" si="24"/>
        <v>0</v>
      </c>
      <c r="K77" s="241"/>
      <c r="L77" s="252"/>
      <c r="M77" s="252">
        <f t="shared" si="21"/>
        <v>0</v>
      </c>
      <c r="N77" s="241">
        <f t="shared" si="25"/>
        <v>0</v>
      </c>
      <c r="O77" s="251">
        <v>4</v>
      </c>
    </row>
    <row r="78" spans="1:15" x14ac:dyDescent="0.25">
      <c r="A78" s="246"/>
      <c r="B78" s="293"/>
      <c r="C78" s="294"/>
      <c r="D78" s="268"/>
      <c r="E78" s="241"/>
      <c r="F78" s="241"/>
      <c r="G78" s="295"/>
      <c r="H78" s="296"/>
      <c r="I78" s="296"/>
      <c r="J78" s="295"/>
      <c r="K78" s="295"/>
      <c r="L78" s="296"/>
      <c r="M78" s="296"/>
      <c r="N78" s="295"/>
      <c r="O78" s="297"/>
    </row>
    <row r="79" spans="1:15" x14ac:dyDescent="0.25">
      <c r="A79" s="246"/>
      <c r="B79" s="293"/>
      <c r="C79" s="294"/>
      <c r="D79" s="268"/>
      <c r="E79" s="241"/>
      <c r="F79" s="241"/>
      <c r="G79" s="295"/>
      <c r="H79" s="296"/>
      <c r="I79" s="296"/>
      <c r="J79" s="295"/>
      <c r="K79" s="295"/>
      <c r="L79" s="296"/>
      <c r="M79" s="296"/>
      <c r="N79" s="295"/>
      <c r="O79" s="297"/>
    </row>
    <row r="80" spans="1:15" ht="13" x14ac:dyDescent="0.3">
      <c r="A80" s="238">
        <v>11</v>
      </c>
      <c r="B80" s="487" t="s">
        <v>560</v>
      </c>
      <c r="C80" s="488"/>
      <c r="D80" s="489"/>
      <c r="E80" s="254">
        <f>SUM(E47:E77)</f>
        <v>80970288.529999986</v>
      </c>
      <c r="F80" s="255"/>
      <c r="G80" s="254">
        <f>SUM(G47:G77)</f>
        <v>54229793.752541997</v>
      </c>
      <c r="H80" s="254">
        <f>SUM(H47:H77)</f>
        <v>3000963.3147419998</v>
      </c>
      <c r="I80" s="254">
        <f>SUM(I47:I77)</f>
        <v>51228830.437799998</v>
      </c>
      <c r="J80" s="254">
        <f>SUM(J47:J77)</f>
        <v>24667650.919999998</v>
      </c>
      <c r="K80" s="255"/>
      <c r="L80" s="254">
        <f>SUM(L47:L77)</f>
        <v>5772248.3919659751</v>
      </c>
      <c r="M80" s="254">
        <f>SUM(M47:M77)</f>
        <v>18895402.528034024</v>
      </c>
      <c r="N80" s="254">
        <f>SUM(N47:N77)</f>
        <v>2072843.8574580001</v>
      </c>
      <c r="O80" s="227"/>
    </row>
    <row r="81" spans="1:15" ht="24.75" customHeight="1" x14ac:dyDescent="0.3">
      <c r="A81" s="238">
        <v>12</v>
      </c>
      <c r="B81" s="493" t="s">
        <v>561</v>
      </c>
      <c r="C81" s="494"/>
      <c r="D81" s="495"/>
      <c r="E81" s="256">
        <v>80970289</v>
      </c>
      <c r="F81" s="257"/>
      <c r="G81" s="298"/>
      <c r="H81" s="257"/>
      <c r="I81" s="257"/>
      <c r="J81" s="258"/>
      <c r="K81" s="257"/>
      <c r="L81" s="258"/>
      <c r="M81" s="258"/>
      <c r="N81" s="258"/>
      <c r="O81" s="187"/>
    </row>
    <row r="82" spans="1:15" ht="13" x14ac:dyDescent="0.3">
      <c r="A82" s="259"/>
      <c r="B82" s="182"/>
      <c r="C82" s="260"/>
      <c r="D82" s="260"/>
      <c r="E82" s="258"/>
      <c r="F82" s="258"/>
      <c r="G82" s="258"/>
      <c r="H82" s="257"/>
      <c r="I82" s="257"/>
      <c r="J82" s="258"/>
      <c r="K82" s="257"/>
      <c r="L82" s="258"/>
      <c r="M82" s="258"/>
      <c r="N82" s="258"/>
      <c r="O82" s="187"/>
    </row>
    <row r="83" spans="1:15" x14ac:dyDescent="0.25">
      <c r="A83" s="238" t="s">
        <v>562</v>
      </c>
      <c r="B83" s="239">
        <v>456</v>
      </c>
      <c r="C83" s="240" t="s">
        <v>563</v>
      </c>
      <c r="D83" s="240" t="s">
        <v>564</v>
      </c>
      <c r="E83" s="264">
        <v>2642322.15</v>
      </c>
      <c r="F83" s="264" t="s">
        <v>386</v>
      </c>
      <c r="G83" s="261">
        <f t="shared" ref="G83:G91" si="26">IF(F83=$G$2,E83,0)</f>
        <v>2642322.15</v>
      </c>
      <c r="H83" s="262">
        <v>0</v>
      </c>
      <c r="I83" s="262">
        <f t="shared" ref="I83:I91" si="27">G83-H83</f>
        <v>2642322.15</v>
      </c>
      <c r="J83" s="261">
        <f t="shared" ref="J83:J144" si="28">IF(F83=$J$2,E83,0)</f>
        <v>0</v>
      </c>
      <c r="K83" s="261"/>
      <c r="L83" s="263"/>
      <c r="M83" s="262">
        <f t="shared" ref="M83:M144" si="29">J83-L83</f>
        <v>0</v>
      </c>
      <c r="N83" s="261">
        <f t="shared" ref="N83:N91" si="30">IF(F83=$N$2,E83,0)</f>
        <v>0</v>
      </c>
      <c r="O83" s="262">
        <v>1</v>
      </c>
    </row>
    <row r="84" spans="1:15" x14ac:dyDescent="0.25">
      <c r="A84" s="238" t="s">
        <v>565</v>
      </c>
      <c r="B84" s="239">
        <v>456</v>
      </c>
      <c r="C84" s="240" t="s">
        <v>566</v>
      </c>
      <c r="D84" s="240" t="s">
        <v>567</v>
      </c>
      <c r="E84" s="264"/>
      <c r="F84" s="264" t="s">
        <v>386</v>
      </c>
      <c r="G84" s="261">
        <f t="shared" si="26"/>
        <v>0</v>
      </c>
      <c r="H84" s="262">
        <v>0</v>
      </c>
      <c r="I84" s="262">
        <f t="shared" si="27"/>
        <v>0</v>
      </c>
      <c r="J84" s="261">
        <f t="shared" si="28"/>
        <v>0</v>
      </c>
      <c r="K84" s="261"/>
      <c r="L84" s="263"/>
      <c r="M84" s="262">
        <f t="shared" si="29"/>
        <v>0</v>
      </c>
      <c r="N84" s="261">
        <f t="shared" si="30"/>
        <v>0</v>
      </c>
      <c r="O84" s="262">
        <v>4</v>
      </c>
    </row>
    <row r="85" spans="1:15" x14ac:dyDescent="0.25">
      <c r="A85" s="238" t="s">
        <v>568</v>
      </c>
      <c r="B85" s="239">
        <v>456</v>
      </c>
      <c r="C85" s="240" t="s">
        <v>569</v>
      </c>
      <c r="D85" s="240" t="s">
        <v>570</v>
      </c>
      <c r="E85" s="264">
        <v>1231471.45</v>
      </c>
      <c r="F85" s="264" t="s">
        <v>386</v>
      </c>
      <c r="G85" s="261">
        <f t="shared" si="26"/>
        <v>1231471.45</v>
      </c>
      <c r="H85" s="262">
        <v>0</v>
      </c>
      <c r="I85" s="262">
        <f t="shared" si="27"/>
        <v>1231471.45</v>
      </c>
      <c r="J85" s="261">
        <f t="shared" si="28"/>
        <v>0</v>
      </c>
      <c r="K85" s="261"/>
      <c r="L85" s="263"/>
      <c r="M85" s="262">
        <f t="shared" si="29"/>
        <v>0</v>
      </c>
      <c r="N85" s="261">
        <f t="shared" si="30"/>
        <v>0</v>
      </c>
      <c r="O85" s="262">
        <v>4</v>
      </c>
    </row>
    <row r="86" spans="1:15" x14ac:dyDescent="0.25">
      <c r="A86" s="238" t="s">
        <v>571</v>
      </c>
      <c r="B86" s="239">
        <v>456</v>
      </c>
      <c r="C86" s="240" t="s">
        <v>572</v>
      </c>
      <c r="D86" s="240" t="s">
        <v>573</v>
      </c>
      <c r="E86" s="264"/>
      <c r="F86" s="264" t="s">
        <v>386</v>
      </c>
      <c r="G86" s="261">
        <f t="shared" si="26"/>
        <v>0</v>
      </c>
      <c r="H86" s="262">
        <v>0</v>
      </c>
      <c r="I86" s="262">
        <f t="shared" si="27"/>
        <v>0</v>
      </c>
      <c r="J86" s="261">
        <f t="shared" si="28"/>
        <v>0</v>
      </c>
      <c r="K86" s="261"/>
      <c r="L86" s="263"/>
      <c r="M86" s="262">
        <f t="shared" si="29"/>
        <v>0</v>
      </c>
      <c r="N86" s="261">
        <f t="shared" si="30"/>
        <v>0</v>
      </c>
      <c r="O86" s="262">
        <v>3</v>
      </c>
    </row>
    <row r="87" spans="1:15" x14ac:dyDescent="0.25">
      <c r="A87" s="238" t="s">
        <v>574</v>
      </c>
      <c r="B87" s="239">
        <v>456</v>
      </c>
      <c r="C87" s="240" t="s">
        <v>575</v>
      </c>
      <c r="D87" s="240" t="s">
        <v>576</v>
      </c>
      <c r="E87" s="264"/>
      <c r="F87" s="264" t="s">
        <v>386</v>
      </c>
      <c r="G87" s="261">
        <f t="shared" si="26"/>
        <v>0</v>
      </c>
      <c r="H87" s="262">
        <v>0</v>
      </c>
      <c r="I87" s="262">
        <f t="shared" si="27"/>
        <v>0</v>
      </c>
      <c r="J87" s="261">
        <f t="shared" si="28"/>
        <v>0</v>
      </c>
      <c r="K87" s="261"/>
      <c r="L87" s="263"/>
      <c r="M87" s="262">
        <f t="shared" si="29"/>
        <v>0</v>
      </c>
      <c r="N87" s="261">
        <f t="shared" si="30"/>
        <v>0</v>
      </c>
      <c r="O87" s="262">
        <v>1</v>
      </c>
    </row>
    <row r="88" spans="1:15" x14ac:dyDescent="0.25">
      <c r="A88" s="238" t="s">
        <v>577</v>
      </c>
      <c r="B88" s="239">
        <v>456</v>
      </c>
      <c r="C88" s="240" t="s">
        <v>578</v>
      </c>
      <c r="D88" s="240" t="s">
        <v>579</v>
      </c>
      <c r="E88" s="264">
        <v>1636308.89</v>
      </c>
      <c r="F88" s="264" t="s">
        <v>386</v>
      </c>
      <c r="G88" s="261">
        <f t="shared" si="26"/>
        <v>1636308.89</v>
      </c>
      <c r="H88" s="262">
        <v>0</v>
      </c>
      <c r="I88" s="262">
        <f t="shared" si="27"/>
        <v>1636308.89</v>
      </c>
      <c r="J88" s="261">
        <f t="shared" si="28"/>
        <v>0</v>
      </c>
      <c r="K88" s="261"/>
      <c r="L88" s="263"/>
      <c r="M88" s="262">
        <f t="shared" si="29"/>
        <v>0</v>
      </c>
      <c r="N88" s="261">
        <f t="shared" si="30"/>
        <v>0</v>
      </c>
      <c r="O88" s="262">
        <v>1</v>
      </c>
    </row>
    <row r="89" spans="1:15" x14ac:dyDescent="0.25">
      <c r="A89" s="238" t="s">
        <v>580</v>
      </c>
      <c r="B89" s="239">
        <v>456</v>
      </c>
      <c r="C89" s="240" t="s">
        <v>581</v>
      </c>
      <c r="D89" s="240" t="s">
        <v>582</v>
      </c>
      <c r="E89" s="264"/>
      <c r="F89" s="264" t="s">
        <v>386</v>
      </c>
      <c r="G89" s="261">
        <f t="shared" si="26"/>
        <v>0</v>
      </c>
      <c r="H89" s="262">
        <v>0</v>
      </c>
      <c r="I89" s="262">
        <f t="shared" si="27"/>
        <v>0</v>
      </c>
      <c r="J89" s="261">
        <f t="shared" si="28"/>
        <v>0</v>
      </c>
      <c r="K89" s="261"/>
      <c r="L89" s="263"/>
      <c r="M89" s="262">
        <f t="shared" si="29"/>
        <v>0</v>
      </c>
      <c r="N89" s="261">
        <f t="shared" si="30"/>
        <v>0</v>
      </c>
      <c r="O89" s="262">
        <v>3</v>
      </c>
    </row>
    <row r="90" spans="1:15" x14ac:dyDescent="0.25">
      <c r="A90" s="238" t="s">
        <v>583</v>
      </c>
      <c r="B90" s="239">
        <v>456</v>
      </c>
      <c r="C90" s="239">
        <v>4186142</v>
      </c>
      <c r="D90" s="240" t="s">
        <v>584</v>
      </c>
      <c r="E90" s="264">
        <v>6855.34</v>
      </c>
      <c r="F90" s="264" t="s">
        <v>386</v>
      </c>
      <c r="G90" s="261">
        <f t="shared" si="26"/>
        <v>6855.34</v>
      </c>
      <c r="H90" s="262">
        <v>0</v>
      </c>
      <c r="I90" s="262">
        <f t="shared" si="27"/>
        <v>6855.34</v>
      </c>
      <c r="J90" s="261">
        <f t="shared" si="28"/>
        <v>0</v>
      </c>
      <c r="K90" s="261"/>
      <c r="L90" s="263"/>
      <c r="M90" s="262">
        <f t="shared" si="29"/>
        <v>0</v>
      </c>
      <c r="N90" s="261">
        <f t="shared" si="30"/>
        <v>0</v>
      </c>
      <c r="O90" s="262">
        <v>4</v>
      </c>
    </row>
    <row r="91" spans="1:15" x14ac:dyDescent="0.25">
      <c r="A91" s="238" t="s">
        <v>585</v>
      </c>
      <c r="B91" s="239">
        <v>456</v>
      </c>
      <c r="C91" s="240" t="s">
        <v>586</v>
      </c>
      <c r="D91" s="240" t="s">
        <v>587</v>
      </c>
      <c r="E91" s="264"/>
      <c r="F91" s="264" t="s">
        <v>386</v>
      </c>
      <c r="G91" s="261">
        <f t="shared" si="26"/>
        <v>0</v>
      </c>
      <c r="H91" s="262">
        <f>E91*$D$261</f>
        <v>0</v>
      </c>
      <c r="I91" s="262">
        <f t="shared" si="27"/>
        <v>0</v>
      </c>
      <c r="J91" s="261">
        <f t="shared" si="28"/>
        <v>0</v>
      </c>
      <c r="K91" s="261"/>
      <c r="L91" s="263"/>
      <c r="M91" s="262">
        <f t="shared" si="29"/>
        <v>0</v>
      </c>
      <c r="N91" s="261">
        <f t="shared" si="30"/>
        <v>0</v>
      </c>
      <c r="O91" s="262">
        <v>7</v>
      </c>
    </row>
    <row r="92" spans="1:15" x14ac:dyDescent="0.25">
      <c r="A92" s="238" t="s">
        <v>588</v>
      </c>
      <c r="B92" s="239">
        <v>456</v>
      </c>
      <c r="C92" s="240" t="s">
        <v>589</v>
      </c>
      <c r="D92" s="240" t="s">
        <v>590</v>
      </c>
      <c r="E92" s="264">
        <v>6574.89</v>
      </c>
      <c r="F92" s="264" t="s">
        <v>388</v>
      </c>
      <c r="G92" s="261">
        <f>I92+H92</f>
        <v>400.41080100000005</v>
      </c>
      <c r="H92" s="262">
        <f>E92*$D$267</f>
        <v>400.41080100000005</v>
      </c>
      <c r="I92" s="262">
        <v>0</v>
      </c>
      <c r="J92" s="261">
        <f t="shared" si="28"/>
        <v>0</v>
      </c>
      <c r="K92" s="261"/>
      <c r="L92" s="263"/>
      <c r="M92" s="262">
        <f t="shared" si="29"/>
        <v>0</v>
      </c>
      <c r="N92" s="261">
        <f>IF(F92=$N$2,E92-H92,0)</f>
        <v>6174.4791990000003</v>
      </c>
      <c r="O92" s="262" t="s">
        <v>507</v>
      </c>
    </row>
    <row r="93" spans="1:15" x14ac:dyDescent="0.25">
      <c r="A93" s="238" t="s">
        <v>591</v>
      </c>
      <c r="B93" s="239">
        <v>456</v>
      </c>
      <c r="C93" s="240" t="s">
        <v>592</v>
      </c>
      <c r="D93" s="240" t="s">
        <v>593</v>
      </c>
      <c r="E93" s="264">
        <v>1688.14</v>
      </c>
      <c r="F93" s="264" t="s">
        <v>386</v>
      </c>
      <c r="G93" s="261">
        <f t="shared" ref="G93:G138" si="31">IF(F93=$G$2,E93,0)</f>
        <v>1688.14</v>
      </c>
      <c r="H93" s="262">
        <v>0</v>
      </c>
      <c r="I93" s="262">
        <f t="shared" ref="I93:I144" si="32">G93-H93</f>
        <v>1688.14</v>
      </c>
      <c r="J93" s="261">
        <f t="shared" si="28"/>
        <v>0</v>
      </c>
      <c r="K93" s="261"/>
      <c r="L93" s="263"/>
      <c r="M93" s="262">
        <f t="shared" si="29"/>
        <v>0</v>
      </c>
      <c r="N93" s="261">
        <f t="shared" ref="N93:N135" si="33">IF(F93=$N$2,E93,0)</f>
        <v>0</v>
      </c>
      <c r="O93" s="262">
        <v>4</v>
      </c>
    </row>
    <row r="94" spans="1:15" x14ac:dyDescent="0.25">
      <c r="A94" s="238" t="s">
        <v>594</v>
      </c>
      <c r="B94" s="239">
        <v>456</v>
      </c>
      <c r="C94" s="240" t="s">
        <v>595</v>
      </c>
      <c r="D94" s="240" t="s">
        <v>596</v>
      </c>
      <c r="E94" s="264">
        <v>16942.400000000001</v>
      </c>
      <c r="F94" s="264" t="s">
        <v>386</v>
      </c>
      <c r="G94" s="261">
        <f t="shared" si="31"/>
        <v>16942.400000000001</v>
      </c>
      <c r="H94" s="262">
        <v>0</v>
      </c>
      <c r="I94" s="262">
        <f t="shared" si="32"/>
        <v>16942.400000000001</v>
      </c>
      <c r="J94" s="261">
        <f t="shared" si="28"/>
        <v>0</v>
      </c>
      <c r="K94" s="261"/>
      <c r="L94" s="263"/>
      <c r="M94" s="262">
        <f t="shared" si="29"/>
        <v>0</v>
      </c>
      <c r="N94" s="261">
        <f t="shared" si="33"/>
        <v>0</v>
      </c>
      <c r="O94" s="262">
        <v>4</v>
      </c>
    </row>
    <row r="95" spans="1:15" x14ac:dyDescent="0.25">
      <c r="A95" s="238" t="s">
        <v>597</v>
      </c>
      <c r="B95" s="239">
        <v>456</v>
      </c>
      <c r="C95" s="240" t="s">
        <v>598</v>
      </c>
      <c r="D95" s="240" t="s">
        <v>599</v>
      </c>
      <c r="E95" s="264">
        <v>5119.41</v>
      </c>
      <c r="F95" s="264" t="s">
        <v>386</v>
      </c>
      <c r="G95" s="261">
        <f t="shared" si="31"/>
        <v>5119.41</v>
      </c>
      <c r="H95" s="262">
        <v>0</v>
      </c>
      <c r="I95" s="262">
        <f t="shared" si="32"/>
        <v>5119.41</v>
      </c>
      <c r="J95" s="261">
        <f t="shared" si="28"/>
        <v>0</v>
      </c>
      <c r="K95" s="261"/>
      <c r="L95" s="263"/>
      <c r="M95" s="262">
        <f t="shared" si="29"/>
        <v>0</v>
      </c>
      <c r="N95" s="261">
        <f t="shared" si="33"/>
        <v>0</v>
      </c>
      <c r="O95" s="262">
        <v>4</v>
      </c>
    </row>
    <row r="96" spans="1:15" x14ac:dyDescent="0.25">
      <c r="A96" s="238" t="s">
        <v>600</v>
      </c>
      <c r="B96" s="239">
        <v>456</v>
      </c>
      <c r="C96" s="240" t="s">
        <v>601</v>
      </c>
      <c r="D96" s="240" t="s">
        <v>602</v>
      </c>
      <c r="E96" s="264">
        <v>1158.6600000000001</v>
      </c>
      <c r="F96" s="264" t="s">
        <v>386</v>
      </c>
      <c r="G96" s="261">
        <f t="shared" si="31"/>
        <v>1158.6600000000001</v>
      </c>
      <c r="H96" s="262">
        <v>0</v>
      </c>
      <c r="I96" s="262">
        <f t="shared" si="32"/>
        <v>1158.6600000000001</v>
      </c>
      <c r="J96" s="261">
        <f t="shared" si="28"/>
        <v>0</v>
      </c>
      <c r="K96" s="261"/>
      <c r="L96" s="263"/>
      <c r="M96" s="262">
        <f t="shared" si="29"/>
        <v>0</v>
      </c>
      <c r="N96" s="261">
        <f t="shared" si="33"/>
        <v>0</v>
      </c>
      <c r="O96" s="262">
        <v>4</v>
      </c>
    </row>
    <row r="97" spans="1:15" x14ac:dyDescent="0.25">
      <c r="A97" s="238" t="s">
        <v>603</v>
      </c>
      <c r="B97" s="239">
        <v>456</v>
      </c>
      <c r="C97" s="240" t="s">
        <v>604</v>
      </c>
      <c r="D97" s="240" t="s">
        <v>605</v>
      </c>
      <c r="E97" s="264">
        <v>985.91</v>
      </c>
      <c r="F97" s="264" t="s">
        <v>386</v>
      </c>
      <c r="G97" s="261">
        <f t="shared" si="31"/>
        <v>985.91</v>
      </c>
      <c r="H97" s="262">
        <v>0</v>
      </c>
      <c r="I97" s="262">
        <f t="shared" si="32"/>
        <v>985.91</v>
      </c>
      <c r="J97" s="261">
        <f t="shared" si="28"/>
        <v>0</v>
      </c>
      <c r="K97" s="261"/>
      <c r="L97" s="263"/>
      <c r="M97" s="262">
        <f t="shared" si="29"/>
        <v>0</v>
      </c>
      <c r="N97" s="261">
        <f t="shared" si="33"/>
        <v>0</v>
      </c>
      <c r="O97" s="262">
        <v>4</v>
      </c>
    </row>
    <row r="98" spans="1:15" x14ac:dyDescent="0.25">
      <c r="A98" s="238" t="s">
        <v>606</v>
      </c>
      <c r="B98" s="239">
        <v>456</v>
      </c>
      <c r="C98" s="240" t="s">
        <v>607</v>
      </c>
      <c r="D98" s="240" t="s">
        <v>608</v>
      </c>
      <c r="E98" s="264">
        <v>208656</v>
      </c>
      <c r="F98" s="264" t="s">
        <v>386</v>
      </c>
      <c r="G98" s="261">
        <f t="shared" si="31"/>
        <v>208656</v>
      </c>
      <c r="H98" s="262">
        <v>0</v>
      </c>
      <c r="I98" s="262">
        <f t="shared" si="32"/>
        <v>208656</v>
      </c>
      <c r="J98" s="261">
        <f t="shared" si="28"/>
        <v>0</v>
      </c>
      <c r="K98" s="261"/>
      <c r="L98" s="263"/>
      <c r="M98" s="262">
        <f t="shared" si="29"/>
        <v>0</v>
      </c>
      <c r="N98" s="261">
        <f t="shared" si="33"/>
        <v>0</v>
      </c>
      <c r="O98" s="262">
        <v>4</v>
      </c>
    </row>
    <row r="99" spans="1:15" x14ac:dyDescent="0.25">
      <c r="A99" s="238" t="s">
        <v>609</v>
      </c>
      <c r="B99" s="239">
        <v>456</v>
      </c>
      <c r="C99" s="240" t="s">
        <v>610</v>
      </c>
      <c r="D99" s="240" t="s">
        <v>611</v>
      </c>
      <c r="E99" s="299">
        <v>862022.74</v>
      </c>
      <c r="F99" s="264" t="s">
        <v>387</v>
      </c>
      <c r="G99" s="261">
        <f t="shared" si="31"/>
        <v>0</v>
      </c>
      <c r="H99" s="262">
        <v>0</v>
      </c>
      <c r="I99" s="262">
        <f t="shared" si="32"/>
        <v>0</v>
      </c>
      <c r="J99" s="261">
        <f t="shared" si="28"/>
        <v>862022.74</v>
      </c>
      <c r="K99" s="265" t="s">
        <v>433</v>
      </c>
      <c r="L99" s="300">
        <v>514093.75382163399</v>
      </c>
      <c r="M99" s="262">
        <f t="shared" si="29"/>
        <v>347928.986178366</v>
      </c>
      <c r="N99" s="261">
        <f t="shared" si="33"/>
        <v>0</v>
      </c>
      <c r="O99" s="262">
        <v>2</v>
      </c>
    </row>
    <row r="100" spans="1:15" x14ac:dyDescent="0.25">
      <c r="A100" s="238" t="s">
        <v>612</v>
      </c>
      <c r="B100" s="239">
        <v>456</v>
      </c>
      <c r="C100" s="240" t="s">
        <v>613</v>
      </c>
      <c r="D100" s="240" t="s">
        <v>614</v>
      </c>
      <c r="E100" s="264">
        <v>151967.13</v>
      </c>
      <c r="F100" s="264" t="s">
        <v>387</v>
      </c>
      <c r="G100" s="261">
        <f t="shared" si="31"/>
        <v>0</v>
      </c>
      <c r="H100" s="262">
        <v>0</v>
      </c>
      <c r="I100" s="262">
        <f t="shared" si="32"/>
        <v>0</v>
      </c>
      <c r="J100" s="261">
        <f t="shared" si="28"/>
        <v>151967.13</v>
      </c>
      <c r="K100" s="265" t="s">
        <v>433</v>
      </c>
      <c r="L100" s="301">
        <v>39317.032314591801</v>
      </c>
      <c r="M100" s="262">
        <f t="shared" si="29"/>
        <v>112650.0976854082</v>
      </c>
      <c r="N100" s="261">
        <f t="shared" si="33"/>
        <v>0</v>
      </c>
      <c r="O100" s="262">
        <v>2</v>
      </c>
    </row>
    <row r="101" spans="1:15" x14ac:dyDescent="0.25">
      <c r="A101" s="238" t="s">
        <v>615</v>
      </c>
      <c r="B101" s="239">
        <v>456</v>
      </c>
      <c r="C101" s="240" t="s">
        <v>616</v>
      </c>
      <c r="D101" s="240" t="s">
        <v>617</v>
      </c>
      <c r="E101" s="264">
        <v>101300</v>
      </c>
      <c r="F101" s="264" t="s">
        <v>387</v>
      </c>
      <c r="G101" s="261">
        <f t="shared" si="31"/>
        <v>0</v>
      </c>
      <c r="H101" s="262">
        <v>0</v>
      </c>
      <c r="I101" s="262">
        <f t="shared" si="32"/>
        <v>0</v>
      </c>
      <c r="J101" s="261">
        <f t="shared" si="28"/>
        <v>101300</v>
      </c>
      <c r="K101" s="265" t="s">
        <v>433</v>
      </c>
      <c r="L101" s="263">
        <v>9667.2022743948</v>
      </c>
      <c r="M101" s="262">
        <f t="shared" si="29"/>
        <v>91632.797725605196</v>
      </c>
      <c r="N101" s="261">
        <f t="shared" si="33"/>
        <v>0</v>
      </c>
      <c r="O101" s="262">
        <v>2</v>
      </c>
    </row>
    <row r="102" spans="1:15" x14ac:dyDescent="0.25">
      <c r="A102" s="238" t="s">
        <v>618</v>
      </c>
      <c r="B102" s="239">
        <v>456</v>
      </c>
      <c r="C102" s="240" t="s">
        <v>619</v>
      </c>
      <c r="D102" s="240" t="s">
        <v>620</v>
      </c>
      <c r="E102" s="264"/>
      <c r="F102" s="264" t="s">
        <v>387</v>
      </c>
      <c r="G102" s="261">
        <f t="shared" si="31"/>
        <v>0</v>
      </c>
      <c r="H102" s="262">
        <v>0</v>
      </c>
      <c r="I102" s="262">
        <f t="shared" si="32"/>
        <v>0</v>
      </c>
      <c r="J102" s="261">
        <f t="shared" si="28"/>
        <v>0</v>
      </c>
      <c r="K102" s="265" t="s">
        <v>433</v>
      </c>
      <c r="L102" s="263"/>
      <c r="M102" s="262">
        <f t="shared" si="29"/>
        <v>0</v>
      </c>
      <c r="N102" s="261">
        <f t="shared" si="33"/>
        <v>0</v>
      </c>
      <c r="O102" s="262">
        <v>2</v>
      </c>
    </row>
    <row r="103" spans="1:15" x14ac:dyDescent="0.25">
      <c r="A103" s="238" t="s">
        <v>621</v>
      </c>
      <c r="B103" s="239">
        <v>456</v>
      </c>
      <c r="C103" s="240" t="s">
        <v>622</v>
      </c>
      <c r="D103" s="240" t="s">
        <v>623</v>
      </c>
      <c r="E103" s="264"/>
      <c r="F103" s="264" t="s">
        <v>387</v>
      </c>
      <c r="G103" s="261">
        <f t="shared" si="31"/>
        <v>0</v>
      </c>
      <c r="H103" s="262">
        <v>0</v>
      </c>
      <c r="I103" s="262">
        <f t="shared" si="32"/>
        <v>0</v>
      </c>
      <c r="J103" s="261">
        <f t="shared" si="28"/>
        <v>0</v>
      </c>
      <c r="K103" s="265" t="s">
        <v>433</v>
      </c>
      <c r="L103" s="263"/>
      <c r="M103" s="262">
        <f t="shared" si="29"/>
        <v>0</v>
      </c>
      <c r="N103" s="261">
        <f t="shared" si="33"/>
        <v>0</v>
      </c>
      <c r="O103" s="262">
        <v>2</v>
      </c>
    </row>
    <row r="104" spans="1:15" x14ac:dyDescent="0.25">
      <c r="A104" s="238" t="s">
        <v>624</v>
      </c>
      <c r="B104" s="239">
        <v>456</v>
      </c>
      <c r="C104" s="240" t="s">
        <v>625</v>
      </c>
      <c r="D104" s="240" t="s">
        <v>626</v>
      </c>
      <c r="E104" s="264">
        <v>275</v>
      </c>
      <c r="F104" s="264" t="s">
        <v>387</v>
      </c>
      <c r="G104" s="261">
        <f t="shared" si="31"/>
        <v>0</v>
      </c>
      <c r="H104" s="262">
        <v>0</v>
      </c>
      <c r="I104" s="262">
        <f t="shared" si="32"/>
        <v>0</v>
      </c>
      <c r="J104" s="261">
        <f t="shared" si="28"/>
        <v>275</v>
      </c>
      <c r="K104" s="265" t="s">
        <v>433</v>
      </c>
      <c r="L104" s="263">
        <v>275</v>
      </c>
      <c r="M104" s="262">
        <f t="shared" si="29"/>
        <v>0</v>
      </c>
      <c r="N104" s="261">
        <f t="shared" si="33"/>
        <v>0</v>
      </c>
      <c r="O104" s="262">
        <v>2</v>
      </c>
    </row>
    <row r="105" spans="1:15" x14ac:dyDescent="0.25">
      <c r="A105" s="238" t="s">
        <v>627</v>
      </c>
      <c r="B105" s="239">
        <v>456</v>
      </c>
      <c r="C105" s="240" t="s">
        <v>628</v>
      </c>
      <c r="D105" s="240" t="s">
        <v>629</v>
      </c>
      <c r="E105" s="264"/>
      <c r="F105" s="264" t="s">
        <v>387</v>
      </c>
      <c r="G105" s="261">
        <f t="shared" si="31"/>
        <v>0</v>
      </c>
      <c r="H105" s="262">
        <v>0</v>
      </c>
      <c r="I105" s="262">
        <f t="shared" si="32"/>
        <v>0</v>
      </c>
      <c r="J105" s="261">
        <f t="shared" si="28"/>
        <v>0</v>
      </c>
      <c r="K105" s="265" t="s">
        <v>139</v>
      </c>
      <c r="L105" s="263"/>
      <c r="M105" s="262">
        <f t="shared" si="29"/>
        <v>0</v>
      </c>
      <c r="N105" s="261">
        <f t="shared" si="33"/>
        <v>0</v>
      </c>
      <c r="O105" s="262">
        <v>2</v>
      </c>
    </row>
    <row r="106" spans="1:15" x14ac:dyDescent="0.25">
      <c r="A106" s="243" t="s">
        <v>630</v>
      </c>
      <c r="B106" s="239">
        <v>456</v>
      </c>
      <c r="C106" s="240" t="s">
        <v>631</v>
      </c>
      <c r="D106" s="240" t="s">
        <v>632</v>
      </c>
      <c r="E106" s="264"/>
      <c r="F106" s="264" t="s">
        <v>387</v>
      </c>
      <c r="G106" s="261">
        <f t="shared" si="31"/>
        <v>0</v>
      </c>
      <c r="H106" s="262">
        <v>0</v>
      </c>
      <c r="I106" s="262">
        <f t="shared" si="32"/>
        <v>0</v>
      </c>
      <c r="J106" s="261">
        <f t="shared" si="28"/>
        <v>0</v>
      </c>
      <c r="K106" s="265" t="s">
        <v>139</v>
      </c>
      <c r="L106" s="263"/>
      <c r="M106" s="262">
        <f t="shared" si="29"/>
        <v>0</v>
      </c>
      <c r="N106" s="261">
        <f t="shared" si="33"/>
        <v>0</v>
      </c>
      <c r="O106" s="262">
        <v>2</v>
      </c>
    </row>
    <row r="107" spans="1:15" x14ac:dyDescent="0.25">
      <c r="A107" s="302" t="s">
        <v>633</v>
      </c>
      <c r="B107" s="239">
        <v>456</v>
      </c>
      <c r="C107" s="240" t="s">
        <v>634</v>
      </c>
      <c r="D107" s="240" t="s">
        <v>635</v>
      </c>
      <c r="E107" s="264"/>
      <c r="F107" s="264" t="s">
        <v>387</v>
      </c>
      <c r="G107" s="261">
        <f t="shared" si="31"/>
        <v>0</v>
      </c>
      <c r="H107" s="262">
        <v>0</v>
      </c>
      <c r="I107" s="262">
        <f t="shared" si="32"/>
        <v>0</v>
      </c>
      <c r="J107" s="261">
        <f t="shared" si="28"/>
        <v>0</v>
      </c>
      <c r="K107" s="265" t="s">
        <v>139</v>
      </c>
      <c r="L107" s="263"/>
      <c r="M107" s="262">
        <f t="shared" si="29"/>
        <v>0</v>
      </c>
      <c r="N107" s="261">
        <f t="shared" si="33"/>
        <v>0</v>
      </c>
      <c r="O107" s="262">
        <v>2</v>
      </c>
    </row>
    <row r="108" spans="1:15" x14ac:dyDescent="0.25">
      <c r="A108" s="243" t="s">
        <v>636</v>
      </c>
      <c r="B108" s="239">
        <v>456</v>
      </c>
      <c r="C108" s="240" t="s">
        <v>637</v>
      </c>
      <c r="D108" s="240" t="s">
        <v>638</v>
      </c>
      <c r="E108" s="264"/>
      <c r="F108" s="264" t="s">
        <v>387</v>
      </c>
      <c r="G108" s="261">
        <f t="shared" si="31"/>
        <v>0</v>
      </c>
      <c r="H108" s="262">
        <v>0</v>
      </c>
      <c r="I108" s="262">
        <f t="shared" si="32"/>
        <v>0</v>
      </c>
      <c r="J108" s="261">
        <f t="shared" si="28"/>
        <v>0</v>
      </c>
      <c r="K108" s="265" t="s">
        <v>139</v>
      </c>
      <c r="L108" s="263"/>
      <c r="M108" s="262">
        <f t="shared" si="29"/>
        <v>0</v>
      </c>
      <c r="N108" s="261">
        <f t="shared" si="33"/>
        <v>0</v>
      </c>
      <c r="O108" s="262">
        <v>2</v>
      </c>
    </row>
    <row r="109" spans="1:15" x14ac:dyDescent="0.25">
      <c r="A109" s="238" t="s">
        <v>639</v>
      </c>
      <c r="B109" s="239">
        <v>456</v>
      </c>
      <c r="C109" s="240" t="s">
        <v>640</v>
      </c>
      <c r="D109" s="240" t="s">
        <v>641</v>
      </c>
      <c r="E109" s="264"/>
      <c r="F109" s="264" t="s">
        <v>387</v>
      </c>
      <c r="G109" s="261">
        <f t="shared" si="31"/>
        <v>0</v>
      </c>
      <c r="H109" s="262">
        <v>0</v>
      </c>
      <c r="I109" s="262">
        <f t="shared" si="32"/>
        <v>0</v>
      </c>
      <c r="J109" s="261">
        <f t="shared" si="28"/>
        <v>0</v>
      </c>
      <c r="K109" s="265" t="s">
        <v>139</v>
      </c>
      <c r="L109" s="301"/>
      <c r="M109" s="262">
        <f t="shared" si="29"/>
        <v>0</v>
      </c>
      <c r="N109" s="261">
        <f t="shared" si="33"/>
        <v>0</v>
      </c>
      <c r="O109" s="262">
        <v>2</v>
      </c>
    </row>
    <row r="110" spans="1:15" x14ac:dyDescent="0.25">
      <c r="A110" s="238" t="s">
        <v>642</v>
      </c>
      <c r="B110" s="239">
        <v>456</v>
      </c>
      <c r="C110" s="240" t="s">
        <v>643</v>
      </c>
      <c r="D110" s="240" t="s">
        <v>644</v>
      </c>
      <c r="E110" s="264">
        <v>97449.26</v>
      </c>
      <c r="F110" s="264" t="s">
        <v>388</v>
      </c>
      <c r="G110" s="261">
        <f t="shared" si="31"/>
        <v>0</v>
      </c>
      <c r="H110" s="262">
        <v>0</v>
      </c>
      <c r="I110" s="262">
        <f t="shared" si="32"/>
        <v>0</v>
      </c>
      <c r="J110" s="261">
        <f t="shared" si="28"/>
        <v>0</v>
      </c>
      <c r="K110" s="261"/>
      <c r="L110" s="263"/>
      <c r="M110" s="262">
        <f t="shared" si="29"/>
        <v>0</v>
      </c>
      <c r="N110" s="261">
        <f t="shared" si="33"/>
        <v>97449.26</v>
      </c>
      <c r="O110" s="262">
        <v>6</v>
      </c>
    </row>
    <row r="111" spans="1:15" x14ac:dyDescent="0.25">
      <c r="A111" s="238" t="s">
        <v>645</v>
      </c>
      <c r="B111" s="239">
        <v>456</v>
      </c>
      <c r="C111" s="240" t="s">
        <v>646</v>
      </c>
      <c r="D111" s="240" t="s">
        <v>647</v>
      </c>
      <c r="E111" s="264">
        <v>24069278.530000001</v>
      </c>
      <c r="F111" s="264" t="s">
        <v>386</v>
      </c>
      <c r="G111" s="261">
        <f t="shared" si="31"/>
        <v>24069278.530000001</v>
      </c>
      <c r="H111" s="262">
        <v>0</v>
      </c>
      <c r="I111" s="262">
        <f t="shared" si="32"/>
        <v>24069278.530000001</v>
      </c>
      <c r="J111" s="261">
        <f t="shared" si="28"/>
        <v>0</v>
      </c>
      <c r="K111" s="261"/>
      <c r="L111" s="263"/>
      <c r="M111" s="262">
        <f t="shared" si="29"/>
        <v>0</v>
      </c>
      <c r="N111" s="261">
        <f t="shared" si="33"/>
        <v>0</v>
      </c>
      <c r="O111" s="262">
        <v>4</v>
      </c>
    </row>
    <row r="112" spans="1:15" x14ac:dyDescent="0.25">
      <c r="A112" s="238" t="s">
        <v>648</v>
      </c>
      <c r="B112" s="239">
        <v>456</v>
      </c>
      <c r="C112" s="240" t="s">
        <v>649</v>
      </c>
      <c r="D112" s="240" t="s">
        <v>650</v>
      </c>
      <c r="E112" s="264"/>
      <c r="F112" s="264" t="s">
        <v>388</v>
      </c>
      <c r="G112" s="261">
        <f t="shared" si="31"/>
        <v>0</v>
      </c>
      <c r="H112" s="262">
        <v>0</v>
      </c>
      <c r="I112" s="262">
        <f t="shared" si="32"/>
        <v>0</v>
      </c>
      <c r="J112" s="261">
        <f t="shared" si="28"/>
        <v>0</v>
      </c>
      <c r="K112" s="261"/>
      <c r="L112" s="263"/>
      <c r="M112" s="262">
        <f t="shared" si="29"/>
        <v>0</v>
      </c>
      <c r="N112" s="261">
        <f t="shared" si="33"/>
        <v>0</v>
      </c>
      <c r="O112" s="262">
        <v>6</v>
      </c>
    </row>
    <row r="113" spans="1:15" x14ac:dyDescent="0.25">
      <c r="A113" s="238" t="s">
        <v>651</v>
      </c>
      <c r="B113" s="239">
        <v>456</v>
      </c>
      <c r="C113" s="240" t="s">
        <v>652</v>
      </c>
      <c r="D113" s="240" t="s">
        <v>653</v>
      </c>
      <c r="E113" s="264">
        <v>-34541319.299999997</v>
      </c>
      <c r="F113" s="264" t="s">
        <v>388</v>
      </c>
      <c r="G113" s="261">
        <f t="shared" si="31"/>
        <v>0</v>
      </c>
      <c r="H113" s="262">
        <v>0</v>
      </c>
      <c r="I113" s="262">
        <f t="shared" si="32"/>
        <v>0</v>
      </c>
      <c r="J113" s="261">
        <f t="shared" si="28"/>
        <v>0</v>
      </c>
      <c r="K113" s="261"/>
      <c r="L113" s="263"/>
      <c r="M113" s="262">
        <f t="shared" si="29"/>
        <v>0</v>
      </c>
      <c r="N113" s="261">
        <f t="shared" si="33"/>
        <v>-34541319.299999997</v>
      </c>
      <c r="O113" s="262">
        <v>6</v>
      </c>
    </row>
    <row r="114" spans="1:15" x14ac:dyDescent="0.25">
      <c r="A114" s="238" t="s">
        <v>654</v>
      </c>
      <c r="B114" s="239">
        <v>456</v>
      </c>
      <c r="C114" s="240" t="s">
        <v>655</v>
      </c>
      <c r="D114" s="240" t="s">
        <v>656</v>
      </c>
      <c r="E114" s="264"/>
      <c r="F114" s="264" t="s">
        <v>388</v>
      </c>
      <c r="G114" s="261">
        <f t="shared" si="31"/>
        <v>0</v>
      </c>
      <c r="H114" s="262">
        <v>0</v>
      </c>
      <c r="I114" s="262">
        <f t="shared" si="32"/>
        <v>0</v>
      </c>
      <c r="J114" s="261">
        <f t="shared" si="28"/>
        <v>0</v>
      </c>
      <c r="K114" s="261"/>
      <c r="L114" s="263"/>
      <c r="M114" s="262">
        <f t="shared" si="29"/>
        <v>0</v>
      </c>
      <c r="N114" s="261">
        <f t="shared" si="33"/>
        <v>0</v>
      </c>
      <c r="O114" s="262">
        <v>6</v>
      </c>
    </row>
    <row r="115" spans="1:15" x14ac:dyDescent="0.25">
      <c r="A115" s="238" t="s">
        <v>657</v>
      </c>
      <c r="B115" s="239">
        <v>456</v>
      </c>
      <c r="C115" s="240" t="s">
        <v>658</v>
      </c>
      <c r="D115" s="240" t="s">
        <v>659</v>
      </c>
      <c r="E115" s="264">
        <v>34541319.299999997</v>
      </c>
      <c r="F115" s="264" t="s">
        <v>388</v>
      </c>
      <c r="G115" s="261">
        <f t="shared" si="31"/>
        <v>0</v>
      </c>
      <c r="H115" s="262">
        <v>0</v>
      </c>
      <c r="I115" s="262">
        <f t="shared" si="32"/>
        <v>0</v>
      </c>
      <c r="J115" s="261">
        <f t="shared" si="28"/>
        <v>0</v>
      </c>
      <c r="K115" s="261"/>
      <c r="L115" s="263"/>
      <c r="M115" s="262">
        <f t="shared" si="29"/>
        <v>0</v>
      </c>
      <c r="N115" s="261">
        <f t="shared" si="33"/>
        <v>34541319.299999997</v>
      </c>
      <c r="O115" s="262">
        <v>6</v>
      </c>
    </row>
    <row r="116" spans="1:15" x14ac:dyDescent="0.25">
      <c r="A116" s="238" t="s">
        <v>660</v>
      </c>
      <c r="B116" s="239">
        <v>456</v>
      </c>
      <c r="C116" s="240" t="s">
        <v>661</v>
      </c>
      <c r="D116" s="240" t="s">
        <v>662</v>
      </c>
      <c r="E116" s="264"/>
      <c r="F116" s="264" t="s">
        <v>388</v>
      </c>
      <c r="G116" s="261">
        <f t="shared" si="31"/>
        <v>0</v>
      </c>
      <c r="H116" s="262">
        <v>0</v>
      </c>
      <c r="I116" s="262">
        <f t="shared" si="32"/>
        <v>0</v>
      </c>
      <c r="J116" s="261">
        <f t="shared" si="28"/>
        <v>0</v>
      </c>
      <c r="K116" s="261"/>
      <c r="L116" s="263"/>
      <c r="M116" s="262">
        <f t="shared" si="29"/>
        <v>0</v>
      </c>
      <c r="N116" s="261">
        <f t="shared" si="33"/>
        <v>0</v>
      </c>
      <c r="O116" s="262">
        <v>6</v>
      </c>
    </row>
    <row r="117" spans="1:15" x14ac:dyDescent="0.25">
      <c r="A117" s="238" t="s">
        <v>663</v>
      </c>
      <c r="B117" s="239">
        <v>456</v>
      </c>
      <c r="C117" s="240" t="s">
        <v>664</v>
      </c>
      <c r="D117" s="240" t="s">
        <v>665</v>
      </c>
      <c r="E117" s="264"/>
      <c r="F117" s="264" t="s">
        <v>388</v>
      </c>
      <c r="G117" s="261">
        <f t="shared" si="31"/>
        <v>0</v>
      </c>
      <c r="H117" s="262">
        <v>0</v>
      </c>
      <c r="I117" s="262">
        <f t="shared" si="32"/>
        <v>0</v>
      </c>
      <c r="J117" s="261">
        <f t="shared" si="28"/>
        <v>0</v>
      </c>
      <c r="K117" s="261"/>
      <c r="L117" s="263"/>
      <c r="M117" s="262">
        <f t="shared" si="29"/>
        <v>0</v>
      </c>
      <c r="N117" s="261">
        <f t="shared" si="33"/>
        <v>0</v>
      </c>
      <c r="O117" s="262">
        <v>6</v>
      </c>
    </row>
    <row r="118" spans="1:15" x14ac:dyDescent="0.25">
      <c r="A118" s="238" t="s">
        <v>666</v>
      </c>
      <c r="B118" s="239">
        <v>456</v>
      </c>
      <c r="C118" s="240" t="s">
        <v>667</v>
      </c>
      <c r="D118" s="240" t="s">
        <v>668</v>
      </c>
      <c r="E118" s="264"/>
      <c r="F118" s="264" t="s">
        <v>387</v>
      </c>
      <c r="G118" s="261">
        <f t="shared" si="31"/>
        <v>0</v>
      </c>
      <c r="H118" s="262">
        <v>0</v>
      </c>
      <c r="I118" s="262">
        <f t="shared" si="32"/>
        <v>0</v>
      </c>
      <c r="J118" s="261">
        <f t="shared" si="28"/>
        <v>0</v>
      </c>
      <c r="K118" s="265" t="s">
        <v>139</v>
      </c>
      <c r="L118" s="263"/>
      <c r="M118" s="262">
        <f t="shared" si="29"/>
        <v>0</v>
      </c>
      <c r="N118" s="261">
        <f t="shared" si="33"/>
        <v>0</v>
      </c>
      <c r="O118" s="262">
        <v>2</v>
      </c>
    </row>
    <row r="119" spans="1:15" x14ac:dyDescent="0.25">
      <c r="A119" s="238" t="s">
        <v>669</v>
      </c>
      <c r="B119" s="239">
        <v>456</v>
      </c>
      <c r="C119" s="240" t="s">
        <v>670</v>
      </c>
      <c r="D119" s="240" t="s">
        <v>671</v>
      </c>
      <c r="E119" s="301"/>
      <c r="F119" s="264" t="s">
        <v>387</v>
      </c>
      <c r="G119" s="261">
        <f t="shared" si="31"/>
        <v>0</v>
      </c>
      <c r="H119" s="262">
        <v>0</v>
      </c>
      <c r="I119" s="262">
        <f t="shared" si="32"/>
        <v>0</v>
      </c>
      <c r="J119" s="261">
        <f t="shared" si="28"/>
        <v>0</v>
      </c>
      <c r="K119" s="265" t="s">
        <v>139</v>
      </c>
      <c r="L119" s="301"/>
      <c r="M119" s="262">
        <f t="shared" si="29"/>
        <v>0</v>
      </c>
      <c r="N119" s="261">
        <f t="shared" si="33"/>
        <v>0</v>
      </c>
      <c r="O119" s="262">
        <v>2</v>
      </c>
    </row>
    <row r="120" spans="1:15" x14ac:dyDescent="0.25">
      <c r="A120" s="238" t="s">
        <v>672</v>
      </c>
      <c r="B120" s="239">
        <v>456</v>
      </c>
      <c r="C120" s="240" t="s">
        <v>673</v>
      </c>
      <c r="D120" s="240" t="s">
        <v>674</v>
      </c>
      <c r="E120" s="264">
        <v>114014.77</v>
      </c>
      <c r="F120" s="264" t="s">
        <v>386</v>
      </c>
      <c r="G120" s="261">
        <f t="shared" si="31"/>
        <v>114014.77</v>
      </c>
      <c r="H120" s="262">
        <v>0</v>
      </c>
      <c r="I120" s="262">
        <f t="shared" si="32"/>
        <v>114014.77</v>
      </c>
      <c r="J120" s="261">
        <f t="shared" si="28"/>
        <v>0</v>
      </c>
      <c r="K120" s="261"/>
      <c r="L120" s="263"/>
      <c r="M120" s="262">
        <f t="shared" si="29"/>
        <v>0</v>
      </c>
      <c r="N120" s="261">
        <f t="shared" si="33"/>
        <v>0</v>
      </c>
      <c r="O120" s="262">
        <v>1</v>
      </c>
    </row>
    <row r="121" spans="1:15" x14ac:dyDescent="0.25">
      <c r="A121" s="238" t="s">
        <v>675</v>
      </c>
      <c r="B121" s="239">
        <v>456</v>
      </c>
      <c r="C121" s="240" t="s">
        <v>676</v>
      </c>
      <c r="D121" s="240" t="s">
        <v>677</v>
      </c>
      <c r="E121" s="264">
        <v>6324920.3499999996</v>
      </c>
      <c r="F121" s="264" t="s">
        <v>386</v>
      </c>
      <c r="G121" s="261">
        <f t="shared" si="31"/>
        <v>6324920.3499999996</v>
      </c>
      <c r="H121" s="262">
        <v>0</v>
      </c>
      <c r="I121" s="262">
        <f t="shared" si="32"/>
        <v>6324920.3499999996</v>
      </c>
      <c r="J121" s="261">
        <f t="shared" si="28"/>
        <v>0</v>
      </c>
      <c r="K121" s="261"/>
      <c r="L121" s="263"/>
      <c r="M121" s="262">
        <f t="shared" si="29"/>
        <v>0</v>
      </c>
      <c r="N121" s="261">
        <f t="shared" si="33"/>
        <v>0</v>
      </c>
      <c r="O121" s="262">
        <v>4</v>
      </c>
    </row>
    <row r="122" spans="1:15" x14ac:dyDescent="0.25">
      <c r="A122" s="238" t="s">
        <v>678</v>
      </c>
      <c r="B122" s="239">
        <v>456</v>
      </c>
      <c r="C122" s="240" t="s">
        <v>679</v>
      </c>
      <c r="D122" s="240" t="s">
        <v>680</v>
      </c>
      <c r="E122" s="264">
        <v>117724</v>
      </c>
      <c r="F122" s="264" t="s">
        <v>386</v>
      </c>
      <c r="G122" s="261">
        <f t="shared" si="31"/>
        <v>117724</v>
      </c>
      <c r="H122" s="262">
        <v>0</v>
      </c>
      <c r="I122" s="262">
        <f t="shared" si="32"/>
        <v>117724</v>
      </c>
      <c r="J122" s="261">
        <f t="shared" si="28"/>
        <v>0</v>
      </c>
      <c r="K122" s="261"/>
      <c r="L122" s="263"/>
      <c r="M122" s="262">
        <f t="shared" si="29"/>
        <v>0</v>
      </c>
      <c r="N122" s="261">
        <f t="shared" si="33"/>
        <v>0</v>
      </c>
      <c r="O122" s="262">
        <v>4</v>
      </c>
    </row>
    <row r="123" spans="1:15" x14ac:dyDescent="0.25">
      <c r="A123" s="238" t="s">
        <v>681</v>
      </c>
      <c r="B123" s="239">
        <v>456</v>
      </c>
      <c r="C123" s="240" t="s">
        <v>682</v>
      </c>
      <c r="D123" s="240" t="s">
        <v>683</v>
      </c>
      <c r="E123" s="264"/>
      <c r="F123" s="264" t="s">
        <v>386</v>
      </c>
      <c r="G123" s="261">
        <f t="shared" si="31"/>
        <v>0</v>
      </c>
      <c r="H123" s="262">
        <v>0</v>
      </c>
      <c r="I123" s="262">
        <f t="shared" si="32"/>
        <v>0</v>
      </c>
      <c r="J123" s="261">
        <f t="shared" si="28"/>
        <v>0</v>
      </c>
      <c r="K123" s="261"/>
      <c r="L123" s="263"/>
      <c r="M123" s="262">
        <f t="shared" si="29"/>
        <v>0</v>
      </c>
      <c r="N123" s="261">
        <f t="shared" si="33"/>
        <v>0</v>
      </c>
      <c r="O123" s="262">
        <v>4</v>
      </c>
    </row>
    <row r="124" spans="1:15" x14ac:dyDescent="0.25">
      <c r="A124" s="238" t="s">
        <v>684</v>
      </c>
      <c r="B124" s="239">
        <v>456</v>
      </c>
      <c r="C124" s="240" t="s">
        <v>685</v>
      </c>
      <c r="D124" s="240" t="s">
        <v>686</v>
      </c>
      <c r="E124" s="264"/>
      <c r="F124" s="264" t="s">
        <v>386</v>
      </c>
      <c r="G124" s="261">
        <f t="shared" si="31"/>
        <v>0</v>
      </c>
      <c r="H124" s="262">
        <v>0</v>
      </c>
      <c r="I124" s="262">
        <f t="shared" si="32"/>
        <v>0</v>
      </c>
      <c r="J124" s="261">
        <f t="shared" si="28"/>
        <v>0</v>
      </c>
      <c r="K124" s="261"/>
      <c r="L124" s="263"/>
      <c r="M124" s="262">
        <f t="shared" si="29"/>
        <v>0</v>
      </c>
      <c r="N124" s="261">
        <f t="shared" si="33"/>
        <v>0</v>
      </c>
      <c r="O124" s="262">
        <v>1</v>
      </c>
    </row>
    <row r="125" spans="1:15" x14ac:dyDescent="0.25">
      <c r="A125" s="238" t="s">
        <v>687</v>
      </c>
      <c r="B125" s="239">
        <v>456</v>
      </c>
      <c r="C125" s="240" t="s">
        <v>688</v>
      </c>
      <c r="D125" s="240" t="s">
        <v>689</v>
      </c>
      <c r="E125" s="264"/>
      <c r="F125" s="264" t="s">
        <v>386</v>
      </c>
      <c r="G125" s="261">
        <f t="shared" si="31"/>
        <v>0</v>
      </c>
      <c r="H125" s="262">
        <v>0</v>
      </c>
      <c r="I125" s="262">
        <f t="shared" si="32"/>
        <v>0</v>
      </c>
      <c r="J125" s="261">
        <f t="shared" si="28"/>
        <v>0</v>
      </c>
      <c r="K125" s="261"/>
      <c r="L125" s="263"/>
      <c r="M125" s="262">
        <f t="shared" si="29"/>
        <v>0</v>
      </c>
      <c r="N125" s="261">
        <f t="shared" si="33"/>
        <v>0</v>
      </c>
      <c r="O125" s="262">
        <v>4</v>
      </c>
    </row>
    <row r="126" spans="1:15" x14ac:dyDescent="0.25">
      <c r="A126" s="238" t="s">
        <v>690</v>
      </c>
      <c r="B126" s="239">
        <v>456</v>
      </c>
      <c r="C126" s="240" t="s">
        <v>691</v>
      </c>
      <c r="D126" s="240" t="s">
        <v>692</v>
      </c>
      <c r="E126" s="264">
        <v>3337298.66</v>
      </c>
      <c r="F126" s="264" t="s">
        <v>386</v>
      </c>
      <c r="G126" s="261">
        <f t="shared" si="31"/>
        <v>3337298.66</v>
      </c>
      <c r="H126" s="263">
        <v>22184.161970000001</v>
      </c>
      <c r="I126" s="262">
        <f t="shared" si="32"/>
        <v>3315114.4980300004</v>
      </c>
      <c r="J126" s="261">
        <f t="shared" si="28"/>
        <v>0</v>
      </c>
      <c r="K126" s="261"/>
      <c r="L126" s="263"/>
      <c r="M126" s="262">
        <f t="shared" si="29"/>
        <v>0</v>
      </c>
      <c r="N126" s="261">
        <f t="shared" si="33"/>
        <v>0</v>
      </c>
      <c r="O126" s="262">
        <v>8</v>
      </c>
    </row>
    <row r="127" spans="1:15" x14ac:dyDescent="0.25">
      <c r="A127" s="238" t="s">
        <v>693</v>
      </c>
      <c r="B127" s="239">
        <v>456</v>
      </c>
      <c r="C127" s="240" t="s">
        <v>694</v>
      </c>
      <c r="D127" s="240" t="s">
        <v>695</v>
      </c>
      <c r="E127" s="264">
        <v>10857864.07</v>
      </c>
      <c r="F127" s="264" t="s">
        <v>386</v>
      </c>
      <c r="G127" s="261">
        <f t="shared" si="31"/>
        <v>10857864.07</v>
      </c>
      <c r="H127" s="262">
        <v>0</v>
      </c>
      <c r="I127" s="262">
        <f t="shared" si="32"/>
        <v>10857864.07</v>
      </c>
      <c r="J127" s="261">
        <f t="shared" si="28"/>
        <v>0</v>
      </c>
      <c r="K127" s="261"/>
      <c r="L127" s="263"/>
      <c r="M127" s="262">
        <f t="shared" si="29"/>
        <v>0</v>
      </c>
      <c r="N127" s="261">
        <f t="shared" si="33"/>
        <v>0</v>
      </c>
      <c r="O127" s="262">
        <v>4</v>
      </c>
    </row>
    <row r="128" spans="1:15" x14ac:dyDescent="0.25">
      <c r="A128" s="238" t="s">
        <v>696</v>
      </c>
      <c r="B128" s="239">
        <v>456</v>
      </c>
      <c r="C128" s="240" t="s">
        <v>697</v>
      </c>
      <c r="D128" s="240" t="s">
        <v>698</v>
      </c>
      <c r="E128" s="264">
        <v>2088.4499999999998</v>
      </c>
      <c r="F128" s="264" t="s">
        <v>386</v>
      </c>
      <c r="G128" s="261">
        <f t="shared" si="31"/>
        <v>2088.4499999999998</v>
      </c>
      <c r="H128" s="262">
        <v>0</v>
      </c>
      <c r="I128" s="262">
        <f t="shared" si="32"/>
        <v>2088.4499999999998</v>
      </c>
      <c r="J128" s="261">
        <f t="shared" si="28"/>
        <v>0</v>
      </c>
      <c r="K128" s="261"/>
      <c r="L128" s="263"/>
      <c r="M128" s="262">
        <f t="shared" si="29"/>
        <v>0</v>
      </c>
      <c r="N128" s="261">
        <f t="shared" si="33"/>
        <v>0</v>
      </c>
      <c r="O128" s="262">
        <v>4</v>
      </c>
    </row>
    <row r="129" spans="1:15" x14ac:dyDescent="0.25">
      <c r="A129" s="238" t="s">
        <v>699</v>
      </c>
      <c r="B129" s="239">
        <v>456</v>
      </c>
      <c r="C129" s="240" t="s">
        <v>700</v>
      </c>
      <c r="D129" s="240" t="s">
        <v>701</v>
      </c>
      <c r="E129" s="264">
        <v>2638010.84</v>
      </c>
      <c r="F129" s="264" t="s">
        <v>386</v>
      </c>
      <c r="G129" s="261">
        <f t="shared" si="31"/>
        <v>2638010.84</v>
      </c>
      <c r="H129" s="262">
        <v>0</v>
      </c>
      <c r="I129" s="262">
        <f t="shared" si="32"/>
        <v>2638010.84</v>
      </c>
      <c r="J129" s="261">
        <f t="shared" si="28"/>
        <v>0</v>
      </c>
      <c r="K129" s="261"/>
      <c r="L129" s="263"/>
      <c r="M129" s="262">
        <f t="shared" si="29"/>
        <v>0</v>
      </c>
      <c r="N129" s="261">
        <f t="shared" si="33"/>
        <v>0</v>
      </c>
      <c r="O129" s="262">
        <v>6</v>
      </c>
    </row>
    <row r="130" spans="1:15" x14ac:dyDescent="0.25">
      <c r="A130" s="238" t="s">
        <v>702</v>
      </c>
      <c r="B130" s="239">
        <v>456</v>
      </c>
      <c r="C130" s="238" t="s">
        <v>539</v>
      </c>
      <c r="D130" s="240" t="s">
        <v>540</v>
      </c>
      <c r="E130" s="264"/>
      <c r="F130" s="264" t="s">
        <v>386</v>
      </c>
      <c r="G130" s="261">
        <f t="shared" si="31"/>
        <v>0</v>
      </c>
      <c r="H130" s="262">
        <v>0</v>
      </c>
      <c r="I130" s="262">
        <f t="shared" si="32"/>
        <v>0</v>
      </c>
      <c r="J130" s="261">
        <f t="shared" si="28"/>
        <v>0</v>
      </c>
      <c r="K130" s="261"/>
      <c r="L130" s="263"/>
      <c r="M130" s="262">
        <f t="shared" si="29"/>
        <v>0</v>
      </c>
      <c r="N130" s="261">
        <f t="shared" si="33"/>
        <v>0</v>
      </c>
      <c r="O130" s="262">
        <v>1</v>
      </c>
    </row>
    <row r="131" spans="1:15" x14ac:dyDescent="0.25">
      <c r="A131" s="238" t="s">
        <v>703</v>
      </c>
      <c r="B131" s="239">
        <v>456</v>
      </c>
      <c r="C131" s="239">
        <v>4186911</v>
      </c>
      <c r="D131" s="266" t="s">
        <v>704</v>
      </c>
      <c r="E131" s="264">
        <v>3353919</v>
      </c>
      <c r="F131" s="264" t="s">
        <v>388</v>
      </c>
      <c r="G131" s="261">
        <f t="shared" si="31"/>
        <v>0</v>
      </c>
      <c r="H131" s="262">
        <v>0</v>
      </c>
      <c r="I131" s="262">
        <f t="shared" si="32"/>
        <v>0</v>
      </c>
      <c r="J131" s="261">
        <f t="shared" si="28"/>
        <v>0</v>
      </c>
      <c r="K131" s="261"/>
      <c r="L131" s="263"/>
      <c r="M131" s="262">
        <f t="shared" si="29"/>
        <v>0</v>
      </c>
      <c r="N131" s="261">
        <f t="shared" si="33"/>
        <v>3353919</v>
      </c>
      <c r="O131" s="262">
        <v>6</v>
      </c>
    </row>
    <row r="132" spans="1:15" x14ac:dyDescent="0.25">
      <c r="A132" s="238" t="s">
        <v>630</v>
      </c>
      <c r="B132" s="239">
        <v>456</v>
      </c>
      <c r="C132" s="239">
        <v>4186925</v>
      </c>
      <c r="D132" s="266" t="s">
        <v>705</v>
      </c>
      <c r="E132" s="264">
        <v>420965361.60000002</v>
      </c>
      <c r="F132" s="264" t="s">
        <v>388</v>
      </c>
      <c r="G132" s="261">
        <f t="shared" si="31"/>
        <v>0</v>
      </c>
      <c r="H132" s="262">
        <v>0</v>
      </c>
      <c r="I132" s="262">
        <f t="shared" si="32"/>
        <v>0</v>
      </c>
      <c r="J132" s="261">
        <f t="shared" si="28"/>
        <v>0</v>
      </c>
      <c r="K132" s="261"/>
      <c r="L132" s="263"/>
      <c r="M132" s="262">
        <f t="shared" si="29"/>
        <v>0</v>
      </c>
      <c r="N132" s="261">
        <f t="shared" si="33"/>
        <v>420965361.60000002</v>
      </c>
      <c r="O132" s="262">
        <v>6</v>
      </c>
    </row>
    <row r="133" spans="1:15" x14ac:dyDescent="0.25">
      <c r="A133" s="238" t="s">
        <v>633</v>
      </c>
      <c r="B133" s="239">
        <v>456</v>
      </c>
      <c r="C133" s="239">
        <v>4186132</v>
      </c>
      <c r="D133" s="266" t="s">
        <v>706</v>
      </c>
      <c r="E133" s="264">
        <v>614774.21</v>
      </c>
      <c r="F133" s="264" t="s">
        <v>386</v>
      </c>
      <c r="G133" s="261">
        <f t="shared" si="31"/>
        <v>614774.21</v>
      </c>
      <c r="H133" s="262">
        <v>0</v>
      </c>
      <c r="I133" s="262">
        <f t="shared" si="32"/>
        <v>614774.21</v>
      </c>
      <c r="J133" s="261">
        <f t="shared" si="28"/>
        <v>0</v>
      </c>
      <c r="K133" s="261"/>
      <c r="L133" s="263"/>
      <c r="M133" s="262">
        <f t="shared" si="29"/>
        <v>0</v>
      </c>
      <c r="N133" s="261">
        <f t="shared" si="33"/>
        <v>0</v>
      </c>
      <c r="O133" s="262">
        <v>4</v>
      </c>
    </row>
    <row r="134" spans="1:15" x14ac:dyDescent="0.25">
      <c r="A134" s="238" t="s">
        <v>636</v>
      </c>
      <c r="B134" s="239">
        <v>456</v>
      </c>
      <c r="C134" s="239">
        <v>4186116</v>
      </c>
      <c r="D134" s="266" t="s">
        <v>707</v>
      </c>
      <c r="E134" s="264"/>
      <c r="F134" s="264" t="s">
        <v>386</v>
      </c>
      <c r="G134" s="261">
        <f t="shared" si="31"/>
        <v>0</v>
      </c>
      <c r="H134" s="262">
        <v>0</v>
      </c>
      <c r="I134" s="262">
        <f t="shared" si="32"/>
        <v>0</v>
      </c>
      <c r="J134" s="261">
        <f t="shared" si="28"/>
        <v>0</v>
      </c>
      <c r="K134" s="261"/>
      <c r="L134" s="263"/>
      <c r="M134" s="262">
        <f t="shared" si="29"/>
        <v>0</v>
      </c>
      <c r="N134" s="261">
        <f t="shared" si="33"/>
        <v>0</v>
      </c>
      <c r="O134" s="262">
        <v>4</v>
      </c>
    </row>
    <row r="135" spans="1:15" x14ac:dyDescent="0.25">
      <c r="A135" s="238" t="s">
        <v>708</v>
      </c>
      <c r="B135" s="239">
        <v>456</v>
      </c>
      <c r="C135" s="239">
        <v>4186115</v>
      </c>
      <c r="D135" t="s">
        <v>709</v>
      </c>
      <c r="E135" s="264"/>
      <c r="F135" s="264" t="s">
        <v>386</v>
      </c>
      <c r="G135" s="261">
        <f t="shared" si="31"/>
        <v>0</v>
      </c>
      <c r="H135" s="262">
        <v>0</v>
      </c>
      <c r="I135" s="262">
        <f t="shared" si="32"/>
        <v>0</v>
      </c>
      <c r="J135" s="261">
        <f t="shared" si="28"/>
        <v>0</v>
      </c>
      <c r="K135" s="261"/>
      <c r="L135" s="263"/>
      <c r="M135" s="262">
        <f t="shared" si="29"/>
        <v>0</v>
      </c>
      <c r="N135" s="261">
        <f t="shared" si="33"/>
        <v>0</v>
      </c>
      <c r="O135" s="262">
        <v>4</v>
      </c>
    </row>
    <row r="136" spans="1:15" x14ac:dyDescent="0.25">
      <c r="A136" s="238" t="s">
        <v>710</v>
      </c>
      <c r="B136" s="239">
        <v>456</v>
      </c>
      <c r="C136" s="239">
        <v>4186156</v>
      </c>
      <c r="D136" s="266" t="s">
        <v>711</v>
      </c>
      <c r="E136" s="264">
        <v>101362.4</v>
      </c>
      <c r="F136" s="264" t="s">
        <v>388</v>
      </c>
      <c r="G136" s="261">
        <f>H136+I136</f>
        <v>6172.9701599999999</v>
      </c>
      <c r="H136" s="262">
        <f>E136*D267</f>
        <v>6172.9701599999999</v>
      </c>
      <c r="I136" s="262">
        <v>0</v>
      </c>
      <c r="J136" s="261">
        <f t="shared" si="28"/>
        <v>0</v>
      </c>
      <c r="K136" s="261"/>
      <c r="L136" s="263"/>
      <c r="M136" s="262">
        <f>J136-L136</f>
        <v>0</v>
      </c>
      <c r="N136" s="261">
        <f>IF(F136=$N$2,E136-H136,0)</f>
        <v>95189.429839999997</v>
      </c>
      <c r="O136" s="262" t="s">
        <v>507</v>
      </c>
    </row>
    <row r="137" spans="1:15" x14ac:dyDescent="0.25">
      <c r="A137" s="238" t="s">
        <v>712</v>
      </c>
      <c r="B137" s="239">
        <v>456</v>
      </c>
      <c r="C137" s="240" t="s">
        <v>713</v>
      </c>
      <c r="D137" s="266" t="s">
        <v>714</v>
      </c>
      <c r="E137" s="264">
        <v>85924664.650000006</v>
      </c>
      <c r="F137" s="264" t="s">
        <v>386</v>
      </c>
      <c r="G137" s="261">
        <f t="shared" si="31"/>
        <v>85924664.650000006</v>
      </c>
      <c r="H137" s="262">
        <v>0</v>
      </c>
      <c r="I137" s="262">
        <f t="shared" si="32"/>
        <v>85924664.650000006</v>
      </c>
      <c r="J137" s="261">
        <f t="shared" si="28"/>
        <v>0</v>
      </c>
      <c r="K137" s="261"/>
      <c r="L137" s="263"/>
      <c r="M137" s="262">
        <f t="shared" si="29"/>
        <v>0</v>
      </c>
      <c r="N137" s="261">
        <f>IF(F137=$N$2,E137,0)</f>
        <v>0</v>
      </c>
      <c r="O137" s="262">
        <v>4</v>
      </c>
    </row>
    <row r="138" spans="1:15" x14ac:dyDescent="0.25">
      <c r="A138" s="238" t="s">
        <v>715</v>
      </c>
      <c r="B138" s="239">
        <v>456</v>
      </c>
      <c r="C138" s="240" t="s">
        <v>578</v>
      </c>
      <c r="D138" s="266" t="s">
        <v>716</v>
      </c>
      <c r="E138" s="264"/>
      <c r="F138" s="264" t="s">
        <v>386</v>
      </c>
      <c r="G138" s="261">
        <f t="shared" si="31"/>
        <v>0</v>
      </c>
      <c r="H138" s="262">
        <f>G138</f>
        <v>0</v>
      </c>
      <c r="I138" s="262">
        <f t="shared" si="32"/>
        <v>0</v>
      </c>
      <c r="J138" s="261">
        <f t="shared" si="28"/>
        <v>0</v>
      </c>
      <c r="K138" s="261"/>
      <c r="L138" s="263"/>
      <c r="M138" s="262">
        <f t="shared" si="29"/>
        <v>0</v>
      </c>
      <c r="N138" s="261">
        <f>IF(F138=$N$2,E138,0)</f>
        <v>0</v>
      </c>
      <c r="O138" s="262">
        <v>5</v>
      </c>
    </row>
    <row r="139" spans="1:15" x14ac:dyDescent="0.25">
      <c r="A139" s="238" t="s">
        <v>717</v>
      </c>
      <c r="B139" s="239">
        <v>456</v>
      </c>
      <c r="C139" s="239">
        <v>4186732</v>
      </c>
      <c r="D139" s="266" t="s">
        <v>718</v>
      </c>
      <c r="E139" s="264"/>
      <c r="F139" s="264" t="s">
        <v>387</v>
      </c>
      <c r="G139" s="261">
        <f>IF(F139=$G$2,E139,0)</f>
        <v>0</v>
      </c>
      <c r="H139" s="262">
        <v>0</v>
      </c>
      <c r="I139" s="262">
        <f t="shared" si="32"/>
        <v>0</v>
      </c>
      <c r="J139" s="261">
        <f t="shared" si="28"/>
        <v>0</v>
      </c>
      <c r="K139" s="261" t="s">
        <v>433</v>
      </c>
      <c r="L139" s="263"/>
      <c r="M139" s="262">
        <f t="shared" si="29"/>
        <v>0</v>
      </c>
      <c r="N139" s="261">
        <f>IF(F139=$N$2,E139,0)</f>
        <v>0</v>
      </c>
      <c r="O139" s="262">
        <v>2</v>
      </c>
    </row>
    <row r="140" spans="1:15" x14ac:dyDescent="0.25">
      <c r="A140" s="238" t="s">
        <v>719</v>
      </c>
      <c r="B140" s="239">
        <v>456</v>
      </c>
      <c r="C140" s="284">
        <v>4171023</v>
      </c>
      <c r="D140" s="303" t="s">
        <v>720</v>
      </c>
      <c r="E140" s="264">
        <v>17908772.140000001</v>
      </c>
      <c r="F140" s="264" t="s">
        <v>388</v>
      </c>
      <c r="G140" s="261">
        <f t="shared" ref="G140:G144" si="34">IF(F140=$G$2,E140,0)</f>
        <v>0</v>
      </c>
      <c r="H140" s="262">
        <v>0</v>
      </c>
      <c r="I140" s="262">
        <f t="shared" si="32"/>
        <v>0</v>
      </c>
      <c r="J140" s="261">
        <f t="shared" si="28"/>
        <v>0</v>
      </c>
      <c r="K140" s="261"/>
      <c r="L140" s="263"/>
      <c r="M140" s="262">
        <f t="shared" si="29"/>
        <v>0</v>
      </c>
      <c r="N140" s="261">
        <f t="shared" ref="N140:N144" si="35">IF(F140=$N$2,E140,0)</f>
        <v>17908772.140000001</v>
      </c>
      <c r="O140" s="262">
        <v>6</v>
      </c>
    </row>
    <row r="141" spans="1:15" x14ac:dyDescent="0.25">
      <c r="A141" s="238" t="s">
        <v>721</v>
      </c>
      <c r="B141" s="239">
        <v>456</v>
      </c>
      <c r="C141" s="304">
        <v>4186182</v>
      </c>
      <c r="D141" s="305" t="s">
        <v>722</v>
      </c>
      <c r="E141" s="264">
        <v>32500</v>
      </c>
      <c r="F141" s="264" t="s">
        <v>388</v>
      </c>
      <c r="G141" s="261">
        <f t="shared" si="34"/>
        <v>0</v>
      </c>
      <c r="H141" s="262">
        <v>0</v>
      </c>
      <c r="I141" s="262">
        <f t="shared" si="32"/>
        <v>0</v>
      </c>
      <c r="J141" s="261">
        <f t="shared" si="28"/>
        <v>0</v>
      </c>
      <c r="K141" s="261"/>
      <c r="L141" s="263"/>
      <c r="M141" s="262">
        <f t="shared" si="29"/>
        <v>0</v>
      </c>
      <c r="N141" s="261">
        <f t="shared" si="35"/>
        <v>32500</v>
      </c>
      <c r="O141" s="262">
        <v>6</v>
      </c>
    </row>
    <row r="142" spans="1:15" s="192" customFormat="1" x14ac:dyDescent="0.25">
      <c r="A142" s="238" t="s">
        <v>723</v>
      </c>
      <c r="B142" s="239">
        <v>456</v>
      </c>
      <c r="C142" s="240" t="s">
        <v>724</v>
      </c>
      <c r="D142" s="266" t="s">
        <v>725</v>
      </c>
      <c r="E142" s="264"/>
      <c r="F142" s="264" t="s">
        <v>386</v>
      </c>
      <c r="G142" s="261">
        <f t="shared" si="34"/>
        <v>0</v>
      </c>
      <c r="H142" s="262">
        <v>0</v>
      </c>
      <c r="I142" s="262">
        <f t="shared" si="32"/>
        <v>0</v>
      </c>
      <c r="J142" s="261">
        <f t="shared" si="28"/>
        <v>0</v>
      </c>
      <c r="K142" s="261"/>
      <c r="L142" s="263"/>
      <c r="M142" s="262">
        <f t="shared" si="29"/>
        <v>0</v>
      </c>
      <c r="N142" s="261">
        <f t="shared" si="35"/>
        <v>0</v>
      </c>
      <c r="O142" s="262">
        <v>1</v>
      </c>
    </row>
    <row r="143" spans="1:15" s="192" customFormat="1" x14ac:dyDescent="0.25">
      <c r="A143" s="238" t="s">
        <v>726</v>
      </c>
      <c r="B143" s="239">
        <v>456</v>
      </c>
      <c r="C143" s="240" t="s">
        <v>727</v>
      </c>
      <c r="D143" s="266" t="s">
        <v>728</v>
      </c>
      <c r="E143" s="264"/>
      <c r="F143" s="264" t="s">
        <v>386</v>
      </c>
      <c r="G143" s="261">
        <f t="shared" si="34"/>
        <v>0</v>
      </c>
      <c r="H143" s="262">
        <v>0</v>
      </c>
      <c r="I143" s="262">
        <f t="shared" si="32"/>
        <v>0</v>
      </c>
      <c r="J143" s="261">
        <f t="shared" si="28"/>
        <v>0</v>
      </c>
      <c r="K143" s="261"/>
      <c r="L143" s="263"/>
      <c r="M143" s="262">
        <f t="shared" si="29"/>
        <v>0</v>
      </c>
      <c r="N143" s="261">
        <f t="shared" si="35"/>
        <v>0</v>
      </c>
      <c r="O143" s="262">
        <v>1</v>
      </c>
    </row>
    <row r="144" spans="1:15" x14ac:dyDescent="0.25">
      <c r="A144" s="306" t="s">
        <v>729</v>
      </c>
      <c r="B144" s="247">
        <v>456</v>
      </c>
      <c r="C144" s="247">
        <v>4186115</v>
      </c>
      <c r="D144" s="249" t="s">
        <v>730</v>
      </c>
      <c r="E144" s="307">
        <v>611344.63</v>
      </c>
      <c r="F144" s="307" t="s">
        <v>388</v>
      </c>
      <c r="G144" s="264">
        <f t="shared" si="34"/>
        <v>0</v>
      </c>
      <c r="H144" s="263">
        <v>0</v>
      </c>
      <c r="I144" s="263">
        <f t="shared" si="32"/>
        <v>0</v>
      </c>
      <c r="J144" s="264">
        <f t="shared" si="28"/>
        <v>0</v>
      </c>
      <c r="K144" s="264"/>
      <c r="L144" s="263"/>
      <c r="M144" s="263">
        <f t="shared" si="29"/>
        <v>0</v>
      </c>
      <c r="N144" s="264">
        <f t="shared" si="35"/>
        <v>611344.63</v>
      </c>
      <c r="O144" s="263">
        <v>6</v>
      </c>
    </row>
    <row r="145" spans="1:15" x14ac:dyDescent="0.25">
      <c r="A145" s="306"/>
      <c r="B145" s="247"/>
      <c r="C145" s="247"/>
      <c r="D145" s="249"/>
      <c r="E145" s="307"/>
      <c r="F145" s="307"/>
      <c r="G145" s="269"/>
      <c r="H145" s="270"/>
      <c r="I145" s="270"/>
      <c r="J145" s="269"/>
      <c r="K145" s="269"/>
      <c r="L145" s="270"/>
      <c r="M145" s="270"/>
      <c r="N145" s="269"/>
      <c r="O145" s="270"/>
    </row>
    <row r="146" spans="1:15" x14ac:dyDescent="0.25">
      <c r="A146" s="246"/>
      <c r="B146" s="247"/>
      <c r="C146" s="248"/>
      <c r="D146" s="249"/>
      <c r="E146" s="241"/>
      <c r="F146" s="241"/>
      <c r="G146" s="253"/>
      <c r="H146" s="252"/>
      <c r="I146" s="252"/>
      <c r="J146" s="241"/>
      <c r="K146" s="241"/>
      <c r="L146" s="252"/>
      <c r="M146" s="252"/>
      <c r="N146" s="241"/>
      <c r="O146" s="251"/>
    </row>
    <row r="147" spans="1:15" ht="13" x14ac:dyDescent="0.3">
      <c r="A147" s="238">
        <v>13</v>
      </c>
      <c r="B147" s="487" t="s">
        <v>731</v>
      </c>
      <c r="C147" s="488"/>
      <c r="D147" s="489"/>
      <c r="E147" s="254">
        <f>SUM(E83:E146)</f>
        <v>583944995.66999996</v>
      </c>
      <c r="F147" s="255"/>
      <c r="G147" s="254">
        <f>SUM(G83:G146)</f>
        <v>139758720.260961</v>
      </c>
      <c r="H147" s="254">
        <f>SUM(H83:H146)</f>
        <v>28757.542931000004</v>
      </c>
      <c r="I147" s="254">
        <f>SUM(I83:I146)</f>
        <v>139729962.71803001</v>
      </c>
      <c r="J147" s="254">
        <f>SUM(J83:J146)</f>
        <v>1115564.8700000001</v>
      </c>
      <c r="K147" s="255"/>
      <c r="L147" s="254">
        <f>SUM(L83:L146)</f>
        <v>563352.9884106206</v>
      </c>
      <c r="M147" s="254">
        <f>SUM(M83:M146)</f>
        <v>552211.88158937939</v>
      </c>
      <c r="N147" s="254">
        <f>SUM(N83:N146)</f>
        <v>443070710.53903902</v>
      </c>
      <c r="O147" s="227"/>
    </row>
    <row r="148" spans="1:15" ht="25.5" customHeight="1" x14ac:dyDescent="0.3">
      <c r="A148" s="238">
        <v>14</v>
      </c>
      <c r="B148" s="493" t="s">
        <v>732</v>
      </c>
      <c r="C148" s="494"/>
      <c r="D148" s="495"/>
      <c r="E148" s="256">
        <v>583944996</v>
      </c>
      <c r="F148" s="257"/>
      <c r="G148" s="298"/>
      <c r="H148" s="257"/>
      <c r="I148" s="257"/>
      <c r="J148" s="298"/>
      <c r="K148" s="257"/>
      <c r="L148" s="258"/>
      <c r="M148" s="258"/>
      <c r="N148" s="258"/>
      <c r="O148" s="187"/>
    </row>
    <row r="149" spans="1:15" ht="13" x14ac:dyDescent="0.3">
      <c r="A149" s="259"/>
      <c r="B149" s="182"/>
      <c r="C149" s="260"/>
      <c r="D149" s="260"/>
      <c r="E149" s="258"/>
      <c r="F149" s="258"/>
      <c r="G149" s="258"/>
      <c r="H149" s="257"/>
      <c r="I149" s="257"/>
      <c r="J149" s="258"/>
      <c r="K149" s="257"/>
      <c r="L149" s="258"/>
      <c r="M149" s="258"/>
      <c r="N149" s="258"/>
      <c r="O149" s="187"/>
    </row>
    <row r="150" spans="1:15" x14ac:dyDescent="0.25">
      <c r="A150" s="238" t="s">
        <v>733</v>
      </c>
      <c r="B150" s="239">
        <v>456.1</v>
      </c>
      <c r="C150" s="240" t="s">
        <v>734</v>
      </c>
      <c r="D150" s="240" t="s">
        <v>735</v>
      </c>
      <c r="E150" s="301"/>
      <c r="F150" s="264" t="s">
        <v>386</v>
      </c>
      <c r="G150" s="261">
        <f t="shared" ref="G150:G172" si="36">IF(F150=$G$2,E150,0)</f>
        <v>0</v>
      </c>
      <c r="H150" s="262">
        <f>G150</f>
        <v>0</v>
      </c>
      <c r="I150" s="262">
        <f t="shared" ref="I150:I172" si="37">G150-H150</f>
        <v>0</v>
      </c>
      <c r="J150" s="261">
        <f t="shared" ref="J150:J164" si="38">IF(F150=$J$2,E150,0)</f>
        <v>0</v>
      </c>
      <c r="K150" s="265"/>
      <c r="L150" s="263"/>
      <c r="M150" s="262">
        <f>J150-L150</f>
        <v>0</v>
      </c>
      <c r="N150" s="261">
        <f t="shared" ref="N150:N172" si="39">IF(F150=$N$2,E150,0)</f>
        <v>0</v>
      </c>
      <c r="O150" s="262">
        <v>5</v>
      </c>
    </row>
    <row r="151" spans="1:15" x14ac:dyDescent="0.25">
      <c r="A151" s="238" t="s">
        <v>736</v>
      </c>
      <c r="B151" s="239">
        <v>456.1</v>
      </c>
      <c r="C151" s="240" t="s">
        <v>737</v>
      </c>
      <c r="D151" s="240" t="s">
        <v>738</v>
      </c>
      <c r="E151" s="301">
        <v>296028</v>
      </c>
      <c r="F151" s="264" t="s">
        <v>386</v>
      </c>
      <c r="G151" s="261">
        <f t="shared" si="36"/>
        <v>296028</v>
      </c>
      <c r="H151" s="262">
        <v>0</v>
      </c>
      <c r="I151" s="262">
        <f t="shared" si="37"/>
        <v>296028</v>
      </c>
      <c r="J151" s="261">
        <f t="shared" si="38"/>
        <v>0</v>
      </c>
      <c r="K151" s="265"/>
      <c r="L151" s="263"/>
      <c r="M151" s="262">
        <f>J151-L151</f>
        <v>0</v>
      </c>
      <c r="N151" s="261">
        <f t="shared" si="39"/>
        <v>0</v>
      </c>
      <c r="O151" s="262">
        <v>4</v>
      </c>
    </row>
    <row r="152" spans="1:15" x14ac:dyDescent="0.25">
      <c r="A152" s="238" t="s">
        <v>739</v>
      </c>
      <c r="B152" s="239">
        <v>456.1</v>
      </c>
      <c r="C152" s="240" t="s">
        <v>740</v>
      </c>
      <c r="D152" s="240" t="s">
        <v>741</v>
      </c>
      <c r="E152" s="301">
        <v>898962.96</v>
      </c>
      <c r="F152" s="264" t="s">
        <v>386</v>
      </c>
      <c r="G152" s="261">
        <f t="shared" si="36"/>
        <v>898962.96</v>
      </c>
      <c r="H152" s="262">
        <v>0</v>
      </c>
      <c r="I152" s="262">
        <f t="shared" si="37"/>
        <v>898962.96</v>
      </c>
      <c r="J152" s="261">
        <f t="shared" si="38"/>
        <v>0</v>
      </c>
      <c r="K152" s="265"/>
      <c r="L152" s="263"/>
      <c r="M152" s="262">
        <f>J152-L152</f>
        <v>0</v>
      </c>
      <c r="N152" s="261">
        <f t="shared" si="39"/>
        <v>0</v>
      </c>
      <c r="O152" s="262">
        <v>4</v>
      </c>
    </row>
    <row r="153" spans="1:15" x14ac:dyDescent="0.25">
      <c r="A153" s="238" t="s">
        <v>742</v>
      </c>
      <c r="B153" s="239">
        <v>456.1</v>
      </c>
      <c r="C153" s="240" t="s">
        <v>743</v>
      </c>
      <c r="D153" s="240" t="s">
        <v>744</v>
      </c>
      <c r="E153" s="301">
        <v>122348.8</v>
      </c>
      <c r="F153" s="264" t="s">
        <v>388</v>
      </c>
      <c r="G153" s="261">
        <f t="shared" si="36"/>
        <v>0</v>
      </c>
      <c r="H153" s="262">
        <v>0</v>
      </c>
      <c r="I153" s="262">
        <f t="shared" si="37"/>
        <v>0</v>
      </c>
      <c r="J153" s="261">
        <f t="shared" si="38"/>
        <v>0</v>
      </c>
      <c r="K153" s="265"/>
      <c r="L153" s="263"/>
      <c r="M153" s="262">
        <f>J153-L153</f>
        <v>0</v>
      </c>
      <c r="N153" s="261">
        <f t="shared" si="39"/>
        <v>122348.8</v>
      </c>
      <c r="O153" s="262">
        <v>6</v>
      </c>
    </row>
    <row r="154" spans="1:15" x14ac:dyDescent="0.25">
      <c r="A154" s="238" t="s">
        <v>745</v>
      </c>
      <c r="B154" s="239">
        <v>456.1</v>
      </c>
      <c r="C154" s="240" t="s">
        <v>746</v>
      </c>
      <c r="D154" s="240" t="s">
        <v>747</v>
      </c>
      <c r="E154" s="301">
        <v>70881961.409999996</v>
      </c>
      <c r="F154" s="264" t="s">
        <v>388</v>
      </c>
      <c r="G154" s="261">
        <f t="shared" si="36"/>
        <v>0</v>
      </c>
      <c r="H154" s="262">
        <v>0</v>
      </c>
      <c r="I154" s="262">
        <f t="shared" si="37"/>
        <v>0</v>
      </c>
      <c r="J154" s="261">
        <f t="shared" si="38"/>
        <v>0</v>
      </c>
      <c r="K154" s="265"/>
      <c r="L154" s="263"/>
      <c r="M154" s="262">
        <f>J154-L154</f>
        <v>0</v>
      </c>
      <c r="N154" s="261">
        <f t="shared" si="39"/>
        <v>70881961.409999996</v>
      </c>
      <c r="O154" s="262">
        <v>6</v>
      </c>
    </row>
    <row r="155" spans="1:15" x14ac:dyDescent="0.25">
      <c r="A155" s="238" t="s">
        <v>748</v>
      </c>
      <c r="B155" s="239">
        <v>456.1</v>
      </c>
      <c r="C155" s="240" t="s">
        <v>749</v>
      </c>
      <c r="D155" s="240" t="s">
        <v>750</v>
      </c>
      <c r="E155" s="301"/>
      <c r="F155" s="264" t="s">
        <v>388</v>
      </c>
      <c r="G155" s="261">
        <f t="shared" si="36"/>
        <v>0</v>
      </c>
      <c r="H155" s="262">
        <v>0</v>
      </c>
      <c r="I155" s="262">
        <f t="shared" si="37"/>
        <v>0</v>
      </c>
      <c r="J155" s="261">
        <f t="shared" si="38"/>
        <v>0</v>
      </c>
      <c r="K155" s="265"/>
      <c r="L155" s="263"/>
      <c r="M155" s="262">
        <f t="shared" ref="M155:M172" si="40">J155-L155</f>
        <v>0</v>
      </c>
      <c r="N155" s="261">
        <f t="shared" si="39"/>
        <v>0</v>
      </c>
      <c r="O155" s="262">
        <v>6</v>
      </c>
    </row>
    <row r="156" spans="1:15" x14ac:dyDescent="0.25">
      <c r="A156" s="238" t="s">
        <v>751</v>
      </c>
      <c r="B156" s="239">
        <v>456.1</v>
      </c>
      <c r="C156" s="240" t="s">
        <v>752</v>
      </c>
      <c r="D156" s="240" t="s">
        <v>753</v>
      </c>
      <c r="E156" s="301">
        <v>35750160</v>
      </c>
      <c r="F156" s="264" t="s">
        <v>386</v>
      </c>
      <c r="G156" s="261">
        <f t="shared" si="36"/>
        <v>35750160</v>
      </c>
      <c r="H156" s="262">
        <f>G156</f>
        <v>35750160</v>
      </c>
      <c r="I156" s="262">
        <f t="shared" si="37"/>
        <v>0</v>
      </c>
      <c r="J156" s="261">
        <f t="shared" si="38"/>
        <v>0</v>
      </c>
      <c r="K156" s="265"/>
      <c r="L156" s="263"/>
      <c r="M156" s="262">
        <f t="shared" si="40"/>
        <v>0</v>
      </c>
      <c r="N156" s="261">
        <f t="shared" si="39"/>
        <v>0</v>
      </c>
      <c r="O156" s="262">
        <v>5</v>
      </c>
    </row>
    <row r="157" spans="1:15" x14ac:dyDescent="0.25">
      <c r="A157" s="238" t="s">
        <v>754</v>
      </c>
      <c r="B157" s="239">
        <v>456.1</v>
      </c>
      <c r="C157" s="240" t="s">
        <v>755</v>
      </c>
      <c r="D157" s="240" t="s">
        <v>756</v>
      </c>
      <c r="E157" s="301">
        <v>8909868.2400000002</v>
      </c>
      <c r="F157" s="264" t="s">
        <v>386</v>
      </c>
      <c r="G157" s="261">
        <f t="shared" si="36"/>
        <v>8909868.2400000002</v>
      </c>
      <c r="H157" s="262">
        <v>0</v>
      </c>
      <c r="I157" s="262">
        <f t="shared" si="37"/>
        <v>8909868.2400000002</v>
      </c>
      <c r="J157" s="261">
        <f t="shared" si="38"/>
        <v>0</v>
      </c>
      <c r="K157" s="265"/>
      <c r="L157" s="263"/>
      <c r="M157" s="262">
        <f t="shared" si="40"/>
        <v>0</v>
      </c>
      <c r="N157" s="261">
        <f t="shared" si="39"/>
        <v>0</v>
      </c>
      <c r="O157" s="262">
        <v>4</v>
      </c>
    </row>
    <row r="158" spans="1:15" x14ac:dyDescent="0.25">
      <c r="A158" s="238" t="s">
        <v>757</v>
      </c>
      <c r="B158" s="239">
        <v>456.1</v>
      </c>
      <c r="C158" s="240" t="s">
        <v>758</v>
      </c>
      <c r="D158" s="240" t="s">
        <v>759</v>
      </c>
      <c r="E158" s="301"/>
      <c r="F158" s="264" t="s">
        <v>386</v>
      </c>
      <c r="G158" s="261">
        <f t="shared" si="36"/>
        <v>0</v>
      </c>
      <c r="H158" s="262">
        <v>0</v>
      </c>
      <c r="I158" s="262">
        <f t="shared" si="37"/>
        <v>0</v>
      </c>
      <c r="J158" s="261">
        <f t="shared" si="38"/>
        <v>0</v>
      </c>
      <c r="K158" s="265"/>
      <c r="L158" s="263"/>
      <c r="M158" s="262">
        <f t="shared" si="40"/>
        <v>0</v>
      </c>
      <c r="N158" s="261">
        <f t="shared" si="39"/>
        <v>0</v>
      </c>
      <c r="O158" s="262">
        <v>4</v>
      </c>
    </row>
    <row r="159" spans="1:15" x14ac:dyDescent="0.25">
      <c r="A159" s="238" t="s">
        <v>760</v>
      </c>
      <c r="B159" s="239">
        <v>456.1</v>
      </c>
      <c r="C159" s="240" t="s">
        <v>761</v>
      </c>
      <c r="D159" s="240" t="s">
        <v>762</v>
      </c>
      <c r="E159" s="301"/>
      <c r="F159" s="264" t="s">
        <v>386</v>
      </c>
      <c r="G159" s="261">
        <f t="shared" si="36"/>
        <v>0</v>
      </c>
      <c r="H159" s="262">
        <v>0</v>
      </c>
      <c r="I159" s="262">
        <f t="shared" si="37"/>
        <v>0</v>
      </c>
      <c r="J159" s="261">
        <f t="shared" si="38"/>
        <v>0</v>
      </c>
      <c r="K159" s="265"/>
      <c r="L159" s="263"/>
      <c r="M159" s="262">
        <f t="shared" si="40"/>
        <v>0</v>
      </c>
      <c r="N159" s="261">
        <f t="shared" si="39"/>
        <v>0</v>
      </c>
      <c r="O159" s="262">
        <v>4</v>
      </c>
    </row>
    <row r="160" spans="1:15" x14ac:dyDescent="0.25">
      <c r="A160" s="238" t="s">
        <v>763</v>
      </c>
      <c r="B160" s="239">
        <v>456.1</v>
      </c>
      <c r="C160" s="240" t="s">
        <v>764</v>
      </c>
      <c r="D160" s="240" t="s">
        <v>765</v>
      </c>
      <c r="E160" s="301">
        <v>402147.6</v>
      </c>
      <c r="F160" s="264" t="s">
        <v>386</v>
      </c>
      <c r="G160" s="261">
        <f t="shared" si="36"/>
        <v>402147.6</v>
      </c>
      <c r="H160" s="262">
        <v>0</v>
      </c>
      <c r="I160" s="262">
        <f t="shared" si="37"/>
        <v>402147.6</v>
      </c>
      <c r="J160" s="261">
        <f t="shared" si="38"/>
        <v>0</v>
      </c>
      <c r="K160" s="265"/>
      <c r="L160" s="263"/>
      <c r="M160" s="262">
        <f t="shared" si="40"/>
        <v>0</v>
      </c>
      <c r="N160" s="261">
        <f t="shared" si="39"/>
        <v>0</v>
      </c>
      <c r="O160" s="262">
        <v>4</v>
      </c>
    </row>
    <row r="161" spans="1:15" x14ac:dyDescent="0.25">
      <c r="A161" s="238" t="s">
        <v>766</v>
      </c>
      <c r="B161" s="239">
        <v>456.1</v>
      </c>
      <c r="C161" s="240" t="s">
        <v>767</v>
      </c>
      <c r="D161" s="240" t="s">
        <v>768</v>
      </c>
      <c r="E161" s="301"/>
      <c r="F161" s="264" t="s">
        <v>386</v>
      </c>
      <c r="G161" s="261">
        <f t="shared" si="36"/>
        <v>0</v>
      </c>
      <c r="H161" s="262">
        <v>0</v>
      </c>
      <c r="I161" s="262">
        <f t="shared" si="37"/>
        <v>0</v>
      </c>
      <c r="J161" s="261">
        <f t="shared" si="38"/>
        <v>0</v>
      </c>
      <c r="K161" s="265"/>
      <c r="L161" s="263"/>
      <c r="M161" s="262">
        <f t="shared" si="40"/>
        <v>0</v>
      </c>
      <c r="N161" s="261">
        <f t="shared" si="39"/>
        <v>0</v>
      </c>
      <c r="O161" s="262">
        <v>4</v>
      </c>
    </row>
    <row r="162" spans="1:15" x14ac:dyDescent="0.25">
      <c r="A162" s="238" t="s">
        <v>769</v>
      </c>
      <c r="B162" s="239">
        <v>456.1</v>
      </c>
      <c r="C162" s="240" t="s">
        <v>770</v>
      </c>
      <c r="D162" s="240" t="s">
        <v>771</v>
      </c>
      <c r="E162" s="301"/>
      <c r="F162" s="264" t="s">
        <v>386</v>
      </c>
      <c r="G162" s="261">
        <f t="shared" si="36"/>
        <v>0</v>
      </c>
      <c r="H162" s="262">
        <v>0</v>
      </c>
      <c r="I162" s="262">
        <f t="shared" si="37"/>
        <v>0</v>
      </c>
      <c r="J162" s="261">
        <f t="shared" si="38"/>
        <v>0</v>
      </c>
      <c r="K162" s="265"/>
      <c r="L162" s="263"/>
      <c r="M162" s="262">
        <f t="shared" si="40"/>
        <v>0</v>
      </c>
      <c r="N162" s="261">
        <f t="shared" si="39"/>
        <v>0</v>
      </c>
      <c r="O162" s="262">
        <v>4</v>
      </c>
    </row>
    <row r="163" spans="1:15" x14ac:dyDescent="0.25">
      <c r="A163" s="238" t="s">
        <v>772</v>
      </c>
      <c r="B163" s="239">
        <v>456.1</v>
      </c>
      <c r="C163" s="240" t="s">
        <v>773</v>
      </c>
      <c r="D163" s="240" t="s">
        <v>774</v>
      </c>
      <c r="E163" s="301">
        <v>651331.07999999996</v>
      </c>
      <c r="F163" s="264" t="s">
        <v>386</v>
      </c>
      <c r="G163" s="261">
        <f t="shared" si="36"/>
        <v>651331.07999999996</v>
      </c>
      <c r="H163" s="262">
        <v>0</v>
      </c>
      <c r="I163" s="262">
        <f t="shared" si="37"/>
        <v>651331.07999999996</v>
      </c>
      <c r="J163" s="261">
        <f t="shared" si="38"/>
        <v>0</v>
      </c>
      <c r="K163" s="265"/>
      <c r="L163" s="263"/>
      <c r="M163" s="262">
        <f t="shared" si="40"/>
        <v>0</v>
      </c>
      <c r="N163" s="261">
        <f t="shared" si="39"/>
        <v>0</v>
      </c>
      <c r="O163" s="262">
        <v>4</v>
      </c>
    </row>
    <row r="164" spans="1:15" x14ac:dyDescent="0.25">
      <c r="A164" s="238" t="s">
        <v>775</v>
      </c>
      <c r="B164" s="239">
        <v>456.1</v>
      </c>
      <c r="C164" s="240" t="s">
        <v>776</v>
      </c>
      <c r="D164" s="240" t="s">
        <v>777</v>
      </c>
      <c r="E164" s="301">
        <v>207840.12</v>
      </c>
      <c r="F164" s="264" t="s">
        <v>386</v>
      </c>
      <c r="G164" s="261">
        <f t="shared" si="36"/>
        <v>207840.12</v>
      </c>
      <c r="H164" s="262">
        <v>0</v>
      </c>
      <c r="I164" s="262">
        <f t="shared" si="37"/>
        <v>207840.12</v>
      </c>
      <c r="J164" s="261">
        <f t="shared" si="38"/>
        <v>0</v>
      </c>
      <c r="K164" s="265"/>
      <c r="L164" s="263"/>
      <c r="M164" s="262">
        <f t="shared" si="40"/>
        <v>0</v>
      </c>
      <c r="N164" s="261">
        <f t="shared" si="39"/>
        <v>0</v>
      </c>
      <c r="O164" s="262">
        <v>4</v>
      </c>
    </row>
    <row r="165" spans="1:15" x14ac:dyDescent="0.25">
      <c r="A165" s="238" t="s">
        <v>778</v>
      </c>
      <c r="B165" s="239">
        <v>456.1</v>
      </c>
      <c r="C165" s="240" t="s">
        <v>779</v>
      </c>
      <c r="D165" s="240" t="s">
        <v>780</v>
      </c>
      <c r="E165" s="301">
        <v>42492.12</v>
      </c>
      <c r="F165" s="264" t="s">
        <v>386</v>
      </c>
      <c r="G165" s="261">
        <f t="shared" si="36"/>
        <v>42492.12</v>
      </c>
      <c r="H165" s="262">
        <v>0</v>
      </c>
      <c r="I165" s="262">
        <f t="shared" si="37"/>
        <v>42492.12</v>
      </c>
      <c r="J165" s="261">
        <f>IF(F165=$J$2,E165,0)</f>
        <v>0</v>
      </c>
      <c r="K165" s="265"/>
      <c r="L165" s="263"/>
      <c r="M165" s="262">
        <f t="shared" si="40"/>
        <v>0</v>
      </c>
      <c r="N165" s="261">
        <f t="shared" si="39"/>
        <v>0</v>
      </c>
      <c r="O165" s="262">
        <v>4</v>
      </c>
    </row>
    <row r="166" spans="1:15" x14ac:dyDescent="0.25">
      <c r="A166" s="238" t="s">
        <v>781</v>
      </c>
      <c r="B166" s="239">
        <v>456.1</v>
      </c>
      <c r="C166" s="240" t="s">
        <v>782</v>
      </c>
      <c r="D166" s="240" t="s">
        <v>783</v>
      </c>
      <c r="E166" s="301"/>
      <c r="F166" s="264" t="s">
        <v>388</v>
      </c>
      <c r="G166" s="261">
        <f t="shared" si="36"/>
        <v>0</v>
      </c>
      <c r="H166" s="262">
        <v>0</v>
      </c>
      <c r="I166" s="262">
        <f t="shared" si="37"/>
        <v>0</v>
      </c>
      <c r="J166" s="261">
        <f>IF(F166=$J$2,E166,0)</f>
        <v>0</v>
      </c>
      <c r="K166" s="265"/>
      <c r="L166" s="263"/>
      <c r="M166" s="262">
        <f t="shared" si="40"/>
        <v>0</v>
      </c>
      <c r="N166" s="261">
        <f t="shared" si="39"/>
        <v>0</v>
      </c>
      <c r="O166" s="262">
        <v>6</v>
      </c>
    </row>
    <row r="167" spans="1:15" x14ac:dyDescent="0.25">
      <c r="A167" s="238" t="s">
        <v>784</v>
      </c>
      <c r="B167" s="239">
        <v>456.1</v>
      </c>
      <c r="C167" s="240" t="s">
        <v>785</v>
      </c>
      <c r="D167" s="240" t="s">
        <v>786</v>
      </c>
      <c r="E167" s="301">
        <v>96303.72</v>
      </c>
      <c r="F167" s="264" t="s">
        <v>386</v>
      </c>
      <c r="G167" s="261">
        <f t="shared" si="36"/>
        <v>96303.72</v>
      </c>
      <c r="H167" s="262">
        <v>0</v>
      </c>
      <c r="I167" s="262">
        <f t="shared" si="37"/>
        <v>96303.72</v>
      </c>
      <c r="J167" s="261">
        <f>IF(F167=$J$2,E167,0)</f>
        <v>0</v>
      </c>
      <c r="K167" s="265"/>
      <c r="L167" s="263"/>
      <c r="M167" s="262">
        <f t="shared" si="40"/>
        <v>0</v>
      </c>
      <c r="N167" s="261">
        <f t="shared" si="39"/>
        <v>0</v>
      </c>
      <c r="O167" s="262">
        <v>4</v>
      </c>
    </row>
    <row r="168" spans="1:15" x14ac:dyDescent="0.25">
      <c r="A168" s="238" t="s">
        <v>787</v>
      </c>
      <c r="B168" s="239">
        <v>456.1</v>
      </c>
      <c r="C168" s="240" t="s">
        <v>788</v>
      </c>
      <c r="D168" s="240" t="s">
        <v>789</v>
      </c>
      <c r="E168" s="301">
        <v>104526.97</v>
      </c>
      <c r="F168" s="264" t="s">
        <v>386</v>
      </c>
      <c r="G168" s="261">
        <f t="shared" si="36"/>
        <v>104526.97</v>
      </c>
      <c r="H168" s="262">
        <v>0</v>
      </c>
      <c r="I168" s="262">
        <f t="shared" si="37"/>
        <v>104526.97</v>
      </c>
      <c r="J168" s="261">
        <f>IF(F168=$J$2,E168,0)</f>
        <v>0</v>
      </c>
      <c r="K168" s="265"/>
      <c r="L168" s="263"/>
      <c r="M168" s="262">
        <f t="shared" si="40"/>
        <v>0</v>
      </c>
      <c r="N168" s="261">
        <f t="shared" si="39"/>
        <v>0</v>
      </c>
      <c r="O168" s="262">
        <v>4</v>
      </c>
    </row>
    <row r="169" spans="1:15" x14ac:dyDescent="0.25">
      <c r="A169" s="238" t="s">
        <v>790</v>
      </c>
      <c r="B169" s="239">
        <v>456.1</v>
      </c>
      <c r="C169" s="240" t="s">
        <v>791</v>
      </c>
      <c r="D169" s="266" t="s">
        <v>792</v>
      </c>
      <c r="E169" s="301">
        <v>3054806.5</v>
      </c>
      <c r="F169" s="301" t="s">
        <v>388</v>
      </c>
      <c r="G169" s="261">
        <f t="shared" si="36"/>
        <v>0</v>
      </c>
      <c r="H169" s="262">
        <v>0</v>
      </c>
      <c r="I169" s="262">
        <f t="shared" si="37"/>
        <v>0</v>
      </c>
      <c r="J169" s="261">
        <f>IF(F169=$J$2,E169,0)</f>
        <v>0</v>
      </c>
      <c r="K169" s="265"/>
      <c r="L169" s="263"/>
      <c r="M169" s="262">
        <f t="shared" si="40"/>
        <v>0</v>
      </c>
      <c r="N169" s="261">
        <f t="shared" si="39"/>
        <v>3054806.5</v>
      </c>
      <c r="O169" s="262">
        <v>6</v>
      </c>
    </row>
    <row r="170" spans="1:15" x14ac:dyDescent="0.25">
      <c r="A170" s="238" t="s">
        <v>793</v>
      </c>
      <c r="B170" s="284">
        <v>456.1</v>
      </c>
      <c r="C170" s="308" t="s">
        <v>782</v>
      </c>
      <c r="D170" s="285" t="s">
        <v>794</v>
      </c>
      <c r="E170" s="301">
        <v>15249.85</v>
      </c>
      <c r="F170" s="301" t="s">
        <v>388</v>
      </c>
      <c r="G170" s="261">
        <f t="shared" si="36"/>
        <v>0</v>
      </c>
      <c r="H170" s="262">
        <v>0</v>
      </c>
      <c r="I170" s="262">
        <f t="shared" si="37"/>
        <v>0</v>
      </c>
      <c r="J170" s="261">
        <f t="shared" ref="J170:J172" si="41">IF(F170=$J$2,E170,0)</f>
        <v>0</v>
      </c>
      <c r="K170" s="265"/>
      <c r="L170" s="263"/>
      <c r="M170" s="262">
        <f t="shared" si="40"/>
        <v>0</v>
      </c>
      <c r="N170" s="261">
        <f t="shared" si="39"/>
        <v>15249.85</v>
      </c>
      <c r="O170" s="262">
        <v>6</v>
      </c>
    </row>
    <row r="171" spans="1:15" x14ac:dyDescent="0.25">
      <c r="A171" s="238" t="s">
        <v>795</v>
      </c>
      <c r="B171" s="284">
        <v>456.1</v>
      </c>
      <c r="C171" s="308" t="s">
        <v>796</v>
      </c>
      <c r="D171" s="285" t="s">
        <v>797</v>
      </c>
      <c r="E171" s="301">
        <v>35.08</v>
      </c>
      <c r="F171" s="301" t="s">
        <v>388</v>
      </c>
      <c r="G171" s="261">
        <f t="shared" si="36"/>
        <v>0</v>
      </c>
      <c r="H171" s="262">
        <v>0</v>
      </c>
      <c r="I171" s="262">
        <f t="shared" si="37"/>
        <v>0</v>
      </c>
      <c r="J171" s="261">
        <f t="shared" si="41"/>
        <v>0</v>
      </c>
      <c r="K171" s="265"/>
      <c r="L171" s="263"/>
      <c r="M171" s="262">
        <f t="shared" si="40"/>
        <v>0</v>
      </c>
      <c r="N171" s="261">
        <f t="shared" si="39"/>
        <v>35.08</v>
      </c>
      <c r="O171" s="262">
        <v>6</v>
      </c>
    </row>
    <row r="172" spans="1:15" s="192" customFormat="1" x14ac:dyDescent="0.25">
      <c r="A172" s="238" t="s">
        <v>798</v>
      </c>
      <c r="B172" s="239">
        <v>456.1</v>
      </c>
      <c r="C172" s="240" t="s">
        <v>799</v>
      </c>
      <c r="D172" s="266" t="s">
        <v>800</v>
      </c>
      <c r="E172" s="301">
        <v>8479669</v>
      </c>
      <c r="F172" s="301" t="s">
        <v>388</v>
      </c>
      <c r="G172" s="261">
        <f t="shared" si="36"/>
        <v>0</v>
      </c>
      <c r="H172" s="262">
        <v>0</v>
      </c>
      <c r="I172" s="262">
        <f t="shared" si="37"/>
        <v>0</v>
      </c>
      <c r="J172" s="261">
        <f t="shared" si="41"/>
        <v>0</v>
      </c>
      <c r="K172" s="265"/>
      <c r="L172" s="263"/>
      <c r="M172" s="262">
        <f t="shared" si="40"/>
        <v>0</v>
      </c>
      <c r="N172" s="261">
        <f t="shared" si="39"/>
        <v>8479669</v>
      </c>
      <c r="O172" s="262">
        <v>6</v>
      </c>
    </row>
    <row r="173" spans="1:15" s="192" customFormat="1" x14ac:dyDescent="0.25">
      <c r="A173" s="246"/>
      <c r="B173" s="247"/>
      <c r="C173" s="248"/>
      <c r="D173" s="249"/>
      <c r="E173" s="301"/>
      <c r="F173" s="301"/>
      <c r="G173" s="264"/>
      <c r="H173" s="263"/>
      <c r="I173" s="263"/>
      <c r="J173" s="264"/>
      <c r="K173" s="301"/>
      <c r="L173" s="263"/>
      <c r="M173" s="263"/>
      <c r="N173" s="264"/>
      <c r="O173" s="263"/>
    </row>
    <row r="174" spans="1:15" x14ac:dyDescent="0.25">
      <c r="A174" s="246"/>
      <c r="B174" s="247"/>
      <c r="C174" s="248"/>
      <c r="D174" s="249"/>
      <c r="E174" s="277"/>
      <c r="F174" s="277"/>
      <c r="G174" s="253"/>
      <c r="H174" s="252"/>
      <c r="I174" s="252"/>
      <c r="J174" s="241"/>
      <c r="K174" s="277"/>
      <c r="L174" s="252"/>
      <c r="M174" s="252"/>
      <c r="N174" s="241"/>
      <c r="O174" s="251"/>
    </row>
    <row r="175" spans="1:15" ht="13" x14ac:dyDescent="0.3">
      <c r="A175" s="238">
        <v>16</v>
      </c>
      <c r="B175" s="487" t="s">
        <v>801</v>
      </c>
      <c r="C175" s="488"/>
      <c r="D175" s="489"/>
      <c r="E175" s="254">
        <f>SUM(E150:E174)</f>
        <v>129913731.44999999</v>
      </c>
      <c r="F175" s="255"/>
      <c r="G175" s="254">
        <f>SUM(G150:G174)</f>
        <v>47359660.809999995</v>
      </c>
      <c r="H175" s="254">
        <f>SUM(H150:H174)</f>
        <v>35750160</v>
      </c>
      <c r="I175" s="254">
        <f>SUM(I150:I174)</f>
        <v>11609500.809999999</v>
      </c>
      <c r="J175" s="254">
        <f>SUM(J150:J174)</f>
        <v>0</v>
      </c>
      <c r="K175" s="255"/>
      <c r="L175" s="254">
        <f>SUM(L150:L174)</f>
        <v>0</v>
      </c>
      <c r="M175" s="254">
        <f>SUM(M150:M174)</f>
        <v>0</v>
      </c>
      <c r="N175" s="254">
        <f>SUM(N150:N174)</f>
        <v>82554070.639999986</v>
      </c>
      <c r="O175" s="227"/>
    </row>
    <row r="176" spans="1:15" ht="25.5" customHeight="1" x14ac:dyDescent="0.3">
      <c r="A176" s="238">
        <v>17</v>
      </c>
      <c r="B176" s="493" t="s">
        <v>802</v>
      </c>
      <c r="C176" s="494"/>
      <c r="D176" s="495"/>
      <c r="E176" s="256">
        <v>129913731</v>
      </c>
      <c r="F176" s="257"/>
      <c r="G176" s="309"/>
      <c r="H176" s="257"/>
      <c r="I176" s="310"/>
      <c r="J176" s="311"/>
      <c r="K176" s="310"/>
      <c r="L176" s="311"/>
      <c r="M176" s="311"/>
      <c r="N176" s="311"/>
      <c r="O176" s="187"/>
    </row>
    <row r="177" spans="1:15" ht="13" x14ac:dyDescent="0.3">
      <c r="A177" s="259"/>
      <c r="B177" s="182"/>
      <c r="C177" s="260"/>
      <c r="D177" s="260"/>
      <c r="E177" s="311"/>
      <c r="F177" s="311"/>
      <c r="G177" s="311"/>
      <c r="H177" s="310"/>
      <c r="I177" s="310"/>
      <c r="J177" s="311"/>
      <c r="K177" s="310"/>
      <c r="L177" s="311"/>
      <c r="M177" s="311"/>
      <c r="N177" s="311"/>
      <c r="O177" s="187"/>
    </row>
    <row r="178" spans="1:15" ht="13" x14ac:dyDescent="0.3">
      <c r="A178" s="246"/>
      <c r="B178" s="312"/>
      <c r="C178" s="313"/>
      <c r="D178" s="313"/>
      <c r="E178" s="314"/>
      <c r="F178" s="314"/>
      <c r="G178" s="314"/>
      <c r="H178" s="314"/>
      <c r="I178" s="314"/>
      <c r="J178" s="314"/>
      <c r="K178" s="314"/>
      <c r="L178" s="314"/>
      <c r="M178" s="314"/>
      <c r="N178" s="314"/>
      <c r="O178" s="251"/>
    </row>
    <row r="179" spans="1:15" ht="13" x14ac:dyDescent="0.3">
      <c r="A179" s="246"/>
      <c r="B179" s="315"/>
      <c r="C179" s="313"/>
      <c r="D179" s="313"/>
      <c r="E179" s="314"/>
      <c r="F179" s="314"/>
      <c r="G179" s="314"/>
      <c r="H179" s="314"/>
      <c r="I179" s="314"/>
      <c r="J179" s="314"/>
      <c r="K179" s="314"/>
      <c r="L179" s="314"/>
      <c r="M179" s="314"/>
      <c r="N179" s="314"/>
      <c r="O179" s="251"/>
    </row>
    <row r="180" spans="1:15" ht="13" x14ac:dyDescent="0.3">
      <c r="A180" s="238">
        <v>19</v>
      </c>
      <c r="B180" s="487" t="s">
        <v>803</v>
      </c>
      <c r="C180" s="488"/>
      <c r="D180" s="489"/>
      <c r="E180" s="316">
        <f>SUM(E178:E179)</f>
        <v>0</v>
      </c>
      <c r="F180" s="317"/>
      <c r="G180" s="316">
        <f>SUM(G178:G179)</f>
        <v>0</v>
      </c>
      <c r="H180" s="316">
        <f>SUM(H178:H179)</f>
        <v>0</v>
      </c>
      <c r="I180" s="316">
        <f>SUM(I178:I179)</f>
        <v>0</v>
      </c>
      <c r="J180" s="316">
        <f>SUM(J178:J179)</f>
        <v>0</v>
      </c>
      <c r="K180" s="255"/>
      <c r="L180" s="316">
        <f>SUM(L178:L179)</f>
        <v>0</v>
      </c>
      <c r="M180" s="316">
        <f>SUM(M178:M179)</f>
        <v>0</v>
      </c>
      <c r="N180" s="316">
        <f>SUM(N178:N179)</f>
        <v>0</v>
      </c>
      <c r="O180" s="316"/>
    </row>
    <row r="181" spans="1:15" ht="26.25" customHeight="1" x14ac:dyDescent="0.3">
      <c r="A181" s="238">
        <v>20</v>
      </c>
      <c r="B181" s="496" t="s">
        <v>804</v>
      </c>
      <c r="C181" s="497"/>
      <c r="D181" s="498"/>
      <c r="E181" s="256">
        <v>0</v>
      </c>
      <c r="F181" s="311"/>
      <c r="G181" s="258"/>
      <c r="H181" s="257"/>
      <c r="I181" s="257"/>
      <c r="J181" s="258"/>
      <c r="K181" s="257"/>
      <c r="L181" s="258"/>
      <c r="M181" s="258"/>
      <c r="N181" s="258"/>
      <c r="O181" s="279"/>
    </row>
    <row r="182" spans="1:15" ht="13" x14ac:dyDescent="0.3">
      <c r="A182" s="259"/>
      <c r="B182" s="182"/>
      <c r="C182" s="260"/>
      <c r="D182" s="260"/>
      <c r="E182" s="311"/>
      <c r="F182" s="311"/>
      <c r="G182" s="258"/>
      <c r="H182" s="257"/>
      <c r="I182" s="257"/>
      <c r="J182" s="258"/>
      <c r="K182" s="257"/>
      <c r="L182" s="258"/>
      <c r="M182" s="258"/>
      <c r="N182" s="258"/>
      <c r="O182" s="279"/>
    </row>
    <row r="183" spans="1:15" ht="13" x14ac:dyDescent="0.3">
      <c r="A183" s="246"/>
      <c r="B183" s="312"/>
      <c r="C183" s="313"/>
      <c r="D183" s="313"/>
      <c r="E183" s="314"/>
      <c r="F183" s="314"/>
      <c r="G183" s="256"/>
      <c r="H183" s="256"/>
      <c r="I183" s="256"/>
      <c r="J183" s="256"/>
      <c r="K183" s="256"/>
      <c r="L183" s="256"/>
      <c r="M183" s="256"/>
      <c r="N183" s="256"/>
      <c r="O183" s="252"/>
    </row>
    <row r="184" spans="1:15" ht="13" x14ac:dyDescent="0.3">
      <c r="A184" s="246"/>
      <c r="B184" s="315"/>
      <c r="C184" s="313"/>
      <c r="D184" s="313"/>
      <c r="E184" s="314"/>
      <c r="F184" s="314"/>
      <c r="G184" s="256"/>
      <c r="H184" s="256"/>
      <c r="I184" s="256"/>
      <c r="J184" s="256"/>
      <c r="K184" s="256"/>
      <c r="L184" s="256"/>
      <c r="M184" s="256"/>
      <c r="N184" s="256"/>
      <c r="O184" s="252"/>
    </row>
    <row r="185" spans="1:15" ht="13" x14ac:dyDescent="0.3">
      <c r="A185" s="238">
        <v>22</v>
      </c>
      <c r="B185" s="487" t="s">
        <v>805</v>
      </c>
      <c r="C185" s="488"/>
      <c r="D185" s="489"/>
      <c r="E185" s="316">
        <f>SUM(E183:E184)</f>
        <v>0</v>
      </c>
      <c r="F185" s="317"/>
      <c r="G185" s="316">
        <f>SUM(G183:G184)</f>
        <v>0</v>
      </c>
      <c r="H185" s="316">
        <f>SUM(H183:H184)</f>
        <v>0</v>
      </c>
      <c r="I185" s="316">
        <f>SUM(I183:I184)</f>
        <v>0</v>
      </c>
      <c r="J185" s="316">
        <f>SUM(J183:J184)</f>
        <v>0</v>
      </c>
      <c r="K185" s="255"/>
      <c r="L185" s="316">
        <f>SUM(L183:L184)</f>
        <v>0</v>
      </c>
      <c r="M185" s="316">
        <f>SUM(M183:M184)</f>
        <v>0</v>
      </c>
      <c r="N185" s="316">
        <f>SUM(N183:N184)</f>
        <v>0</v>
      </c>
      <c r="O185" s="316"/>
    </row>
    <row r="186" spans="1:15" ht="26.25" customHeight="1" x14ac:dyDescent="0.3">
      <c r="A186" s="238">
        <v>23</v>
      </c>
      <c r="B186" s="496" t="s">
        <v>806</v>
      </c>
      <c r="C186" s="497"/>
      <c r="D186" s="498"/>
      <c r="E186" s="256">
        <v>0</v>
      </c>
      <c r="F186" s="311"/>
      <c r="G186" s="311"/>
      <c r="H186" s="310"/>
      <c r="I186" s="310"/>
      <c r="J186" s="311"/>
      <c r="K186" s="310"/>
      <c r="L186" s="311"/>
      <c r="M186" s="311"/>
      <c r="N186" s="311"/>
      <c r="O186" s="187"/>
    </row>
    <row r="187" spans="1:15" ht="13" x14ac:dyDescent="0.3">
      <c r="A187" s="259"/>
      <c r="B187" s="182"/>
      <c r="C187" s="260"/>
      <c r="D187" s="260"/>
      <c r="E187" s="311"/>
      <c r="F187" s="311"/>
      <c r="G187" s="311"/>
      <c r="H187" s="310"/>
      <c r="I187" s="310"/>
      <c r="J187" s="311"/>
      <c r="K187" s="310"/>
      <c r="L187" s="311"/>
      <c r="M187" s="311"/>
      <c r="N187" s="311"/>
      <c r="O187" s="187"/>
    </row>
    <row r="188" spans="1:15" ht="13" x14ac:dyDescent="0.3">
      <c r="A188" s="259"/>
      <c r="B188" s="182" t="s">
        <v>807</v>
      </c>
      <c r="C188" s="260"/>
      <c r="D188" s="260"/>
      <c r="E188" s="318"/>
      <c r="F188" s="311"/>
      <c r="G188" s="311"/>
      <c r="H188" s="310"/>
      <c r="I188" s="310"/>
      <c r="J188" s="311"/>
      <c r="K188" s="310"/>
      <c r="L188" s="311"/>
      <c r="M188" s="311"/>
      <c r="N188" s="311"/>
      <c r="O188" s="187"/>
    </row>
    <row r="189" spans="1:15" x14ac:dyDescent="0.25">
      <c r="A189" s="238" t="s">
        <v>808</v>
      </c>
      <c r="B189" s="319">
        <v>417</v>
      </c>
      <c r="C189" s="320">
        <v>4863130</v>
      </c>
      <c r="D189" s="266" t="s">
        <v>809</v>
      </c>
      <c r="E189" s="321">
        <v>579273.89</v>
      </c>
      <c r="F189" s="241" t="s">
        <v>387</v>
      </c>
      <c r="G189" s="242">
        <f t="shared" ref="G189:G201" si="42">IF(F189=$G$2,E189,0)</f>
        <v>0</v>
      </c>
      <c r="H189" s="244">
        <v>0</v>
      </c>
      <c r="I189" s="244">
        <f t="shared" ref="I189:I214" si="43">G189-H189</f>
        <v>0</v>
      </c>
      <c r="J189" s="242">
        <f t="shared" ref="J189:J201" si="44">IF(F189=$J$2,E189,0)</f>
        <v>579273.89</v>
      </c>
      <c r="K189" s="243" t="s">
        <v>433</v>
      </c>
      <c r="L189" s="322">
        <v>113393.74320067</v>
      </c>
      <c r="M189" s="242">
        <f t="shared" ref="M189:M214" si="45">J189-L189</f>
        <v>465880.14679933002</v>
      </c>
      <c r="N189" s="242">
        <f>IF(F189=$N$2,E189,0)</f>
        <v>0</v>
      </c>
      <c r="O189" s="243">
        <v>2</v>
      </c>
    </row>
    <row r="190" spans="1:15" x14ac:dyDescent="0.25">
      <c r="A190" s="238" t="s">
        <v>810</v>
      </c>
      <c r="B190" s="319">
        <v>417</v>
      </c>
      <c r="C190" s="320">
        <v>4862110</v>
      </c>
      <c r="D190" s="266" t="s">
        <v>811</v>
      </c>
      <c r="E190" s="277">
        <v>8363125.5800000001</v>
      </c>
      <c r="F190" s="241" t="s">
        <v>387</v>
      </c>
      <c r="G190" s="242">
        <f t="shared" si="42"/>
        <v>0</v>
      </c>
      <c r="H190" s="244">
        <v>0</v>
      </c>
      <c r="I190" s="244">
        <f t="shared" si="43"/>
        <v>0</v>
      </c>
      <c r="J190" s="242">
        <f t="shared" si="44"/>
        <v>8363125.5800000001</v>
      </c>
      <c r="K190" s="243" t="s">
        <v>139</v>
      </c>
      <c r="L190" s="241">
        <v>1636370.71968942</v>
      </c>
      <c r="M190" s="242">
        <f t="shared" si="45"/>
        <v>6726754.8603105806</v>
      </c>
      <c r="N190" s="242">
        <f t="shared" ref="N190:N201" si="46">IF(F190=$N$2,E190,0)</f>
        <v>0</v>
      </c>
      <c r="O190" s="243">
        <v>2</v>
      </c>
    </row>
    <row r="191" spans="1:15" x14ac:dyDescent="0.25">
      <c r="A191" s="238" t="s">
        <v>812</v>
      </c>
      <c r="B191" s="319">
        <v>417</v>
      </c>
      <c r="C191" s="320">
        <v>4862115</v>
      </c>
      <c r="D191" s="266" t="s">
        <v>813</v>
      </c>
      <c r="E191" s="277">
        <v>381528</v>
      </c>
      <c r="F191" s="241" t="s">
        <v>387</v>
      </c>
      <c r="G191" s="242">
        <f t="shared" si="42"/>
        <v>0</v>
      </c>
      <c r="H191" s="244">
        <v>0</v>
      </c>
      <c r="I191" s="244">
        <f t="shared" si="43"/>
        <v>0</v>
      </c>
      <c r="J191" s="242">
        <f t="shared" si="44"/>
        <v>381528</v>
      </c>
      <c r="K191" s="243" t="s">
        <v>139</v>
      </c>
      <c r="L191" s="241">
        <v>75186.088468167596</v>
      </c>
      <c r="M191" s="242">
        <f t="shared" si="45"/>
        <v>306341.91153183242</v>
      </c>
      <c r="N191" s="242">
        <f t="shared" si="46"/>
        <v>0</v>
      </c>
      <c r="O191" s="243">
        <v>2</v>
      </c>
    </row>
    <row r="192" spans="1:15" x14ac:dyDescent="0.25">
      <c r="A192" s="238" t="s">
        <v>814</v>
      </c>
      <c r="B192" s="319">
        <v>417</v>
      </c>
      <c r="C192" s="320">
        <v>4862120</v>
      </c>
      <c r="D192" s="266" t="s">
        <v>815</v>
      </c>
      <c r="E192" s="277">
        <v>78007.929999999993</v>
      </c>
      <c r="F192" s="241" t="s">
        <v>387</v>
      </c>
      <c r="G192" s="242">
        <f t="shared" si="42"/>
        <v>0</v>
      </c>
      <c r="H192" s="244">
        <v>0</v>
      </c>
      <c r="I192" s="244">
        <f t="shared" si="43"/>
        <v>0</v>
      </c>
      <c r="J192" s="242">
        <f t="shared" si="44"/>
        <v>78007.929999999993</v>
      </c>
      <c r="K192" s="243" t="s">
        <v>139</v>
      </c>
      <c r="L192" s="264">
        <v>15263.910643380899</v>
      </c>
      <c r="M192" s="242">
        <f t="shared" si="45"/>
        <v>62744.019356619094</v>
      </c>
      <c r="N192" s="242">
        <f t="shared" si="46"/>
        <v>0</v>
      </c>
      <c r="O192" s="243">
        <v>2</v>
      </c>
    </row>
    <row r="193" spans="1:15" x14ac:dyDescent="0.25">
      <c r="A193" s="238" t="s">
        <v>816</v>
      </c>
      <c r="B193" s="319">
        <v>417</v>
      </c>
      <c r="C193" s="320">
        <v>4862135</v>
      </c>
      <c r="D193" s="266" t="s">
        <v>817</v>
      </c>
      <c r="E193" s="323">
        <v>14770442.08</v>
      </c>
      <c r="F193" s="241" t="s">
        <v>387</v>
      </c>
      <c r="G193" s="242">
        <f t="shared" si="42"/>
        <v>0</v>
      </c>
      <c r="H193" s="244">
        <v>0</v>
      </c>
      <c r="I193" s="244">
        <f t="shared" si="43"/>
        <v>0</v>
      </c>
      <c r="J193" s="242">
        <f t="shared" si="44"/>
        <v>14770442.08</v>
      </c>
      <c r="K193" s="243" t="s">
        <v>139</v>
      </c>
      <c r="L193" s="323">
        <v>3088534.2736134501</v>
      </c>
      <c r="M193" s="242">
        <f t="shared" si="45"/>
        <v>11681907.806386549</v>
      </c>
      <c r="N193" s="242">
        <f t="shared" si="46"/>
        <v>0</v>
      </c>
      <c r="O193" s="243">
        <v>2</v>
      </c>
    </row>
    <row r="194" spans="1:15" x14ac:dyDescent="0.25">
      <c r="A194" s="238" t="s">
        <v>818</v>
      </c>
      <c r="B194" s="319">
        <v>417</v>
      </c>
      <c r="C194" s="320">
        <v>4864115</v>
      </c>
      <c r="D194" s="266" t="s">
        <v>819</v>
      </c>
      <c r="E194" s="323">
        <v>354333.61</v>
      </c>
      <c r="F194" s="241" t="s">
        <v>387</v>
      </c>
      <c r="G194" s="242">
        <f t="shared" si="42"/>
        <v>0</v>
      </c>
      <c r="H194" s="244">
        <v>0</v>
      </c>
      <c r="I194" s="244">
        <f t="shared" si="43"/>
        <v>0</v>
      </c>
      <c r="J194" s="242">
        <f t="shared" si="44"/>
        <v>354333.61</v>
      </c>
      <c r="K194" s="243" t="s">
        <v>139</v>
      </c>
      <c r="L194" s="323">
        <v>64320.026518875697</v>
      </c>
      <c r="M194" s="242">
        <f t="shared" si="45"/>
        <v>290013.58348112431</v>
      </c>
      <c r="N194" s="242">
        <f t="shared" si="46"/>
        <v>0</v>
      </c>
      <c r="O194" s="243">
        <v>2</v>
      </c>
    </row>
    <row r="195" spans="1:15" x14ac:dyDescent="0.25">
      <c r="A195" s="238" t="s">
        <v>820</v>
      </c>
      <c r="B195" s="319">
        <v>417</v>
      </c>
      <c r="C195" s="320">
        <v>4862125</v>
      </c>
      <c r="D195" s="266" t="s">
        <v>821</v>
      </c>
      <c r="E195" s="323">
        <v>15064952.779999999</v>
      </c>
      <c r="F195" s="241" t="s">
        <v>387</v>
      </c>
      <c r="G195" s="242">
        <f t="shared" si="42"/>
        <v>0</v>
      </c>
      <c r="H195" s="244">
        <v>0</v>
      </c>
      <c r="I195" s="244">
        <f t="shared" si="43"/>
        <v>0</v>
      </c>
      <c r="J195" s="242">
        <f t="shared" si="44"/>
        <v>15064952.779999999</v>
      </c>
      <c r="K195" s="243" t="s">
        <v>139</v>
      </c>
      <c r="L195" s="264">
        <v>2585152.88909146</v>
      </c>
      <c r="M195" s="242">
        <f t="shared" si="45"/>
        <v>12479799.890908539</v>
      </c>
      <c r="N195" s="242">
        <f t="shared" si="46"/>
        <v>0</v>
      </c>
      <c r="O195" s="243">
        <v>2</v>
      </c>
    </row>
    <row r="196" spans="1:15" x14ac:dyDescent="0.25">
      <c r="A196" s="238" t="s">
        <v>822</v>
      </c>
      <c r="B196" s="319">
        <v>417</v>
      </c>
      <c r="C196" s="320">
        <v>4862130</v>
      </c>
      <c r="D196" s="266" t="s">
        <v>823</v>
      </c>
      <c r="E196" s="323">
        <v>3865535.36</v>
      </c>
      <c r="F196" s="241" t="s">
        <v>387</v>
      </c>
      <c r="G196" s="242">
        <f t="shared" si="42"/>
        <v>0</v>
      </c>
      <c r="H196" s="244">
        <v>0</v>
      </c>
      <c r="I196" s="244">
        <f t="shared" si="43"/>
        <v>0</v>
      </c>
      <c r="J196" s="242">
        <f t="shared" si="44"/>
        <v>3865535.36</v>
      </c>
      <c r="K196" s="243" t="s">
        <v>139</v>
      </c>
      <c r="L196" s="264">
        <v>722260.11523874302</v>
      </c>
      <c r="M196" s="242">
        <f t="shared" si="45"/>
        <v>3143275.244761257</v>
      </c>
      <c r="N196" s="242">
        <f t="shared" si="46"/>
        <v>0</v>
      </c>
      <c r="O196" s="243">
        <v>2</v>
      </c>
    </row>
    <row r="197" spans="1:15" x14ac:dyDescent="0.25">
      <c r="A197" s="238" t="s">
        <v>824</v>
      </c>
      <c r="B197" s="319">
        <v>417</v>
      </c>
      <c r="C197" s="320">
        <v>4863120</v>
      </c>
      <c r="D197" s="266" t="s">
        <v>825</v>
      </c>
      <c r="E197" s="323">
        <v>454848.62</v>
      </c>
      <c r="F197" s="241" t="s">
        <v>387</v>
      </c>
      <c r="G197" s="242">
        <f t="shared" si="42"/>
        <v>0</v>
      </c>
      <c r="H197" s="244">
        <v>0</v>
      </c>
      <c r="I197" s="244">
        <f t="shared" si="43"/>
        <v>0</v>
      </c>
      <c r="J197" s="242">
        <f t="shared" si="44"/>
        <v>454848.62</v>
      </c>
      <c r="K197" s="243" t="s">
        <v>433</v>
      </c>
      <c r="L197" s="264">
        <v>171962.72723270999</v>
      </c>
      <c r="M197" s="242">
        <f t="shared" si="45"/>
        <v>282885.89276729</v>
      </c>
      <c r="N197" s="242">
        <f t="shared" si="46"/>
        <v>0</v>
      </c>
      <c r="O197" s="243">
        <v>2</v>
      </c>
    </row>
    <row r="198" spans="1:15" x14ac:dyDescent="0.25">
      <c r="A198" s="238" t="s">
        <v>826</v>
      </c>
      <c r="B198" s="319">
        <v>417</v>
      </c>
      <c r="C198" s="320">
        <v>4863110</v>
      </c>
      <c r="D198" s="266" t="s">
        <v>827</v>
      </c>
      <c r="E198" s="323">
        <v>4104815.36</v>
      </c>
      <c r="F198" s="241" t="s">
        <v>387</v>
      </c>
      <c r="G198" s="242">
        <f t="shared" si="42"/>
        <v>0</v>
      </c>
      <c r="H198" s="244">
        <v>0</v>
      </c>
      <c r="I198" s="244">
        <f t="shared" si="43"/>
        <v>0</v>
      </c>
      <c r="J198" s="242">
        <f t="shared" si="44"/>
        <v>4104815.36</v>
      </c>
      <c r="K198" s="243" t="s">
        <v>433</v>
      </c>
      <c r="L198" s="264">
        <v>839399.29919591395</v>
      </c>
      <c r="M198" s="242">
        <f t="shared" si="45"/>
        <v>3265416.0608040858</v>
      </c>
      <c r="N198" s="242">
        <f t="shared" si="46"/>
        <v>0</v>
      </c>
      <c r="O198" s="243">
        <v>2</v>
      </c>
    </row>
    <row r="199" spans="1:15" x14ac:dyDescent="0.25">
      <c r="A199" s="238" t="s">
        <v>828</v>
      </c>
      <c r="B199" s="319">
        <v>417</v>
      </c>
      <c r="C199" s="320">
        <v>4863115</v>
      </c>
      <c r="D199" s="266" t="s">
        <v>829</v>
      </c>
      <c r="E199" s="323">
        <v>1119202.8600000001</v>
      </c>
      <c r="F199" s="241" t="s">
        <v>387</v>
      </c>
      <c r="G199" s="242">
        <f t="shared" si="42"/>
        <v>0</v>
      </c>
      <c r="H199" s="244">
        <v>0</v>
      </c>
      <c r="I199" s="244">
        <f t="shared" si="43"/>
        <v>0</v>
      </c>
      <c r="J199" s="242">
        <f t="shared" si="44"/>
        <v>1119202.8600000001</v>
      </c>
      <c r="K199" s="243" t="s">
        <v>433</v>
      </c>
      <c r="L199" s="264">
        <v>190875.74970491699</v>
      </c>
      <c r="M199" s="242">
        <f t="shared" si="45"/>
        <v>928327.11029508314</v>
      </c>
      <c r="N199" s="242">
        <f t="shared" si="46"/>
        <v>0</v>
      </c>
      <c r="O199" s="243">
        <v>2</v>
      </c>
    </row>
    <row r="200" spans="1:15" x14ac:dyDescent="0.25">
      <c r="A200" s="238" t="s">
        <v>830</v>
      </c>
      <c r="B200" s="319">
        <v>417</v>
      </c>
      <c r="C200" s="320">
        <v>4863125</v>
      </c>
      <c r="D200" s="266" t="s">
        <v>831</v>
      </c>
      <c r="E200" s="323">
        <v>2301475.73</v>
      </c>
      <c r="F200" s="241" t="s">
        <v>387</v>
      </c>
      <c r="G200" s="242">
        <f t="shared" si="42"/>
        <v>0</v>
      </c>
      <c r="H200" s="244">
        <v>0</v>
      </c>
      <c r="I200" s="244">
        <f t="shared" si="43"/>
        <v>0</v>
      </c>
      <c r="J200" s="242">
        <f t="shared" si="44"/>
        <v>2301475.73</v>
      </c>
      <c r="K200" s="243" t="s">
        <v>433</v>
      </c>
      <c r="L200" s="264">
        <v>352233.66050454602</v>
      </c>
      <c r="M200" s="242">
        <f t="shared" si="45"/>
        <v>1949242.069495454</v>
      </c>
      <c r="N200" s="242">
        <f t="shared" si="46"/>
        <v>0</v>
      </c>
      <c r="O200" s="243">
        <v>2</v>
      </c>
    </row>
    <row r="201" spans="1:15" x14ac:dyDescent="0.25">
      <c r="A201" s="238" t="s">
        <v>832</v>
      </c>
      <c r="B201" s="319">
        <v>417</v>
      </c>
      <c r="C201" s="320">
        <v>4864120</v>
      </c>
      <c r="D201" s="266" t="s">
        <v>833</v>
      </c>
      <c r="E201" s="277">
        <v>93967.6</v>
      </c>
      <c r="F201" s="241" t="s">
        <v>387</v>
      </c>
      <c r="G201" s="242">
        <f t="shared" si="42"/>
        <v>0</v>
      </c>
      <c r="H201" s="244">
        <v>0</v>
      </c>
      <c r="I201" s="244">
        <f t="shared" si="43"/>
        <v>0</v>
      </c>
      <c r="J201" s="242">
        <f t="shared" si="44"/>
        <v>93967.6</v>
      </c>
      <c r="K201" s="243" t="s">
        <v>139</v>
      </c>
      <c r="L201" s="241">
        <v>12292.8253260782</v>
      </c>
      <c r="M201" s="242">
        <f t="shared" si="45"/>
        <v>81674.774673921813</v>
      </c>
      <c r="N201" s="242">
        <f t="shared" si="46"/>
        <v>0</v>
      </c>
      <c r="O201" s="243">
        <v>2</v>
      </c>
    </row>
    <row r="202" spans="1:15" x14ac:dyDescent="0.25">
      <c r="A202" s="238" t="s">
        <v>834</v>
      </c>
      <c r="B202" s="319">
        <v>417</v>
      </c>
      <c r="C202" s="320">
        <v>4864116</v>
      </c>
      <c r="D202" s="266" t="s">
        <v>835</v>
      </c>
      <c r="E202" s="324">
        <v>1488414.54</v>
      </c>
      <c r="F202" s="241" t="s">
        <v>387</v>
      </c>
      <c r="G202" s="242">
        <f>IF(F202=$G$2,E202,0)</f>
        <v>0</v>
      </c>
      <c r="H202" s="244">
        <v>0</v>
      </c>
      <c r="I202" s="244">
        <f t="shared" si="43"/>
        <v>0</v>
      </c>
      <c r="J202" s="242">
        <f>IF(F202=$J$2,E202,0)</f>
        <v>1488414.54</v>
      </c>
      <c r="K202" s="243" t="s">
        <v>139</v>
      </c>
      <c r="L202" s="325">
        <v>339725.60362876998</v>
      </c>
      <c r="M202" s="242">
        <f t="shared" si="45"/>
        <v>1148688.9363712301</v>
      </c>
      <c r="N202" s="242">
        <f>IF(F202=$N$2,E202,0)</f>
        <v>0</v>
      </c>
      <c r="O202" s="243">
        <v>2</v>
      </c>
    </row>
    <row r="203" spans="1:15" x14ac:dyDescent="0.25">
      <c r="A203" s="238" t="s">
        <v>836</v>
      </c>
      <c r="B203" s="319">
        <v>417</v>
      </c>
      <c r="C203" s="320">
        <v>4864121</v>
      </c>
      <c r="D203" s="266" t="s">
        <v>837</v>
      </c>
      <c r="E203" s="326">
        <v>140794.32</v>
      </c>
      <c r="F203" s="241" t="s">
        <v>387</v>
      </c>
      <c r="G203" s="242">
        <f>IF(F203=$G$2,E203,0)</f>
        <v>0</v>
      </c>
      <c r="H203" s="244">
        <v>0</v>
      </c>
      <c r="I203" s="244">
        <f t="shared" si="43"/>
        <v>0</v>
      </c>
      <c r="J203" s="242">
        <f>IF(F203=$J$2,E203,0)</f>
        <v>140794.32</v>
      </c>
      <c r="K203" s="243" t="s">
        <v>139</v>
      </c>
      <c r="L203" s="241">
        <v>28349.734677888799</v>
      </c>
      <c r="M203" s="242">
        <f t="shared" si="45"/>
        <v>112444.5853221112</v>
      </c>
      <c r="N203" s="242">
        <f>IF(F203=$N$2,E203,0)</f>
        <v>0</v>
      </c>
      <c r="O203" s="243">
        <v>2</v>
      </c>
    </row>
    <row r="204" spans="1:15" x14ac:dyDescent="0.25">
      <c r="A204" s="238" t="s">
        <v>838</v>
      </c>
      <c r="B204" s="284">
        <v>417</v>
      </c>
      <c r="C204" s="284">
        <v>4864117</v>
      </c>
      <c r="D204" s="285" t="s">
        <v>839</v>
      </c>
      <c r="E204" s="327">
        <v>261361.21</v>
      </c>
      <c r="F204" s="241" t="s">
        <v>387</v>
      </c>
      <c r="G204" s="242">
        <f t="shared" ref="G204:G214" si="47">IF(F204=$G$2,E204,0)</f>
        <v>0</v>
      </c>
      <c r="H204" s="244">
        <v>0</v>
      </c>
      <c r="I204" s="244">
        <f t="shared" si="43"/>
        <v>0</v>
      </c>
      <c r="J204" s="242">
        <f t="shared" ref="J204:J214" si="48">IF(F204=$J$2,E204,0)</f>
        <v>261361.21</v>
      </c>
      <c r="K204" s="243" t="s">
        <v>139</v>
      </c>
      <c r="L204" s="241">
        <v>48699.029299510003</v>
      </c>
      <c r="M204" s="242">
        <f t="shared" si="45"/>
        <v>212662.18070048999</v>
      </c>
      <c r="N204" s="242">
        <f t="shared" ref="N204:N214" si="49">IF(F204=$N$2,E204,0)</f>
        <v>0</v>
      </c>
      <c r="O204" s="243">
        <v>2</v>
      </c>
    </row>
    <row r="205" spans="1:15" x14ac:dyDescent="0.25">
      <c r="A205" s="238" t="s">
        <v>840</v>
      </c>
      <c r="B205" s="284">
        <v>417</v>
      </c>
      <c r="C205" s="284">
        <v>4864122</v>
      </c>
      <c r="D205" s="285" t="s">
        <v>841</v>
      </c>
      <c r="E205" s="327">
        <v>38726.400000000001</v>
      </c>
      <c r="F205" s="241" t="s">
        <v>387</v>
      </c>
      <c r="G205" s="242">
        <f t="shared" si="47"/>
        <v>0</v>
      </c>
      <c r="H205" s="244">
        <v>0</v>
      </c>
      <c r="I205" s="244">
        <f t="shared" si="43"/>
        <v>0</v>
      </c>
      <c r="J205" s="242">
        <f t="shared" si="48"/>
        <v>38726.400000000001</v>
      </c>
      <c r="K205" s="243" t="s">
        <v>139</v>
      </c>
      <c r="L205" s="241">
        <v>6632.7538652679004</v>
      </c>
      <c r="M205" s="242">
        <f t="shared" si="45"/>
        <v>32093.646134732102</v>
      </c>
      <c r="N205" s="242">
        <f t="shared" si="49"/>
        <v>0</v>
      </c>
      <c r="O205" s="243">
        <v>2</v>
      </c>
    </row>
    <row r="206" spans="1:15" s="192" customFormat="1" x14ac:dyDescent="0.25">
      <c r="A206" s="238" t="s">
        <v>842</v>
      </c>
      <c r="B206" s="319">
        <v>417</v>
      </c>
      <c r="C206" s="320">
        <v>4864200</v>
      </c>
      <c r="D206" s="266" t="s">
        <v>843</v>
      </c>
      <c r="E206" s="264">
        <v>-18880.080000000002</v>
      </c>
      <c r="F206" s="241" t="s">
        <v>387</v>
      </c>
      <c r="G206" s="242">
        <f t="shared" si="47"/>
        <v>0</v>
      </c>
      <c r="H206" s="244">
        <v>0</v>
      </c>
      <c r="I206" s="244">
        <f t="shared" si="43"/>
        <v>0</v>
      </c>
      <c r="J206" s="242">
        <f t="shared" si="48"/>
        <v>-18880.080000000002</v>
      </c>
      <c r="K206" s="243" t="s">
        <v>139</v>
      </c>
      <c r="L206" s="241">
        <v>2099.9352485134</v>
      </c>
      <c r="M206" s="242">
        <f t="shared" si="45"/>
        <v>-20980.015248513402</v>
      </c>
      <c r="N206" s="242">
        <f t="shared" si="49"/>
        <v>0</v>
      </c>
      <c r="O206" s="243">
        <v>2</v>
      </c>
    </row>
    <row r="207" spans="1:15" s="192" customFormat="1" x14ac:dyDescent="0.25">
      <c r="A207" s="238" t="s">
        <v>844</v>
      </c>
      <c r="B207" s="319">
        <v>417</v>
      </c>
      <c r="C207" s="320">
        <v>4864201</v>
      </c>
      <c r="D207" s="266" t="s">
        <v>845</v>
      </c>
      <c r="E207" s="264">
        <v>95856</v>
      </c>
      <c r="F207" s="241" t="s">
        <v>387</v>
      </c>
      <c r="G207" s="242">
        <f t="shared" si="47"/>
        <v>0</v>
      </c>
      <c r="H207" s="244">
        <v>0</v>
      </c>
      <c r="I207" s="244">
        <f t="shared" si="43"/>
        <v>0</v>
      </c>
      <c r="J207" s="242">
        <f t="shared" si="48"/>
        <v>95856</v>
      </c>
      <c r="K207" s="243" t="s">
        <v>139</v>
      </c>
      <c r="L207" s="241">
        <v>18889.931342305601</v>
      </c>
      <c r="M207" s="242">
        <f t="shared" si="45"/>
        <v>76966.068657694399</v>
      </c>
      <c r="N207" s="242">
        <f t="shared" si="49"/>
        <v>0</v>
      </c>
      <c r="O207" s="243">
        <v>2</v>
      </c>
    </row>
    <row r="208" spans="1:15" s="192" customFormat="1" x14ac:dyDescent="0.25">
      <c r="A208" s="238" t="s">
        <v>846</v>
      </c>
      <c r="B208" s="319">
        <v>417</v>
      </c>
      <c r="C208" s="320">
        <v>4864202</v>
      </c>
      <c r="D208" s="266" t="s">
        <v>847</v>
      </c>
      <c r="E208" s="264">
        <v>91748.160000000003</v>
      </c>
      <c r="F208" s="241" t="s">
        <v>387</v>
      </c>
      <c r="G208" s="242">
        <f t="shared" si="47"/>
        <v>0</v>
      </c>
      <c r="H208" s="244">
        <v>0</v>
      </c>
      <c r="I208" s="244">
        <f t="shared" si="43"/>
        <v>0</v>
      </c>
      <c r="J208" s="242">
        <f t="shared" si="48"/>
        <v>91748.160000000003</v>
      </c>
      <c r="K208" s="243" t="s">
        <v>139</v>
      </c>
      <c r="L208" s="241">
        <v>13299.556385842399</v>
      </c>
      <c r="M208" s="242">
        <f t="shared" si="45"/>
        <v>78448.603614157604</v>
      </c>
      <c r="N208" s="242">
        <f t="shared" si="49"/>
        <v>0</v>
      </c>
      <c r="O208" s="243">
        <v>2</v>
      </c>
    </row>
    <row r="209" spans="1:15" s="192" customFormat="1" x14ac:dyDescent="0.25">
      <c r="A209" s="238" t="s">
        <v>848</v>
      </c>
      <c r="B209" s="319">
        <v>417</v>
      </c>
      <c r="C209" s="320">
        <v>4864203</v>
      </c>
      <c r="D209" s="266" t="s">
        <v>849</v>
      </c>
      <c r="E209" s="264">
        <v>17025.919999999998</v>
      </c>
      <c r="F209" s="241" t="s">
        <v>387</v>
      </c>
      <c r="G209" s="242">
        <f t="shared" si="47"/>
        <v>0</v>
      </c>
      <c r="H209" s="244">
        <v>0</v>
      </c>
      <c r="I209" s="244">
        <f t="shared" si="43"/>
        <v>0</v>
      </c>
      <c r="J209" s="242">
        <f t="shared" si="48"/>
        <v>17025.919999999998</v>
      </c>
      <c r="K209" s="243" t="s">
        <v>139</v>
      </c>
      <c r="L209" s="241">
        <v>2099.9352485134</v>
      </c>
      <c r="M209" s="242">
        <f t="shared" si="45"/>
        <v>14925.984751486598</v>
      </c>
      <c r="N209" s="242">
        <f t="shared" si="49"/>
        <v>0</v>
      </c>
      <c r="O209" s="243">
        <v>2</v>
      </c>
    </row>
    <row r="210" spans="1:15" s="192" customFormat="1" x14ac:dyDescent="0.25">
      <c r="A210" s="238" t="s">
        <v>850</v>
      </c>
      <c r="B210" s="319">
        <v>417</v>
      </c>
      <c r="C210" s="320">
        <v>4862105</v>
      </c>
      <c r="D210" s="266" t="s">
        <v>851</v>
      </c>
      <c r="E210" s="264">
        <v>-10075.280000000001</v>
      </c>
      <c r="F210" s="241" t="s">
        <v>387</v>
      </c>
      <c r="G210" s="242">
        <f t="shared" si="47"/>
        <v>0</v>
      </c>
      <c r="H210" s="244">
        <v>0</v>
      </c>
      <c r="I210" s="244">
        <f t="shared" si="43"/>
        <v>0</v>
      </c>
      <c r="J210" s="242">
        <f t="shared" si="48"/>
        <v>-10075.280000000001</v>
      </c>
      <c r="K210" s="243" t="s">
        <v>139</v>
      </c>
      <c r="L210" s="241">
        <v>-10075.280000000001</v>
      </c>
      <c r="M210" s="242">
        <f t="shared" si="45"/>
        <v>0</v>
      </c>
      <c r="N210" s="242">
        <f t="shared" si="49"/>
        <v>0</v>
      </c>
      <c r="O210" s="243">
        <v>2</v>
      </c>
    </row>
    <row r="211" spans="1:15" s="192" customFormat="1" x14ac:dyDescent="0.25">
      <c r="A211" s="238" t="s">
        <v>852</v>
      </c>
      <c r="B211" s="319">
        <v>417</v>
      </c>
      <c r="C211" s="320">
        <v>4863135</v>
      </c>
      <c r="D211" s="266" t="s">
        <v>853</v>
      </c>
      <c r="E211" s="264">
        <v>68.42</v>
      </c>
      <c r="F211" s="241" t="s">
        <v>387</v>
      </c>
      <c r="G211" s="242">
        <f t="shared" si="47"/>
        <v>0</v>
      </c>
      <c r="H211" s="244">
        <v>0</v>
      </c>
      <c r="I211" s="244">
        <f t="shared" si="43"/>
        <v>0</v>
      </c>
      <c r="J211" s="242">
        <f t="shared" si="48"/>
        <v>68.42</v>
      </c>
      <c r="K211" s="243" t="s">
        <v>433</v>
      </c>
      <c r="L211" s="241">
        <v>-958.87230125725</v>
      </c>
      <c r="M211" s="242">
        <f t="shared" si="45"/>
        <v>1027.2923012572501</v>
      </c>
      <c r="N211" s="242">
        <f t="shared" si="49"/>
        <v>0</v>
      </c>
      <c r="O211" s="243">
        <v>2</v>
      </c>
    </row>
    <row r="212" spans="1:15" s="192" customFormat="1" x14ac:dyDescent="0.25">
      <c r="A212" s="238" t="s">
        <v>854</v>
      </c>
      <c r="B212" s="319">
        <v>417</v>
      </c>
      <c r="C212" s="320">
        <v>4864123</v>
      </c>
      <c r="D212" s="266" t="s">
        <v>855</v>
      </c>
      <c r="E212" s="264">
        <v>844.8</v>
      </c>
      <c r="F212" s="241" t="s">
        <v>387</v>
      </c>
      <c r="G212" s="242">
        <f t="shared" si="47"/>
        <v>0</v>
      </c>
      <c r="H212" s="244">
        <v>0</v>
      </c>
      <c r="I212" s="244">
        <f t="shared" si="43"/>
        <v>0</v>
      </c>
      <c r="J212" s="242">
        <f t="shared" si="48"/>
        <v>844.8</v>
      </c>
      <c r="K212" s="243" t="s">
        <v>139</v>
      </c>
      <c r="L212" s="241">
        <v>166.49920092069999</v>
      </c>
      <c r="M212" s="242">
        <f t="shared" si="45"/>
        <v>678.30079907929996</v>
      </c>
      <c r="N212" s="242">
        <f t="shared" si="49"/>
        <v>0</v>
      </c>
      <c r="O212" s="243">
        <v>2</v>
      </c>
    </row>
    <row r="213" spans="1:15" s="192" customFormat="1" x14ac:dyDescent="0.25">
      <c r="A213" s="238" t="s">
        <v>856</v>
      </c>
      <c r="B213" s="319">
        <v>417</v>
      </c>
      <c r="C213" s="320">
        <v>4864124</v>
      </c>
      <c r="D213" s="266" t="s">
        <v>857</v>
      </c>
      <c r="E213" s="264">
        <v>181399.08</v>
      </c>
      <c r="F213" s="241" t="s">
        <v>387</v>
      </c>
      <c r="G213" s="242">
        <f t="shared" si="47"/>
        <v>0</v>
      </c>
      <c r="H213" s="244">
        <v>0</v>
      </c>
      <c r="I213" s="244">
        <f t="shared" si="43"/>
        <v>0</v>
      </c>
      <c r="J213" s="242">
        <f t="shared" si="48"/>
        <v>181399.08</v>
      </c>
      <c r="K213" s="243" t="s">
        <v>139</v>
      </c>
      <c r="L213" s="241">
        <v>16551.9502195147</v>
      </c>
      <c r="M213" s="242">
        <f t="shared" si="45"/>
        <v>164847.12978048529</v>
      </c>
      <c r="N213" s="242">
        <f t="shared" si="49"/>
        <v>0</v>
      </c>
      <c r="O213" s="243">
        <v>2</v>
      </c>
    </row>
    <row r="214" spans="1:15" s="192" customFormat="1" x14ac:dyDescent="0.25">
      <c r="A214" s="238" t="s">
        <v>858</v>
      </c>
      <c r="B214" s="319">
        <v>417</v>
      </c>
      <c r="C214" s="320">
        <v>4864125</v>
      </c>
      <c r="D214" s="266" t="s">
        <v>855</v>
      </c>
      <c r="E214" s="264">
        <v>18335.97</v>
      </c>
      <c r="F214" s="241" t="s">
        <v>387</v>
      </c>
      <c r="G214" s="242">
        <f t="shared" si="47"/>
        <v>0</v>
      </c>
      <c r="H214" s="244">
        <v>0</v>
      </c>
      <c r="I214" s="244">
        <f t="shared" si="43"/>
        <v>0</v>
      </c>
      <c r="J214" s="242">
        <f t="shared" si="48"/>
        <v>18335.97</v>
      </c>
      <c r="K214" s="243" t="s">
        <v>139</v>
      </c>
      <c r="L214" s="241">
        <v>3060.8143792863998</v>
      </c>
      <c r="M214" s="242">
        <f t="shared" si="45"/>
        <v>15275.155620713602</v>
      </c>
      <c r="N214" s="242">
        <f t="shared" si="49"/>
        <v>0</v>
      </c>
      <c r="O214" s="243">
        <v>2</v>
      </c>
    </row>
    <row r="215" spans="1:15" s="192" customFormat="1" x14ac:dyDescent="0.25">
      <c r="A215" s="246"/>
      <c r="B215" s="312"/>
      <c r="C215" s="328"/>
      <c r="D215" s="249"/>
      <c r="E215" s="327"/>
      <c r="F215" s="241"/>
      <c r="G215" s="241"/>
      <c r="H215" s="252"/>
      <c r="I215" s="252"/>
      <c r="J215" s="241"/>
      <c r="K215" s="251"/>
      <c r="L215" s="241"/>
      <c r="M215" s="241"/>
      <c r="N215" s="241"/>
      <c r="O215" s="251"/>
    </row>
    <row r="216" spans="1:15" s="192" customFormat="1" x14ac:dyDescent="0.25">
      <c r="A216" s="246"/>
      <c r="B216" s="312"/>
      <c r="C216" s="328"/>
      <c r="D216" s="249"/>
      <c r="E216" s="329"/>
      <c r="F216" s="241"/>
      <c r="G216" s="241"/>
      <c r="H216" s="252"/>
      <c r="I216" s="252"/>
      <c r="J216" s="241"/>
      <c r="K216" s="251"/>
      <c r="L216" s="295"/>
      <c r="M216" s="241"/>
      <c r="N216" s="241"/>
      <c r="O216" s="251"/>
    </row>
    <row r="217" spans="1:15" ht="13" x14ac:dyDescent="0.3">
      <c r="A217" s="238">
        <v>25</v>
      </c>
      <c r="B217" s="487" t="s">
        <v>859</v>
      </c>
      <c r="C217" s="488"/>
      <c r="D217" s="489"/>
      <c r="E217" s="254">
        <f>SUM(E189:E216)</f>
        <v>53837128.859999985</v>
      </c>
      <c r="F217" s="255"/>
      <c r="G217" s="254">
        <f>SUM(G189:G216)</f>
        <v>0</v>
      </c>
      <c r="H217" s="254">
        <f>SUM(H189:H216)</f>
        <v>0</v>
      </c>
      <c r="I217" s="254">
        <f>SUM(I189:I216)</f>
        <v>0</v>
      </c>
      <c r="J217" s="254">
        <f>SUM(J189:J216)</f>
        <v>53837128.859999985</v>
      </c>
      <c r="K217" s="255"/>
      <c r="L217" s="254">
        <f>SUM(L189:L216)</f>
        <v>10335787.619623408</v>
      </c>
      <c r="M217" s="254">
        <f>SUM(M189:M216)</f>
        <v>43501341.240376592</v>
      </c>
      <c r="N217" s="254">
        <f>SUM(N189:N216)</f>
        <v>0</v>
      </c>
      <c r="O217" s="227"/>
    </row>
    <row r="218" spans="1:15" ht="13" x14ac:dyDescent="0.3">
      <c r="A218" s="238">
        <v>26</v>
      </c>
      <c r="B218" s="487" t="s">
        <v>860</v>
      </c>
      <c r="C218" s="488"/>
      <c r="D218" s="489"/>
      <c r="E218" s="256">
        <v>9277393</v>
      </c>
      <c r="F218" s="258"/>
      <c r="G218" s="311"/>
      <c r="H218" s="310"/>
      <c r="I218" s="310"/>
      <c r="J218" s="311"/>
      <c r="K218" s="310"/>
      <c r="L218" s="311"/>
      <c r="M218" s="311"/>
      <c r="N218" s="311"/>
      <c r="O218" s="187"/>
    </row>
    <row r="219" spans="1:15" ht="25.5" customHeight="1" x14ac:dyDescent="0.3">
      <c r="A219" s="238">
        <v>27</v>
      </c>
      <c r="B219" s="493" t="s">
        <v>861</v>
      </c>
      <c r="C219" s="494"/>
      <c r="D219" s="495"/>
      <c r="E219" s="256">
        <v>63114522</v>
      </c>
      <c r="F219" s="330" t="s">
        <v>862</v>
      </c>
    </row>
    <row r="220" spans="1:15" x14ac:dyDescent="0.25">
      <c r="A220" s="275"/>
    </row>
    <row r="221" spans="1:15" ht="13" x14ac:dyDescent="0.3">
      <c r="B221" s="182" t="s">
        <v>863</v>
      </c>
    </row>
    <row r="222" spans="1:15" x14ac:dyDescent="0.25">
      <c r="A222" s="243" t="s">
        <v>864</v>
      </c>
      <c r="B222" s="485">
        <v>418.1</v>
      </c>
      <c r="C222" s="486"/>
      <c r="D222" s="266" t="s">
        <v>865</v>
      </c>
      <c r="E222" s="334"/>
      <c r="F222" s="241" t="s">
        <v>387</v>
      </c>
      <c r="G222" s="242">
        <f>IF(F222=$G$2,E222,0)</f>
        <v>0</v>
      </c>
      <c r="H222" s="243">
        <v>0</v>
      </c>
      <c r="I222" s="244">
        <f t="shared" ref="I222:I225" si="50">G222-H222</f>
        <v>0</v>
      </c>
      <c r="J222" s="242">
        <f>IF(F222=$J$2,E222,0)</f>
        <v>0</v>
      </c>
      <c r="K222" s="335" t="s">
        <v>139</v>
      </c>
      <c r="L222" s="241"/>
      <c r="M222" s="244">
        <f>J222-L222</f>
        <v>0</v>
      </c>
      <c r="N222" s="242">
        <f>IF(F222=$N$2,E222,0)</f>
        <v>0</v>
      </c>
      <c r="O222" s="243" t="s">
        <v>866</v>
      </c>
    </row>
    <row r="223" spans="1:15" x14ac:dyDescent="0.25">
      <c r="A223" s="243" t="s">
        <v>867</v>
      </c>
      <c r="B223" s="485">
        <v>418.1</v>
      </c>
      <c r="C223" s="486"/>
      <c r="D223" s="266" t="s">
        <v>868</v>
      </c>
      <c r="E223" s="334"/>
      <c r="F223" s="241" t="s">
        <v>387</v>
      </c>
      <c r="G223" s="242">
        <f>IF(F223=$G$2,E223,0)</f>
        <v>0</v>
      </c>
      <c r="H223" s="243">
        <v>0</v>
      </c>
      <c r="I223" s="244">
        <f t="shared" si="50"/>
        <v>0</v>
      </c>
      <c r="J223" s="242">
        <f>IF(F223=$J$2,E223,0)</f>
        <v>0</v>
      </c>
      <c r="K223" s="335" t="s">
        <v>433</v>
      </c>
      <c r="L223" s="241"/>
      <c r="M223" s="244">
        <f>J223-L223</f>
        <v>0</v>
      </c>
      <c r="N223" s="242">
        <f>IF(F223=$N$2,E223,0)</f>
        <v>0</v>
      </c>
      <c r="O223" s="243" t="s">
        <v>866</v>
      </c>
    </row>
    <row r="224" spans="1:15" x14ac:dyDescent="0.25">
      <c r="A224" s="243" t="s">
        <v>869</v>
      </c>
      <c r="B224" s="485">
        <v>418.1</v>
      </c>
      <c r="C224" s="486"/>
      <c r="D224" s="266" t="s">
        <v>870</v>
      </c>
      <c r="E224" s="334"/>
      <c r="F224" s="241" t="s">
        <v>387</v>
      </c>
      <c r="G224" s="242">
        <f>IF(F224=$G$2,E224,0)</f>
        <v>0</v>
      </c>
      <c r="H224" s="243">
        <v>0</v>
      </c>
      <c r="I224" s="244">
        <f t="shared" si="50"/>
        <v>0</v>
      </c>
      <c r="J224" s="242">
        <f>IF(F224=$J$2,E224,0)</f>
        <v>0</v>
      </c>
      <c r="K224" s="335" t="s">
        <v>433</v>
      </c>
      <c r="L224" s="241"/>
      <c r="M224" s="244">
        <f>J224-L224</f>
        <v>0</v>
      </c>
      <c r="N224" s="242">
        <f>IF(F224=$N$2,E224,0)</f>
        <v>0</v>
      </c>
      <c r="O224" s="243" t="s">
        <v>871</v>
      </c>
    </row>
    <row r="225" spans="1:15" x14ac:dyDescent="0.25">
      <c r="A225" s="243" t="s">
        <v>872</v>
      </c>
      <c r="B225" s="485">
        <v>418.1</v>
      </c>
      <c r="C225" s="486"/>
      <c r="D225" s="266" t="s">
        <v>873</v>
      </c>
      <c r="E225" s="264">
        <v>-526</v>
      </c>
      <c r="F225" s="241" t="s">
        <v>386</v>
      </c>
      <c r="G225" s="242">
        <f>IF(F225=$G$2,E225,0)</f>
        <v>-526</v>
      </c>
      <c r="H225" s="243">
        <v>0</v>
      </c>
      <c r="I225" s="244">
        <f t="shared" si="50"/>
        <v>-526</v>
      </c>
      <c r="J225" s="242">
        <f>IF(F225=$J$2,E225,0)</f>
        <v>0</v>
      </c>
      <c r="K225" s="335"/>
      <c r="L225" s="241"/>
      <c r="M225" s="244">
        <f>J225-L225</f>
        <v>0</v>
      </c>
      <c r="N225" s="242">
        <f>IF(F225=$N$2,E225,0)</f>
        <v>0</v>
      </c>
      <c r="O225" s="243">
        <v>13</v>
      </c>
    </row>
    <row r="226" spans="1:15" x14ac:dyDescent="0.25">
      <c r="A226" s="243" t="s">
        <v>874</v>
      </c>
      <c r="B226" s="336">
        <v>418.1</v>
      </c>
      <c r="C226" s="337"/>
      <c r="D226" s="266" t="s">
        <v>875</v>
      </c>
      <c r="E226" s="301">
        <v>745034.55999999947</v>
      </c>
      <c r="F226" s="264" t="s">
        <v>386</v>
      </c>
      <c r="G226" s="261">
        <f>IF(F226=$G$2,E226,0)</f>
        <v>745034.55999999947</v>
      </c>
      <c r="H226" s="262">
        <f>E226*$D$267</f>
        <v>45372.604703999968</v>
      </c>
      <c r="I226" s="262">
        <f>G226-H226</f>
        <v>699661.95529599953</v>
      </c>
      <c r="J226" s="261">
        <f>IF(F226=$J$2,E226,0)</f>
        <v>0</v>
      </c>
      <c r="K226" s="335"/>
      <c r="L226" s="241"/>
      <c r="M226" s="244">
        <f>J226-L226</f>
        <v>0</v>
      </c>
      <c r="N226" s="242">
        <f>IF(F226=$N$2,E226,0)</f>
        <v>0</v>
      </c>
      <c r="O226" s="243" t="s">
        <v>876</v>
      </c>
    </row>
    <row r="227" spans="1:15" x14ac:dyDescent="0.25">
      <c r="A227" s="251"/>
      <c r="B227" s="338"/>
      <c r="C227" s="268"/>
      <c r="D227" s="249"/>
      <c r="E227" s="301"/>
      <c r="F227" s="264"/>
      <c r="G227" s="264"/>
      <c r="H227" s="263"/>
      <c r="I227" s="263"/>
      <c r="J227" s="264"/>
      <c r="K227" s="339"/>
      <c r="L227" s="241"/>
      <c r="M227" s="340"/>
      <c r="N227" s="241"/>
      <c r="O227" s="251"/>
    </row>
    <row r="228" spans="1:15" x14ac:dyDescent="0.25">
      <c r="A228" s="251"/>
      <c r="B228" s="338"/>
      <c r="C228" s="268"/>
      <c r="D228" s="249"/>
      <c r="E228" s="301"/>
      <c r="F228" s="264"/>
      <c r="G228" s="264"/>
      <c r="H228" s="263"/>
      <c r="I228" s="263"/>
      <c r="J228" s="264"/>
      <c r="K228" s="339"/>
      <c r="L228" s="241"/>
      <c r="M228" s="340"/>
      <c r="N228" s="241"/>
      <c r="O228" s="251"/>
    </row>
    <row r="229" spans="1:15" ht="13" x14ac:dyDescent="0.3">
      <c r="A229" s="243">
        <v>29</v>
      </c>
      <c r="B229" s="487" t="s">
        <v>877</v>
      </c>
      <c r="C229" s="488"/>
      <c r="D229" s="489"/>
      <c r="E229" s="341">
        <f>SUM(E222:E228)</f>
        <v>744508.55999999947</v>
      </c>
      <c r="F229" s="342"/>
      <c r="G229" s="341">
        <f>SUM(G222:G228)</f>
        <v>744508.55999999947</v>
      </c>
      <c r="H229" s="341">
        <f>SUM(H222:H228)</f>
        <v>45372.604703999968</v>
      </c>
      <c r="I229" s="341">
        <f>SUM(I222:I228)</f>
        <v>699135.95529599953</v>
      </c>
      <c r="J229" s="341">
        <f>SUM(J222:J228)</f>
        <v>0</v>
      </c>
      <c r="K229" s="343"/>
      <c r="L229" s="344">
        <f>SUM(L222:L228)</f>
        <v>0</v>
      </c>
      <c r="M229" s="344">
        <f>SUM(M222:M228)</f>
        <v>0</v>
      </c>
      <c r="N229" s="344">
        <f>SUM(N222:N228)</f>
        <v>0</v>
      </c>
      <c r="O229" s="227"/>
    </row>
    <row r="230" spans="1:15" ht="13" x14ac:dyDescent="0.3">
      <c r="A230" s="243">
        <v>30</v>
      </c>
      <c r="B230" s="487" t="s">
        <v>878</v>
      </c>
      <c r="C230" s="488"/>
      <c r="D230" s="489"/>
      <c r="E230" s="345">
        <f>E231-E229</f>
        <v>-745034.55999999947</v>
      </c>
      <c r="F230" s="346"/>
      <c r="G230" s="346"/>
      <c r="H230" s="346"/>
      <c r="I230" s="346"/>
      <c r="J230" s="347"/>
      <c r="K230" s="348"/>
      <c r="L230" s="349"/>
      <c r="M230" s="349"/>
      <c r="N230" s="349"/>
      <c r="O230" s="187"/>
    </row>
    <row r="231" spans="1:15" ht="25.5" customHeight="1" x14ac:dyDescent="0.3">
      <c r="A231" s="243">
        <v>31</v>
      </c>
      <c r="B231" s="490" t="s">
        <v>879</v>
      </c>
      <c r="C231" s="491"/>
      <c r="D231" s="491"/>
      <c r="E231" s="350">
        <v>-526</v>
      </c>
      <c r="F231" s="346"/>
      <c r="G231" s="346"/>
      <c r="H231" s="346"/>
      <c r="I231" s="346"/>
      <c r="J231" s="347"/>
      <c r="K231" s="348"/>
      <c r="L231" s="349"/>
      <c r="M231" s="349"/>
      <c r="N231" s="349"/>
      <c r="O231" s="187"/>
    </row>
    <row r="232" spans="1:15" x14ac:dyDescent="0.25">
      <c r="A232" s="275"/>
    </row>
    <row r="233" spans="1:15" ht="13" x14ac:dyDescent="0.3">
      <c r="A233" s="243">
        <v>32</v>
      </c>
      <c r="B233" s="351"/>
      <c r="C233" s="352"/>
      <c r="D233" s="353" t="s">
        <v>880</v>
      </c>
      <c r="E233" s="354">
        <f>E8+E37+E44+E80+E147+E175+E180+E185+E217+E229</f>
        <v>869163830.28999984</v>
      </c>
      <c r="F233" s="355"/>
      <c r="G233" s="354">
        <f>G8+G37+G44+G80+G147+G175+G180+G185+G217+G229</f>
        <v>260350453.58350301</v>
      </c>
      <c r="H233" s="354">
        <f>H8+H37+H44+H80+H147+H175+H180+H185+H217+H229</f>
        <v>38825253.462376997</v>
      </c>
      <c r="I233" s="354">
        <f>I8+I37+I44+I80+I147+I175+I180+I185+I217+I229</f>
        <v>221525200.12112603</v>
      </c>
      <c r="J233" s="354">
        <f>J8+J37+J44+J80+J147+J175+J180+J185+J217+J229</f>
        <v>80186919.459999979</v>
      </c>
      <c r="K233" s="355"/>
      <c r="L233" s="354">
        <f>L8+L37+L44+L80+L147+L175+L180+L185+L217+L229</f>
        <v>16671389.000000004</v>
      </c>
      <c r="M233" s="354">
        <f>M8+M37+M44+M80+M147+M175+M180+M185+M217+M229</f>
        <v>63515530.459999993</v>
      </c>
      <c r="N233" s="354">
        <f>N8+N37+N44+N80+N147+N175+N180+N185+N217+N229</f>
        <v>528626457.24649698</v>
      </c>
      <c r="O233" s="227"/>
    </row>
    <row r="234" spans="1:15" x14ac:dyDescent="0.25">
      <c r="A234" s="356"/>
      <c r="B234" s="356"/>
      <c r="C234" s="356"/>
      <c r="E234" s="275"/>
      <c r="F234" s="275"/>
      <c r="G234" s="357"/>
      <c r="J234" s="358"/>
      <c r="K234" s="359"/>
      <c r="N234" s="357"/>
    </row>
    <row r="235" spans="1:15" x14ac:dyDescent="0.25">
      <c r="A235" s="356"/>
      <c r="B235" s="356"/>
      <c r="C235" s="356"/>
      <c r="E235" s="275"/>
      <c r="F235" s="275" t="s">
        <v>37</v>
      </c>
      <c r="H235" s="274"/>
      <c r="J235" s="358"/>
      <c r="K235" s="359"/>
      <c r="N235" s="357"/>
    </row>
    <row r="236" spans="1:15" x14ac:dyDescent="0.25">
      <c r="A236" s="243">
        <v>33</v>
      </c>
      <c r="B236" s="360"/>
      <c r="C236" s="360"/>
      <c r="D236" s="361" t="s">
        <v>881</v>
      </c>
      <c r="E236" s="282">
        <f>L233</f>
        <v>16671389.000000004</v>
      </c>
      <c r="F236" s="362" t="s">
        <v>882</v>
      </c>
      <c r="G236" s="357"/>
      <c r="N236" s="357"/>
    </row>
    <row r="237" spans="1:15" x14ac:dyDescent="0.25">
      <c r="A237" s="243">
        <v>34</v>
      </c>
      <c r="B237" s="360"/>
      <c r="C237" s="360"/>
      <c r="D237" s="361" t="s">
        <v>883</v>
      </c>
      <c r="E237" s="282">
        <f>E236*(5.425/16.671)</f>
        <v>5425126.5865874887</v>
      </c>
      <c r="F237" s="363" t="s">
        <v>884</v>
      </c>
      <c r="G237" s="359"/>
      <c r="N237" s="357"/>
    </row>
    <row r="238" spans="1:15" x14ac:dyDescent="0.25">
      <c r="A238" s="243">
        <v>35</v>
      </c>
      <c r="B238" s="360"/>
      <c r="C238" s="360"/>
      <c r="D238" s="364"/>
      <c r="E238" s="245"/>
      <c r="F238" s="365"/>
      <c r="G238" s="359"/>
      <c r="N238" s="357"/>
    </row>
    <row r="239" spans="1:15" x14ac:dyDescent="0.25">
      <c r="A239" s="243">
        <v>36</v>
      </c>
      <c r="B239" s="360"/>
      <c r="C239" s="360"/>
      <c r="D239" s="361" t="s">
        <v>885</v>
      </c>
      <c r="E239" s="282">
        <f>SUMIF(K4:K228,"=A",M4:M228)</f>
        <v>36608562.6679141</v>
      </c>
      <c r="F239" s="363" t="s">
        <v>886</v>
      </c>
      <c r="G239" s="359"/>
      <c r="N239" s="357"/>
    </row>
    <row r="240" spans="1:15" x14ac:dyDescent="0.25">
      <c r="A240" s="243">
        <v>37</v>
      </c>
      <c r="B240" s="229"/>
      <c r="C240" s="229"/>
      <c r="D240" s="361" t="s">
        <v>887</v>
      </c>
      <c r="E240" s="282">
        <f>0.1*E239</f>
        <v>3660856.2667914103</v>
      </c>
      <c r="F240" s="366" t="str">
        <f>"= Line "&amp;A239&amp;"D * 10%"</f>
        <v>= Line 36D * 10%</v>
      </c>
      <c r="G240" s="192"/>
      <c r="H240" s="367"/>
      <c r="I240" s="368"/>
    </row>
    <row r="241" spans="1:254" x14ac:dyDescent="0.25">
      <c r="A241" s="243">
        <v>38</v>
      </c>
      <c r="B241" s="229"/>
      <c r="C241" s="229"/>
      <c r="D241" s="361" t="s">
        <v>888</v>
      </c>
      <c r="E241" s="369">
        <f>SUMIF(K4:K228,"=P",M4:M228)</f>
        <v>26906967.792085908</v>
      </c>
      <c r="F241" s="370" t="s">
        <v>889</v>
      </c>
      <c r="G241" s="192"/>
      <c r="I241" s="368"/>
    </row>
    <row r="242" spans="1:254" x14ac:dyDescent="0.25">
      <c r="A242" s="243">
        <v>39</v>
      </c>
      <c r="B242" s="229"/>
      <c r="C242" s="229"/>
      <c r="D242" s="361" t="s">
        <v>890</v>
      </c>
      <c r="E242" s="369">
        <f>0.3*E241</f>
        <v>8072090.3376257718</v>
      </c>
      <c r="F242" s="366" t="str">
        <f>"= Line "&amp;A241&amp;"D * 30%"</f>
        <v>= Line 38D * 30%</v>
      </c>
      <c r="G242" s="192"/>
      <c r="H242" s="367"/>
      <c r="I242" s="368"/>
    </row>
    <row r="243" spans="1:254" x14ac:dyDescent="0.25">
      <c r="A243" s="243">
        <v>40</v>
      </c>
      <c r="B243" s="229"/>
      <c r="C243" s="229"/>
      <c r="D243" s="361" t="s">
        <v>891</v>
      </c>
      <c r="E243" s="369">
        <f>E240+E242</f>
        <v>11732946.604417183</v>
      </c>
      <c r="F243" s="366" t="str">
        <f>"= Line "&amp;A240&amp;"D + Line "&amp;A242&amp;"D"</f>
        <v>= Line 37D + Line 39D</v>
      </c>
      <c r="G243" s="332"/>
    </row>
    <row r="244" spans="1:254" x14ac:dyDescent="0.25">
      <c r="A244" s="243">
        <v>41</v>
      </c>
      <c r="B244" s="229"/>
      <c r="C244" s="229"/>
      <c r="D244" s="361" t="s">
        <v>892</v>
      </c>
      <c r="E244" s="371">
        <f>5.425/16.671</f>
        <v>0.32541539199808051</v>
      </c>
      <c r="F244" s="363" t="s">
        <v>893</v>
      </c>
      <c r="G244" s="332"/>
    </row>
    <row r="245" spans="1:254" x14ac:dyDescent="0.25">
      <c r="A245" s="243">
        <v>42</v>
      </c>
      <c r="B245" s="229"/>
      <c r="C245" s="229"/>
      <c r="D245" s="361" t="s">
        <v>894</v>
      </c>
      <c r="E245" s="369">
        <f>E243*E244</f>
        <v>3818081.418568965</v>
      </c>
      <c r="F245" s="366" t="str">
        <f>"= Line "&amp;A243&amp;"D * Line "&amp;A244&amp;"D"</f>
        <v>= Line 40D * Line 41D</v>
      </c>
      <c r="G245" s="332"/>
    </row>
    <row r="246" spans="1:254" ht="12.75" customHeight="1" x14ac:dyDescent="0.3">
      <c r="A246" s="243">
        <v>43</v>
      </c>
      <c r="B246" s="229"/>
      <c r="C246" s="229"/>
      <c r="D246" s="372" t="s">
        <v>895</v>
      </c>
      <c r="E246" s="373">
        <f>E245+E237</f>
        <v>9243208.0051564537</v>
      </c>
      <c r="F246" s="366" t="str">
        <f>"= Line "&amp;A237&amp;"D + Line "&amp;A245&amp;"D"</f>
        <v>= Line 34D + Line 42D</v>
      </c>
      <c r="G246" s="332"/>
    </row>
    <row r="247" spans="1:254" x14ac:dyDescent="0.25">
      <c r="D247" s="332"/>
      <c r="E247" s="374"/>
      <c r="F247" s="363"/>
      <c r="G247" s="332"/>
    </row>
    <row r="248" spans="1:254" x14ac:dyDescent="0.25">
      <c r="D248" s="375"/>
      <c r="E248" s="376" t="s">
        <v>32</v>
      </c>
      <c r="F248" s="376" t="s">
        <v>37</v>
      </c>
      <c r="G248" s="377"/>
      <c r="I248" s="192"/>
      <c r="J248" s="192"/>
      <c r="K248" s="192"/>
      <c r="L248" s="375"/>
      <c r="M248" s="376"/>
      <c r="N248" s="376"/>
      <c r="O248" s="377"/>
      <c r="P248" s="275"/>
      <c r="Q248" s="192"/>
      <c r="R248" s="375"/>
      <c r="S248" s="376"/>
      <c r="T248" s="376"/>
      <c r="U248" s="377"/>
      <c r="V248" s="275"/>
      <c r="W248" s="192"/>
      <c r="X248" s="192"/>
      <c r="Y248" s="192"/>
      <c r="Z248" s="375"/>
      <c r="AA248" s="376"/>
      <c r="AB248" s="376"/>
      <c r="AC248" s="377"/>
      <c r="AD248" s="275"/>
      <c r="AE248" s="192"/>
      <c r="AF248" s="192"/>
      <c r="AG248" s="192"/>
      <c r="AH248" s="375"/>
      <c r="AI248" s="376"/>
      <c r="AJ248" s="376"/>
      <c r="AK248" s="377"/>
      <c r="AL248" s="275"/>
      <c r="AM248" s="192"/>
      <c r="AN248" s="192"/>
      <c r="AO248" s="192"/>
      <c r="AP248" s="375"/>
      <c r="AQ248" s="376"/>
      <c r="AR248" s="376"/>
      <c r="AS248" s="377"/>
      <c r="AT248" s="275"/>
      <c r="AU248" s="192"/>
      <c r="AV248" s="192"/>
      <c r="AW248" s="192"/>
      <c r="AX248" s="375"/>
      <c r="AY248" s="376"/>
      <c r="AZ248" s="376"/>
      <c r="BA248" s="377"/>
      <c r="BB248" s="275"/>
      <c r="BC248" s="192"/>
      <c r="BD248" s="192"/>
      <c r="BE248" s="192"/>
      <c r="BF248" s="375"/>
      <c r="BG248" s="376"/>
      <c r="BH248" s="376"/>
      <c r="BI248" s="377"/>
      <c r="BJ248" s="275"/>
      <c r="BK248" s="192"/>
      <c r="BL248" s="192"/>
      <c r="BM248" s="192"/>
      <c r="BN248" s="375"/>
      <c r="BO248" s="376"/>
      <c r="BP248" s="376"/>
      <c r="BQ248" s="377"/>
      <c r="BR248" s="275"/>
      <c r="BS248" s="192"/>
      <c r="BT248" s="192"/>
      <c r="BU248" s="192"/>
      <c r="BV248" s="375"/>
      <c r="BW248" s="376"/>
      <c r="BX248" s="376"/>
      <c r="BY248" s="377"/>
      <c r="BZ248" s="275"/>
      <c r="CA248" s="192"/>
      <c r="CB248" s="192"/>
      <c r="CC248" s="192"/>
      <c r="CD248" s="375"/>
      <c r="CE248" s="376"/>
      <c r="CF248" s="376"/>
      <c r="CG248" s="377"/>
      <c r="CH248" s="275"/>
      <c r="CI248" s="192"/>
      <c r="CJ248" s="192"/>
      <c r="CK248" s="192"/>
      <c r="CL248" s="375"/>
      <c r="CM248" s="376"/>
      <c r="CN248" s="376"/>
      <c r="CO248" s="377"/>
      <c r="CP248" s="275"/>
      <c r="CQ248" s="192"/>
      <c r="CR248" s="192"/>
      <c r="CS248" s="192"/>
      <c r="CT248" s="375"/>
      <c r="CU248" s="376"/>
      <c r="CV248" s="376"/>
      <c r="CW248" s="377"/>
      <c r="CX248" s="275"/>
      <c r="CY248" s="192"/>
      <c r="CZ248" s="192"/>
      <c r="DA248" s="192"/>
      <c r="DB248" s="375"/>
      <c r="DC248" s="376"/>
      <c r="DD248" s="376"/>
      <c r="DE248" s="377"/>
      <c r="DF248" s="275"/>
      <c r="DG248" s="192"/>
      <c r="DH248" s="192"/>
      <c r="DI248" s="192"/>
      <c r="DJ248" s="375"/>
      <c r="DK248" s="376"/>
      <c r="DL248" s="376"/>
      <c r="DM248" s="377"/>
      <c r="DN248" s="275"/>
      <c r="DO248" s="192"/>
      <c r="DP248" s="192"/>
      <c r="DQ248" s="192"/>
      <c r="DR248" s="375"/>
      <c r="DS248" s="376"/>
      <c r="DT248" s="376"/>
      <c r="DU248" s="377"/>
      <c r="DV248" s="275"/>
      <c r="DW248" s="192"/>
      <c r="DX248" s="192"/>
      <c r="DY248" s="192"/>
      <c r="DZ248" s="375"/>
      <c r="EA248" s="376"/>
      <c r="EB248" s="376"/>
      <c r="EC248" s="377"/>
      <c r="ED248" s="275"/>
      <c r="EE248" s="192"/>
      <c r="EF248" s="192"/>
      <c r="EG248" s="192"/>
      <c r="EH248" s="375"/>
      <c r="EI248" s="376"/>
      <c r="EJ248" s="376"/>
      <c r="EK248" s="377"/>
      <c r="EL248" s="275"/>
      <c r="EM248" s="192"/>
      <c r="EN248" s="192"/>
      <c r="EO248" s="192"/>
      <c r="EP248" s="375"/>
      <c r="EQ248" s="376"/>
      <c r="ER248" s="376"/>
      <c r="ES248" s="377"/>
      <c r="ET248" s="275"/>
      <c r="EU248" s="192"/>
      <c r="EV248" s="192"/>
      <c r="EW248" s="192"/>
      <c r="EX248" s="375"/>
      <c r="EY248" s="376"/>
      <c r="EZ248" s="376"/>
      <c r="FA248" s="377"/>
      <c r="FB248" s="275"/>
      <c r="FC248" s="192"/>
      <c r="FD248" s="192"/>
      <c r="FE248" s="192"/>
      <c r="FF248" s="375"/>
      <c r="FG248" s="376"/>
      <c r="FH248" s="376"/>
      <c r="FI248" s="377"/>
      <c r="FJ248" s="275"/>
      <c r="FK248" s="192"/>
      <c r="FL248" s="192"/>
      <c r="FM248" s="192"/>
      <c r="FN248" s="375"/>
      <c r="FO248" s="376"/>
      <c r="FP248" s="376"/>
      <c r="FQ248" s="377"/>
      <c r="FR248" s="275"/>
      <c r="FS248" s="192"/>
      <c r="FT248" s="192"/>
      <c r="FU248" s="192"/>
      <c r="FV248" s="375"/>
      <c r="FW248" s="376"/>
      <c r="FX248" s="376"/>
      <c r="FY248" s="377"/>
      <c r="FZ248" s="275"/>
      <c r="GA248" s="192"/>
      <c r="GB248" s="192"/>
      <c r="GC248" s="192"/>
      <c r="GD248" s="375"/>
      <c r="GE248" s="376"/>
      <c r="GF248" s="376"/>
      <c r="GG248" s="377"/>
      <c r="GH248" s="275"/>
      <c r="GI248" s="192"/>
      <c r="GJ248" s="192"/>
      <c r="GK248" s="192"/>
      <c r="GL248" s="375"/>
      <c r="GM248" s="376"/>
      <c r="GN248" s="376"/>
      <c r="GO248" s="377"/>
      <c r="GP248" s="275"/>
      <c r="GQ248" s="192"/>
      <c r="GR248" s="192"/>
      <c r="GS248" s="192"/>
      <c r="GT248" s="375"/>
      <c r="GU248" s="376"/>
      <c r="GV248" s="376"/>
      <c r="GW248" s="377"/>
      <c r="GX248" s="275"/>
      <c r="GY248" s="192"/>
      <c r="GZ248" s="192"/>
      <c r="HA248" s="192"/>
      <c r="HB248" s="375"/>
      <c r="HC248" s="376"/>
      <c r="HD248" s="376"/>
      <c r="HE248" s="377"/>
      <c r="HF248" s="275"/>
      <c r="HG248" s="192"/>
      <c r="HH248" s="192"/>
      <c r="HI248" s="192"/>
      <c r="HJ248" s="375"/>
      <c r="HK248" s="376"/>
      <c r="HL248" s="376"/>
      <c r="HM248" s="377"/>
      <c r="HN248" s="275"/>
      <c r="HO248" s="192"/>
      <c r="HP248" s="192"/>
      <c r="HQ248" s="192"/>
      <c r="HR248" s="375"/>
      <c r="HS248" s="376"/>
      <c r="HT248" s="376"/>
      <c r="HU248" s="377"/>
      <c r="HV248" s="275"/>
      <c r="HW248" s="192"/>
      <c r="HX248" s="192"/>
      <c r="HY248" s="192"/>
      <c r="HZ248" s="375"/>
      <c r="IA248" s="376"/>
      <c r="IB248" s="376"/>
      <c r="IC248" s="377"/>
      <c r="ID248" s="275"/>
      <c r="IE248" s="192"/>
      <c r="IF248" s="192"/>
      <c r="IG248" s="192"/>
      <c r="IH248" s="375"/>
      <c r="II248" s="376"/>
      <c r="IJ248" s="376"/>
      <c r="IK248" s="377"/>
      <c r="IL248" s="275"/>
      <c r="IM248" s="192"/>
      <c r="IN248" s="192"/>
      <c r="IO248" s="192"/>
      <c r="IP248" s="375"/>
      <c r="IQ248" s="376"/>
      <c r="IR248" s="376"/>
      <c r="IS248" s="377"/>
      <c r="IT248" s="275"/>
    </row>
    <row r="249" spans="1:254" ht="13" x14ac:dyDescent="0.3">
      <c r="A249" s="243">
        <v>44</v>
      </c>
      <c r="B249" s="182" t="s">
        <v>896</v>
      </c>
      <c r="D249" s="375"/>
      <c r="E249" s="378">
        <f>H233+E246</f>
        <v>48068461.467533454</v>
      </c>
      <c r="F249" s="379" t="s">
        <v>897</v>
      </c>
      <c r="G249" s="377"/>
      <c r="J249" s="182"/>
      <c r="K249" s="192"/>
      <c r="L249" s="375"/>
      <c r="M249" s="380"/>
      <c r="N249" s="379"/>
      <c r="O249" s="377"/>
      <c r="P249" s="275"/>
      <c r="Q249" s="192"/>
      <c r="R249" s="375"/>
      <c r="S249" s="380"/>
      <c r="T249" s="379"/>
      <c r="U249" s="377"/>
      <c r="V249" s="275"/>
      <c r="W249" s="275"/>
      <c r="X249" s="182"/>
      <c r="Y249" s="192"/>
      <c r="Z249" s="375"/>
      <c r="AA249" s="380"/>
      <c r="AB249" s="379"/>
      <c r="AC249" s="377"/>
      <c r="AD249" s="275"/>
      <c r="AE249" s="275"/>
      <c r="AF249" s="182"/>
      <c r="AG249" s="192"/>
      <c r="AH249" s="375"/>
      <c r="AI249" s="380"/>
      <c r="AJ249" s="379"/>
      <c r="AK249" s="377"/>
      <c r="AL249" s="275"/>
      <c r="AM249" s="243"/>
      <c r="AN249" s="182"/>
      <c r="AO249" s="192"/>
      <c r="AP249" s="375"/>
      <c r="AQ249" s="380"/>
      <c r="AR249" s="379"/>
      <c r="AS249" s="377"/>
      <c r="AT249" s="275"/>
      <c r="AU249" s="243"/>
      <c r="AV249" s="182"/>
      <c r="AW249" s="192"/>
      <c r="AX249" s="375"/>
      <c r="AY249" s="380"/>
      <c r="AZ249" s="379"/>
      <c r="BA249" s="377"/>
      <c r="BB249" s="275"/>
      <c r="BC249" s="243"/>
      <c r="BD249" s="182"/>
      <c r="BE249" s="192"/>
      <c r="BF249" s="375"/>
      <c r="BG249" s="380"/>
      <c r="BH249" s="379"/>
      <c r="BI249" s="377"/>
      <c r="BJ249" s="275"/>
      <c r="BK249" s="243"/>
      <c r="BL249" s="182"/>
      <c r="BM249" s="192"/>
      <c r="BN249" s="375"/>
      <c r="BO249" s="380"/>
      <c r="BP249" s="379"/>
      <c r="BQ249" s="377"/>
      <c r="BR249" s="275"/>
      <c r="BS249" s="243"/>
      <c r="BT249" s="182"/>
      <c r="BU249" s="192"/>
      <c r="BV249" s="375"/>
      <c r="BW249" s="380"/>
      <c r="BX249" s="379"/>
      <c r="BY249" s="377"/>
      <c r="BZ249" s="275"/>
      <c r="CA249" s="243"/>
      <c r="CB249" s="182"/>
      <c r="CC249" s="192"/>
      <c r="CD249" s="375"/>
      <c r="CE249" s="380"/>
      <c r="CF249" s="379"/>
      <c r="CG249" s="377"/>
      <c r="CH249" s="275"/>
      <c r="CI249" s="243"/>
      <c r="CJ249" s="182"/>
      <c r="CK249" s="192"/>
      <c r="CL249" s="375"/>
      <c r="CM249" s="380"/>
      <c r="CN249" s="379"/>
      <c r="CO249" s="377"/>
      <c r="CP249" s="275"/>
      <c r="CQ249" s="243"/>
      <c r="CR249" s="182"/>
      <c r="CS249" s="192"/>
      <c r="CT249" s="375"/>
      <c r="CU249" s="380"/>
      <c r="CV249" s="379"/>
      <c r="CW249" s="377"/>
      <c r="CX249" s="275"/>
      <c r="CY249" s="243"/>
      <c r="CZ249" s="182"/>
      <c r="DA249" s="192"/>
      <c r="DB249" s="375"/>
      <c r="DC249" s="380"/>
      <c r="DD249" s="379"/>
      <c r="DE249" s="377"/>
      <c r="DF249" s="275"/>
      <c r="DG249" s="243"/>
      <c r="DH249" s="182"/>
      <c r="DI249" s="192"/>
      <c r="DJ249" s="375"/>
      <c r="DK249" s="380"/>
      <c r="DL249" s="379"/>
      <c r="DM249" s="377"/>
      <c r="DN249" s="275"/>
      <c r="DO249" s="243"/>
      <c r="DP249" s="182"/>
      <c r="DQ249" s="192"/>
      <c r="DR249" s="375"/>
      <c r="DS249" s="380"/>
      <c r="DT249" s="379"/>
      <c r="DU249" s="377"/>
      <c r="DV249" s="275"/>
      <c r="DW249" s="243"/>
      <c r="DX249" s="182"/>
      <c r="DY249" s="192"/>
      <c r="DZ249" s="375"/>
      <c r="EA249" s="380"/>
      <c r="EB249" s="379"/>
      <c r="EC249" s="377"/>
      <c r="ED249" s="275"/>
      <c r="EE249" s="243"/>
      <c r="EF249" s="182"/>
      <c r="EG249" s="192"/>
      <c r="EH249" s="375"/>
      <c r="EI249" s="380"/>
      <c r="EJ249" s="379"/>
      <c r="EK249" s="377"/>
      <c r="EL249" s="275"/>
      <c r="EM249" s="243"/>
      <c r="EN249" s="182"/>
      <c r="EO249" s="192"/>
      <c r="EP249" s="375"/>
      <c r="EQ249" s="380"/>
      <c r="ER249" s="379"/>
      <c r="ES249" s="377"/>
      <c r="ET249" s="275"/>
      <c r="EU249" s="243"/>
      <c r="EV249" s="182"/>
      <c r="EW249" s="192"/>
      <c r="EX249" s="375"/>
      <c r="EY249" s="380"/>
      <c r="EZ249" s="379"/>
      <c r="FA249" s="377"/>
      <c r="FB249" s="275"/>
      <c r="FC249" s="243"/>
      <c r="FD249" s="182"/>
      <c r="FE249" s="192"/>
      <c r="FF249" s="375"/>
      <c r="FG249" s="380"/>
      <c r="FH249" s="379"/>
      <c r="FI249" s="377"/>
      <c r="FJ249" s="275"/>
      <c r="FK249" s="243"/>
      <c r="FL249" s="182"/>
      <c r="FM249" s="192"/>
      <c r="FN249" s="375"/>
      <c r="FO249" s="380"/>
      <c r="FP249" s="379"/>
      <c r="FQ249" s="377"/>
      <c r="FR249" s="275"/>
      <c r="FS249" s="243"/>
      <c r="FT249" s="182"/>
      <c r="FU249" s="192"/>
      <c r="FV249" s="375"/>
      <c r="FW249" s="380"/>
      <c r="FX249" s="379"/>
      <c r="FY249" s="377"/>
      <c r="FZ249" s="275"/>
      <c r="GA249" s="243"/>
      <c r="GB249" s="182"/>
      <c r="GC249" s="192"/>
      <c r="GD249" s="375"/>
      <c r="GE249" s="380"/>
      <c r="GF249" s="379"/>
      <c r="GG249" s="377"/>
      <c r="GH249" s="275"/>
      <c r="GI249" s="243"/>
      <c r="GJ249" s="182"/>
      <c r="GK249" s="192"/>
      <c r="GL249" s="375"/>
      <c r="GM249" s="380"/>
      <c r="GN249" s="379"/>
      <c r="GO249" s="377"/>
      <c r="GP249" s="275"/>
      <c r="GQ249" s="243"/>
      <c r="GR249" s="182"/>
      <c r="GS249" s="192"/>
      <c r="GT249" s="375"/>
      <c r="GU249" s="380"/>
      <c r="GV249" s="379"/>
      <c r="GW249" s="377"/>
      <c r="GX249" s="275"/>
      <c r="GY249" s="243"/>
      <c r="GZ249" s="182"/>
      <c r="HA249" s="192"/>
      <c r="HB249" s="375"/>
      <c r="HC249" s="380"/>
      <c r="HD249" s="379"/>
      <c r="HE249" s="377"/>
      <c r="HF249" s="275"/>
      <c r="HG249" s="243"/>
      <c r="HH249" s="182"/>
      <c r="HI249" s="192"/>
      <c r="HJ249" s="375"/>
      <c r="HK249" s="380"/>
      <c r="HL249" s="379"/>
      <c r="HM249" s="377"/>
      <c r="HN249" s="275"/>
      <c r="HO249" s="243"/>
      <c r="HP249" s="182"/>
      <c r="HQ249" s="192"/>
      <c r="HR249" s="375"/>
      <c r="HS249" s="380"/>
      <c r="HT249" s="379"/>
      <c r="HU249" s="377"/>
      <c r="HV249" s="275"/>
      <c r="HW249" s="243"/>
      <c r="HX249" s="182"/>
      <c r="HY249" s="192"/>
      <c r="HZ249" s="375"/>
      <c r="IA249" s="380"/>
      <c r="IB249" s="379"/>
      <c r="IC249" s="377"/>
      <c r="ID249" s="275"/>
      <c r="IE249" s="243"/>
      <c r="IF249" s="182"/>
      <c r="IG249" s="192"/>
      <c r="IH249" s="375"/>
      <c r="II249" s="380"/>
      <c r="IJ249" s="379"/>
      <c r="IK249" s="377"/>
      <c r="IL249" s="275"/>
      <c r="IM249" s="243"/>
      <c r="IN249" s="182"/>
      <c r="IO249" s="192"/>
      <c r="IP249" s="375"/>
      <c r="IQ249" s="380"/>
      <c r="IR249" s="379"/>
      <c r="IS249" s="377"/>
      <c r="IT249" s="275"/>
    </row>
    <row r="250" spans="1:254" x14ac:dyDescent="0.25">
      <c r="D250" s="332"/>
      <c r="E250" s="333"/>
      <c r="F250" s="362"/>
    </row>
    <row r="252" spans="1:254" x14ac:dyDescent="0.25">
      <c r="A252" s="192" t="s">
        <v>152</v>
      </c>
    </row>
    <row r="253" spans="1:254" ht="12.75" customHeight="1" x14ac:dyDescent="0.25">
      <c r="A253" s="381" t="s">
        <v>898</v>
      </c>
      <c r="B253" s="492" t="s">
        <v>899</v>
      </c>
      <c r="C253" s="483"/>
      <c r="D253" s="483"/>
    </row>
    <row r="254" spans="1:254" ht="77.25" customHeight="1" x14ac:dyDescent="0.25">
      <c r="A254" s="381" t="s">
        <v>900</v>
      </c>
      <c r="B254" s="481" t="s">
        <v>901</v>
      </c>
      <c r="C254" s="482"/>
      <c r="D254" s="482"/>
      <c r="E254" s="484"/>
      <c r="F254" s="484"/>
    </row>
    <row r="255" spans="1:254" ht="12.75" customHeight="1" x14ac:dyDescent="0.25">
      <c r="A255" s="381" t="s">
        <v>902</v>
      </c>
      <c r="B255" s="481" t="s">
        <v>903</v>
      </c>
      <c r="C255" s="482"/>
      <c r="D255" s="482"/>
      <c r="E255" s="484"/>
      <c r="F255" s="484"/>
    </row>
    <row r="256" spans="1:254" ht="12.75" customHeight="1" x14ac:dyDescent="0.25">
      <c r="A256" s="381" t="s">
        <v>904</v>
      </c>
      <c r="B256" s="481" t="s">
        <v>905</v>
      </c>
      <c r="C256" s="482"/>
      <c r="D256" s="482"/>
      <c r="E256" s="484"/>
      <c r="F256" s="484"/>
    </row>
    <row r="257" spans="1:8" ht="12.75" customHeight="1" x14ac:dyDescent="0.25">
      <c r="A257" s="381" t="s">
        <v>906</v>
      </c>
      <c r="B257" s="481" t="s">
        <v>907</v>
      </c>
      <c r="C257" s="482"/>
      <c r="D257" s="482"/>
      <c r="E257" s="484"/>
      <c r="F257" s="484"/>
    </row>
    <row r="258" spans="1:8" ht="12.75" customHeight="1" x14ac:dyDescent="0.25">
      <c r="A258" s="381" t="s">
        <v>908</v>
      </c>
      <c r="B258" s="481" t="s">
        <v>909</v>
      </c>
      <c r="C258" s="482"/>
      <c r="D258" s="482"/>
      <c r="E258" s="484"/>
      <c r="F258" s="484"/>
    </row>
    <row r="259" spans="1:8" ht="12.75" customHeight="1" x14ac:dyDescent="0.25">
      <c r="A259" s="381" t="s">
        <v>910</v>
      </c>
      <c r="B259" s="481" t="s">
        <v>911</v>
      </c>
      <c r="C259" s="482"/>
      <c r="D259" s="482"/>
      <c r="E259" s="483"/>
      <c r="F259" s="483"/>
    </row>
    <row r="260" spans="1:8" ht="12.75" customHeight="1" x14ac:dyDescent="0.25">
      <c r="A260" s="381"/>
      <c r="B260" s="483"/>
      <c r="C260" s="483"/>
      <c r="D260" s="483"/>
      <c r="E260" s="483"/>
      <c r="F260" s="483"/>
    </row>
    <row r="261" spans="1:8" ht="12.75" customHeight="1" x14ac:dyDescent="0.25">
      <c r="A261" s="381"/>
      <c r="B261" s="481" t="s">
        <v>912</v>
      </c>
      <c r="C261" s="482"/>
      <c r="D261" s="382">
        <v>6.0900000000000003E-2</v>
      </c>
      <c r="E261" s="383" t="s">
        <v>913</v>
      </c>
      <c r="F261" s="205" t="s">
        <v>914</v>
      </c>
      <c r="G261" s="384"/>
    </row>
    <row r="262" spans="1:8" ht="26.25" customHeight="1" x14ac:dyDescent="0.25">
      <c r="A262" s="381" t="s">
        <v>915</v>
      </c>
      <c r="B262" s="481" t="s">
        <v>916</v>
      </c>
      <c r="C262" s="482"/>
      <c r="D262" s="482"/>
      <c r="E262" s="484"/>
      <c r="F262" s="484"/>
    </row>
    <row r="263" spans="1:8" ht="27.75" customHeight="1" x14ac:dyDescent="0.25">
      <c r="A263" s="381" t="s">
        <v>917</v>
      </c>
      <c r="B263" s="481" t="s">
        <v>918</v>
      </c>
      <c r="C263" s="482"/>
      <c r="D263" s="482"/>
      <c r="E263" s="484"/>
      <c r="F263" s="484"/>
    </row>
    <row r="264" spans="1:8" ht="25.5" customHeight="1" x14ac:dyDescent="0.25">
      <c r="A264" s="381" t="s">
        <v>919</v>
      </c>
      <c r="B264" s="481" t="s">
        <v>920</v>
      </c>
      <c r="C264" s="482"/>
      <c r="D264" s="482"/>
      <c r="E264" s="484"/>
      <c r="F264" s="484"/>
    </row>
    <row r="265" spans="1:8" ht="40.4" customHeight="1" x14ac:dyDescent="0.25">
      <c r="A265" s="381" t="s">
        <v>921</v>
      </c>
      <c r="B265" s="481" t="s">
        <v>922</v>
      </c>
      <c r="C265" s="482"/>
      <c r="D265" s="482"/>
      <c r="E265" s="484"/>
      <c r="F265" s="484"/>
      <c r="G265" s="332"/>
    </row>
    <row r="266" spans="1:8" ht="38.25" customHeight="1" x14ac:dyDescent="0.25">
      <c r="A266" s="381" t="s">
        <v>923</v>
      </c>
      <c r="B266" s="481" t="s">
        <v>924</v>
      </c>
      <c r="C266" s="482"/>
      <c r="D266" s="482"/>
      <c r="E266" s="483"/>
      <c r="F266" s="483"/>
      <c r="G266" s="483"/>
    </row>
    <row r="267" spans="1:8" ht="12.75" customHeight="1" x14ac:dyDescent="0.25">
      <c r="A267" s="381"/>
      <c r="B267" s="481" t="s">
        <v>912</v>
      </c>
      <c r="C267" s="482"/>
      <c r="D267" s="382">
        <v>6.0900000000000003E-2</v>
      </c>
      <c r="E267" s="383" t="s">
        <v>913</v>
      </c>
      <c r="F267" s="205" t="s">
        <v>914</v>
      </c>
      <c r="G267" s="384"/>
    </row>
    <row r="268" spans="1:8" ht="12.75" customHeight="1" x14ac:dyDescent="0.25">
      <c r="A268" s="381" t="s">
        <v>925</v>
      </c>
      <c r="B268" s="481" t="s">
        <v>926</v>
      </c>
      <c r="C268" s="482"/>
      <c r="D268" s="482"/>
      <c r="E268" s="483"/>
      <c r="F268" s="483"/>
      <c r="G268" s="483"/>
      <c r="H268" s="483"/>
    </row>
    <row r="269" spans="1:8" ht="12.75" customHeight="1" x14ac:dyDescent="0.25">
      <c r="A269" s="381" t="s">
        <v>927</v>
      </c>
      <c r="B269" s="481" t="s">
        <v>928</v>
      </c>
      <c r="C269" s="482"/>
      <c r="D269" s="482"/>
      <c r="E269" s="483"/>
      <c r="F269" s="483"/>
      <c r="G269" s="483"/>
    </row>
    <row r="270" spans="1:8" ht="27" customHeight="1" x14ac:dyDescent="0.25">
      <c r="A270" s="381" t="s">
        <v>929</v>
      </c>
      <c r="B270" s="481" t="s">
        <v>930</v>
      </c>
      <c r="C270" s="482"/>
      <c r="D270" s="482"/>
      <c r="E270" s="484"/>
      <c r="F270" s="484"/>
      <c r="G270" s="332"/>
    </row>
    <row r="271" spans="1:8" x14ac:dyDescent="0.25">
      <c r="A271" s="381" t="s">
        <v>931</v>
      </c>
      <c r="B271" s="192" t="s">
        <v>932</v>
      </c>
      <c r="E271" s="192"/>
      <c r="F271" s="192"/>
      <c r="G271" s="332"/>
    </row>
    <row r="272" spans="1:8" x14ac:dyDescent="0.25">
      <c r="A272" s="381" t="s">
        <v>933</v>
      </c>
      <c r="B272" s="192" t="s">
        <v>934</v>
      </c>
      <c r="E272" s="332"/>
      <c r="F272" s="332"/>
      <c r="G272" s="332"/>
    </row>
    <row r="273" spans="2:7" x14ac:dyDescent="0.25">
      <c r="B273" s="192" t="s">
        <v>935</v>
      </c>
      <c r="E273" s="332"/>
      <c r="F273" s="332"/>
      <c r="G273" s="332"/>
    </row>
    <row r="274" spans="2:7" x14ac:dyDescent="0.25">
      <c r="B274" s="192" t="s">
        <v>936</v>
      </c>
      <c r="E274" s="332"/>
      <c r="F274" s="332"/>
      <c r="G274" s="332"/>
    </row>
    <row r="275" spans="2:7" x14ac:dyDescent="0.25">
      <c r="B275" s="192" t="s">
        <v>937</v>
      </c>
      <c r="E275" s="332"/>
      <c r="F275" s="332"/>
      <c r="G275" s="332"/>
    </row>
  </sheetData>
  <autoFilter ref="A1:O275" xr:uid="{00000000-0009-0000-0000-00001A000000}"/>
  <mergeCells count="45">
    <mergeCell ref="B148:D148"/>
    <mergeCell ref="G2:I2"/>
    <mergeCell ref="J2:M2"/>
    <mergeCell ref="B8:D8"/>
    <mergeCell ref="B9:D9"/>
    <mergeCell ref="B37:D37"/>
    <mergeCell ref="B38:D38"/>
    <mergeCell ref="B44:D44"/>
    <mergeCell ref="B45:D45"/>
    <mergeCell ref="B80:D80"/>
    <mergeCell ref="B81:D81"/>
    <mergeCell ref="B147:D147"/>
    <mergeCell ref="B224:C224"/>
    <mergeCell ref="B175:D175"/>
    <mergeCell ref="B176:D176"/>
    <mergeCell ref="B180:D180"/>
    <mergeCell ref="B181:D181"/>
    <mergeCell ref="B185:D185"/>
    <mergeCell ref="B186:D186"/>
    <mergeCell ref="B217:D217"/>
    <mergeCell ref="B218:D218"/>
    <mergeCell ref="B219:D219"/>
    <mergeCell ref="B222:C222"/>
    <mergeCell ref="B223:C223"/>
    <mergeCell ref="B261:C261"/>
    <mergeCell ref="B225:C225"/>
    <mergeCell ref="B229:D229"/>
    <mergeCell ref="B230:D230"/>
    <mergeCell ref="B231:D231"/>
    <mergeCell ref="B253:D253"/>
    <mergeCell ref="B254:F254"/>
    <mergeCell ref="B255:F255"/>
    <mergeCell ref="B256:F256"/>
    <mergeCell ref="B257:F257"/>
    <mergeCell ref="B258:F258"/>
    <mergeCell ref="B259:F260"/>
    <mergeCell ref="B268:H268"/>
    <mergeCell ref="B269:G269"/>
    <mergeCell ref="B270:F270"/>
    <mergeCell ref="B262:F262"/>
    <mergeCell ref="B263:F263"/>
    <mergeCell ref="B264:F264"/>
    <mergeCell ref="B265:F265"/>
    <mergeCell ref="B266:G266"/>
    <mergeCell ref="B267:C267"/>
  </mergeCells>
  <conditionalFormatting sqref="A257:A258 C182:C184 D86 C177:C179 C272:C65581 A262:A263 A265:A268 C250:C252 C233:C247 A270:A271 C146 C174 C2:C7 C39:C43 C46:C70 C82:C132 C149:C166 C186:C193 C10:C29 C36">
    <cfRule type="cellIs" dxfId="14" priority="15" stopIfTrue="1" operator="between">
      <formula>4990000</formula>
      <formula>4999999</formula>
    </cfRule>
  </conditionalFormatting>
  <conditionalFormatting sqref="A269">
    <cfRule type="cellIs" dxfId="13" priority="14" stopIfTrue="1" operator="between">
      <formula>4990000</formula>
      <formula>4999999</formula>
    </cfRule>
  </conditionalFormatting>
  <conditionalFormatting sqref="A259:A261">
    <cfRule type="cellIs" dxfId="12" priority="13" stopIfTrue="1" operator="between">
      <formula>4990000</formula>
      <formula>4999999</formula>
    </cfRule>
  </conditionalFormatting>
  <conditionalFormatting sqref="K248:K249 Q248:Q249 Y248:Y249 AG248:AG249 AO248:AO249 AW248:AW249 BE248:BE249 BM248:BM249 BU248:BU249 CC248:CC249 CK248:CK249 CS248:CS249 DA248:DA249 DI248:DI249 DQ248:DQ249 DY248:DY249 EG248:EG249 EO248:EO249 EW248:EW249 FE248:FE249 FM248:FM249 FU248:FU249 GC248:GC249 GK248:GK249 GS248:GS249 HA248:HA249 HI248:HI249 HQ248:HQ249 HY248:HY249 IG248:IG249 IO248:IO249">
    <cfRule type="cellIs" dxfId="11" priority="12" stopIfTrue="1" operator="between">
      <formula>4990000</formula>
      <formula>4999999</formula>
    </cfRule>
  </conditionalFormatting>
  <conditionalFormatting sqref="C248:C249">
    <cfRule type="cellIs" dxfId="10" priority="11" stopIfTrue="1" operator="between">
      <formula>4990000</formula>
      <formula>4999999</formula>
    </cfRule>
  </conditionalFormatting>
  <conditionalFormatting sqref="A272">
    <cfRule type="cellIs" dxfId="9" priority="10" stopIfTrue="1" operator="between">
      <formula>4990000</formula>
      <formula>4999999</formula>
    </cfRule>
  </conditionalFormatting>
  <conditionalFormatting sqref="C71:C73">
    <cfRule type="cellIs" dxfId="8" priority="9" stopIfTrue="1" operator="between">
      <formula>4990000</formula>
      <formula>4999999</formula>
    </cfRule>
  </conditionalFormatting>
  <conditionalFormatting sqref="C133:C139">
    <cfRule type="cellIs" dxfId="7" priority="8" stopIfTrue="1" operator="between">
      <formula>4990000</formula>
      <formula>4999999</formula>
    </cfRule>
  </conditionalFormatting>
  <conditionalFormatting sqref="C167:C168">
    <cfRule type="cellIs" dxfId="6" priority="7" stopIfTrue="1" operator="between">
      <formula>4990000</formula>
      <formula>4999999</formula>
    </cfRule>
  </conditionalFormatting>
  <conditionalFormatting sqref="C169">
    <cfRule type="cellIs" dxfId="5" priority="6" stopIfTrue="1" operator="between">
      <formula>4990000</formula>
      <formula>4999999</formula>
    </cfRule>
  </conditionalFormatting>
  <conditionalFormatting sqref="C30:C35">
    <cfRule type="cellIs" dxfId="4" priority="5" stopIfTrue="1" operator="between">
      <formula>4990000</formula>
      <formula>4999999</formula>
    </cfRule>
  </conditionalFormatting>
  <conditionalFormatting sqref="C142:C143">
    <cfRule type="cellIs" dxfId="3" priority="4" stopIfTrue="1" operator="between">
      <formula>4990000</formula>
      <formula>4999999</formula>
    </cfRule>
  </conditionalFormatting>
  <conditionalFormatting sqref="C172:C173">
    <cfRule type="cellIs" dxfId="2" priority="3" stopIfTrue="1" operator="between">
      <formula>4990000</formula>
      <formula>4999999</formula>
    </cfRule>
  </conditionalFormatting>
  <conditionalFormatting sqref="C76:C79">
    <cfRule type="cellIs" dxfId="1" priority="2" stopIfTrue="1" operator="between">
      <formula>4990000</formula>
      <formula>4999999</formula>
    </cfRule>
  </conditionalFormatting>
  <conditionalFormatting sqref="C144:C145">
    <cfRule type="cellIs" dxfId="0" priority="1" stopIfTrue="1" operator="between">
      <formula>4990000</formula>
      <formula>4999999</formula>
    </cfRule>
  </conditionalFormatting>
  <pageMargins left="0.7" right="0.7" top="0.75" bottom="0.75" header="0.3" footer="0.3"/>
  <pageSetup scale="45" orientation="landscape" cellComments="asDisplayed" r:id="rId1"/>
  <headerFooter>
    <oddHeader>&amp;CSchedule 21
Revenue Credits
(Revised 2020 True Up TRR)&amp;RTO2023 Draft Annual Update
Attachment 4
WP-Schedule 3-One Time Adj Prior Period
Page &amp;P of &amp;N</oddHeader>
    <oddFooter>&amp;R21-RevenueCredits</oddFooter>
  </headerFooter>
  <rowBreaks count="3" manualBreakCount="3">
    <brk id="81" max="16383" man="1"/>
    <brk id="148" max="16383" man="1"/>
    <brk id="219"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2B418-E2EF-45BF-92A3-67463A46E7F8}">
  <dimension ref="A1:I42"/>
  <sheetViews>
    <sheetView zoomScaleNormal="100" workbookViewId="0">
      <selection activeCell="E45" sqref="E45"/>
    </sheetView>
  </sheetViews>
  <sheetFormatPr defaultRowHeight="12.5" x14ac:dyDescent="0.25"/>
  <cols>
    <col min="1" max="1" width="4.54296875" customWidth="1"/>
    <col min="2" max="2" width="3.54296875" customWidth="1"/>
    <col min="3" max="6" width="10.54296875" customWidth="1"/>
    <col min="7" max="7" width="9.453125" bestFit="1" customWidth="1"/>
    <col min="8" max="8" width="4.54296875" customWidth="1"/>
    <col min="9" max="9" width="35.54296875" customWidth="1"/>
  </cols>
  <sheetData>
    <row r="1" spans="1:9" ht="13" x14ac:dyDescent="0.3">
      <c r="A1" s="182" t="s">
        <v>938</v>
      </c>
    </row>
    <row r="2" spans="1:9" ht="13" x14ac:dyDescent="0.3">
      <c r="C2" s="385"/>
      <c r="D2" s="182" t="s">
        <v>286</v>
      </c>
      <c r="E2" s="205" t="s">
        <v>939</v>
      </c>
      <c r="F2" s="386"/>
    </row>
    <row r="3" spans="1:9" ht="13" x14ac:dyDescent="0.3">
      <c r="B3" s="182" t="s">
        <v>940</v>
      </c>
      <c r="I3" s="184" t="s">
        <v>172</v>
      </c>
    </row>
    <row r="4" spans="1:9" ht="13" x14ac:dyDescent="0.3">
      <c r="B4" s="182"/>
    </row>
    <row r="5" spans="1:9" ht="13" x14ac:dyDescent="0.3">
      <c r="E5" s="187" t="s">
        <v>941</v>
      </c>
    </row>
    <row r="6" spans="1:9" ht="13" x14ac:dyDescent="0.3">
      <c r="A6" s="213" t="s">
        <v>389</v>
      </c>
      <c r="C6" s="189" t="s">
        <v>111</v>
      </c>
      <c r="D6" s="189" t="s">
        <v>112</v>
      </c>
      <c r="E6" s="213" t="s">
        <v>942</v>
      </c>
      <c r="G6" s="189" t="s">
        <v>943</v>
      </c>
      <c r="I6" s="213" t="s">
        <v>944</v>
      </c>
    </row>
    <row r="7" spans="1:9" ht="13" x14ac:dyDescent="0.3">
      <c r="A7" s="187">
        <v>1</v>
      </c>
      <c r="C7" s="387">
        <v>2020</v>
      </c>
      <c r="D7" s="388" t="s">
        <v>945</v>
      </c>
      <c r="E7" s="389">
        <v>366</v>
      </c>
      <c r="G7" s="390">
        <v>9.2480778683301876E-3</v>
      </c>
      <c r="I7" s="391" t="s">
        <v>946</v>
      </c>
    </row>
    <row r="8" spans="1:9" ht="13" x14ac:dyDescent="0.3">
      <c r="A8" s="187">
        <v>2</v>
      </c>
      <c r="C8" s="184"/>
      <c r="D8" s="184"/>
      <c r="E8" s="184"/>
      <c r="G8" s="184"/>
      <c r="I8" s="205"/>
    </row>
    <row r="10" spans="1:9" ht="13" x14ac:dyDescent="0.3">
      <c r="B10" s="182" t="s">
        <v>947</v>
      </c>
    </row>
    <row r="11" spans="1:9" ht="13" x14ac:dyDescent="0.3">
      <c r="B11" s="182"/>
    </row>
    <row r="12" spans="1:9" ht="13" x14ac:dyDescent="0.3">
      <c r="E12" s="187" t="s">
        <v>941</v>
      </c>
    </row>
    <row r="13" spans="1:9" ht="13.5" thickBot="1" x14ac:dyDescent="0.35">
      <c r="C13" s="189" t="s">
        <v>111</v>
      </c>
      <c r="D13" s="189" t="s">
        <v>112</v>
      </c>
      <c r="E13" s="213" t="s">
        <v>942</v>
      </c>
      <c r="G13" s="189" t="s">
        <v>948</v>
      </c>
      <c r="I13" s="213" t="s">
        <v>944</v>
      </c>
    </row>
    <row r="14" spans="1:9" ht="13.5" thickBot="1" x14ac:dyDescent="0.35">
      <c r="A14" s="187">
        <v>3</v>
      </c>
      <c r="C14" s="387">
        <v>2020</v>
      </c>
      <c r="D14" s="389" t="s">
        <v>945</v>
      </c>
      <c r="E14" s="389">
        <v>366</v>
      </c>
      <c r="G14" s="392">
        <v>1.1375898709474256E-2</v>
      </c>
      <c r="I14" s="205" t="s">
        <v>949</v>
      </c>
    </row>
    <row r="15" spans="1:9" ht="13" x14ac:dyDescent="0.3">
      <c r="A15" s="187">
        <v>4</v>
      </c>
      <c r="C15" s="387"/>
      <c r="D15" s="184"/>
      <c r="E15" s="184"/>
      <c r="G15" s="393"/>
      <c r="I15" s="205"/>
    </row>
    <row r="18" spans="1:9" ht="13" x14ac:dyDescent="0.3">
      <c r="B18" s="182" t="s">
        <v>950</v>
      </c>
    </row>
    <row r="19" spans="1:9" ht="13" x14ac:dyDescent="0.3">
      <c r="B19" s="182"/>
    </row>
    <row r="20" spans="1:9" ht="13" x14ac:dyDescent="0.3">
      <c r="C20" s="187" t="s">
        <v>951</v>
      </c>
      <c r="D20" s="187"/>
      <c r="E20" s="187"/>
    </row>
    <row r="21" spans="1:9" ht="13" x14ac:dyDescent="0.3">
      <c r="C21" s="189" t="s">
        <v>17</v>
      </c>
      <c r="D21" s="189" t="s">
        <v>943</v>
      </c>
      <c r="E21" s="189" t="s">
        <v>948</v>
      </c>
      <c r="I21" s="213" t="s">
        <v>42</v>
      </c>
    </row>
    <row r="22" spans="1:9" ht="13" x14ac:dyDescent="0.3">
      <c r="A22" s="187">
        <v>5</v>
      </c>
      <c r="C22" s="389">
        <v>2020</v>
      </c>
      <c r="D22" s="394">
        <f>E41</f>
        <v>9.2480778683301876E-3</v>
      </c>
      <c r="E22" s="394">
        <f>E42</f>
        <v>1.1375898709474256E-2</v>
      </c>
      <c r="I22" s="192" t="s">
        <v>952</v>
      </c>
    </row>
    <row r="24" spans="1:9" ht="13" x14ac:dyDescent="0.3">
      <c r="B24" s="182" t="s">
        <v>152</v>
      </c>
    </row>
    <row r="25" spans="1:9" x14ac:dyDescent="0.25">
      <c r="B25" s="192" t="s">
        <v>953</v>
      </c>
    </row>
    <row r="26" spans="1:9" x14ac:dyDescent="0.25">
      <c r="B26" s="192" t="s">
        <v>954</v>
      </c>
    </row>
    <row r="28" spans="1:9" ht="13" x14ac:dyDescent="0.3">
      <c r="B28" s="182" t="s">
        <v>104</v>
      </c>
    </row>
    <row r="29" spans="1:9" x14ac:dyDescent="0.25">
      <c r="B29" s="192" t="s">
        <v>955</v>
      </c>
    </row>
    <row r="30" spans="1:9" x14ac:dyDescent="0.25">
      <c r="B30" s="192" t="s">
        <v>956</v>
      </c>
    </row>
    <row r="31" spans="1:9" x14ac:dyDescent="0.25">
      <c r="B31" s="192" t="s">
        <v>957</v>
      </c>
    </row>
    <row r="32" spans="1:9" x14ac:dyDescent="0.25">
      <c r="B32" s="192" t="s">
        <v>958</v>
      </c>
    </row>
    <row r="33" spans="2:7" x14ac:dyDescent="0.25">
      <c r="B33" s="192" t="s">
        <v>959</v>
      </c>
    </row>
    <row r="34" spans="2:7" x14ac:dyDescent="0.25">
      <c r="B34" s="192" t="s">
        <v>960</v>
      </c>
    </row>
    <row r="35" spans="2:7" x14ac:dyDescent="0.25">
      <c r="B35" s="192" t="s">
        <v>961</v>
      </c>
    </row>
    <row r="36" spans="2:7" x14ac:dyDescent="0.25">
      <c r="B36" s="192" t="s">
        <v>962</v>
      </c>
    </row>
    <row r="37" spans="2:7" x14ac:dyDescent="0.25">
      <c r="B37" s="192" t="s">
        <v>963</v>
      </c>
    </row>
    <row r="38" spans="2:7" x14ac:dyDescent="0.25">
      <c r="B38" s="192" t="s">
        <v>964</v>
      </c>
    </row>
    <row r="40" spans="2:7" ht="13" x14ac:dyDescent="0.3">
      <c r="E40" s="189" t="s">
        <v>965</v>
      </c>
      <c r="G40" s="213" t="s">
        <v>37</v>
      </c>
    </row>
    <row r="41" spans="2:7" x14ac:dyDescent="0.25">
      <c r="D41" s="198" t="s">
        <v>966</v>
      </c>
      <c r="E41" s="394">
        <f>((G7*E7) + (G8*E8))/(E7+E8)</f>
        <v>9.2480778683301876E-3</v>
      </c>
      <c r="G41" s="356" t="s">
        <v>967</v>
      </c>
    </row>
    <row r="42" spans="2:7" x14ac:dyDescent="0.25">
      <c r="D42" s="198" t="s">
        <v>968</v>
      </c>
      <c r="E42" s="394">
        <f>((G14*E14) + (G15*E15))/(E14+E15)</f>
        <v>1.1375898709474256E-2</v>
      </c>
      <c r="G42" s="356" t="s">
        <v>969</v>
      </c>
    </row>
  </sheetData>
  <pageMargins left="0.75" right="0.75" top="1" bottom="1" header="0.5" footer="0.5"/>
  <pageSetup scale="82" orientation="portrait" cellComments="asDisplayed" r:id="rId1"/>
  <headerFooter alignWithMargins="0">
    <oddHeader>&amp;CSchedule 28
FF and U
(Revised 2020 True Up TRR)&amp;RTO2023 Draft Annual Update
Attachment 4
WP-Schedule 3-One Time Adj Prior Period
Page &amp;P of &amp;N</oddHeader>
    <oddFooter>&amp;R&amp;A</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55"/>
  <sheetViews>
    <sheetView topLeftCell="A19" zoomScaleNormal="100" workbookViewId="0">
      <selection activeCell="E35" sqref="E35"/>
    </sheetView>
  </sheetViews>
  <sheetFormatPr defaultColWidth="9.1796875" defaultRowHeight="14.5" x14ac:dyDescent="0.35"/>
  <cols>
    <col min="1" max="1" width="11.54296875" style="1" customWidth="1"/>
    <col min="2" max="2" width="9.1796875" style="1"/>
    <col min="3" max="3" width="8.26953125" style="1" bestFit="1" customWidth="1"/>
    <col min="4" max="4" width="15.54296875" style="1" customWidth="1"/>
    <col min="5" max="5" width="14.1796875" style="1" customWidth="1"/>
    <col min="6" max="6" width="13.7265625" style="1" customWidth="1"/>
    <col min="7" max="7" width="13.54296875" style="1" customWidth="1"/>
    <col min="8" max="8" width="15.54296875" style="1" customWidth="1"/>
    <col min="9" max="9" width="14.1796875" style="1" customWidth="1"/>
    <col min="10" max="10" width="17.7265625" style="1" customWidth="1"/>
    <col min="11" max="11" width="14.1796875" style="1" customWidth="1"/>
    <col min="12" max="12" width="14.54296875" style="1" bestFit="1" customWidth="1"/>
    <col min="13" max="13" width="13.54296875" style="1" bestFit="1" customWidth="1"/>
    <col min="14" max="14" width="15" style="1" customWidth="1"/>
    <col min="15" max="15" width="11.81640625" style="1" bestFit="1" customWidth="1"/>
    <col min="16" max="16384" width="9.1796875" style="1"/>
  </cols>
  <sheetData>
    <row r="1" spans="1:11" x14ac:dyDescent="0.35">
      <c r="A1" s="93"/>
      <c r="B1" s="93"/>
      <c r="C1" s="93"/>
      <c r="D1" s="93"/>
      <c r="E1" s="93"/>
      <c r="F1" s="93"/>
      <c r="G1" s="93"/>
      <c r="H1" s="93"/>
      <c r="I1" s="93"/>
      <c r="J1" s="93"/>
      <c r="K1" s="93"/>
    </row>
    <row r="2" spans="1:11" x14ac:dyDescent="0.35">
      <c r="A2" s="93"/>
      <c r="B2" s="93"/>
      <c r="C2" s="93"/>
      <c r="D2" s="93"/>
      <c r="E2" s="93"/>
      <c r="F2" s="93"/>
      <c r="G2" s="93"/>
      <c r="H2" s="93"/>
      <c r="I2" s="93"/>
      <c r="J2" s="93"/>
      <c r="K2" s="93"/>
    </row>
    <row r="3" spans="1:11" x14ac:dyDescent="0.35">
      <c r="A3" s="432" t="s">
        <v>27</v>
      </c>
      <c r="B3" s="433"/>
      <c r="C3" s="433"/>
      <c r="D3" s="433"/>
      <c r="E3" s="433"/>
      <c r="F3" s="433"/>
      <c r="G3" s="433"/>
      <c r="H3" s="433"/>
      <c r="I3" s="433"/>
      <c r="J3" s="433"/>
      <c r="K3" s="433"/>
    </row>
    <row r="4" spans="1:11" ht="15" thickBot="1" x14ac:dyDescent="0.4">
      <c r="A4" s="434"/>
      <c r="B4" s="435"/>
      <c r="C4" s="435"/>
      <c r="D4" s="435"/>
      <c r="E4" s="435"/>
      <c r="F4" s="435"/>
      <c r="G4" s="435"/>
      <c r="H4" s="435"/>
      <c r="I4" s="435"/>
      <c r="J4" s="435"/>
      <c r="K4" s="435"/>
    </row>
    <row r="5" spans="1:11" ht="32.25" customHeight="1" thickBot="1" x14ac:dyDescent="0.4">
      <c r="A5" s="429" t="s">
        <v>159</v>
      </c>
      <c r="B5" s="430"/>
      <c r="C5" s="430"/>
      <c r="D5" s="430"/>
      <c r="E5" s="430"/>
      <c r="F5" s="430"/>
      <c r="G5" s="431"/>
      <c r="H5" s="429" t="s">
        <v>343</v>
      </c>
      <c r="I5" s="430"/>
      <c r="J5" s="430"/>
      <c r="K5" s="431"/>
    </row>
    <row r="6" spans="1:11" ht="15" customHeight="1" x14ac:dyDescent="0.35">
      <c r="A6" s="94"/>
      <c r="B6" s="95"/>
      <c r="C6" s="95"/>
      <c r="D6" s="95"/>
      <c r="E6" s="108" t="s">
        <v>19</v>
      </c>
      <c r="F6" s="109"/>
      <c r="G6" s="110"/>
      <c r="H6" s="96"/>
      <c r="I6" s="111" t="s">
        <v>19</v>
      </c>
      <c r="J6" s="112"/>
      <c r="K6" s="113"/>
    </row>
    <row r="7" spans="1:11" ht="15" customHeight="1" x14ac:dyDescent="0.35">
      <c r="A7" s="97"/>
      <c r="B7" s="96"/>
      <c r="C7" s="96"/>
      <c r="D7" s="96"/>
      <c r="E7" s="111" t="s">
        <v>4</v>
      </c>
      <c r="F7" s="96"/>
      <c r="G7" s="114" t="s">
        <v>19</v>
      </c>
      <c r="H7" s="96"/>
      <c r="I7" s="111" t="s">
        <v>4</v>
      </c>
      <c r="J7" s="96"/>
      <c r="K7" s="114" t="s">
        <v>19</v>
      </c>
    </row>
    <row r="8" spans="1:11" ht="15" customHeight="1" x14ac:dyDescent="0.35">
      <c r="A8" s="97"/>
      <c r="B8" s="96"/>
      <c r="C8" s="96"/>
      <c r="D8" s="96"/>
      <c r="E8" s="111" t="s">
        <v>5</v>
      </c>
      <c r="F8" s="96"/>
      <c r="G8" s="114" t="s">
        <v>4</v>
      </c>
      <c r="H8" s="96"/>
      <c r="I8" s="111" t="s">
        <v>5</v>
      </c>
      <c r="J8" s="96"/>
      <c r="K8" s="114" t="s">
        <v>4</v>
      </c>
    </row>
    <row r="9" spans="1:11" ht="15" customHeight="1" x14ac:dyDescent="0.35">
      <c r="A9" s="115"/>
      <c r="B9" s="116"/>
      <c r="C9" s="117" t="s">
        <v>1</v>
      </c>
      <c r="D9" s="111" t="s">
        <v>1</v>
      </c>
      <c r="E9" s="111" t="s">
        <v>2</v>
      </c>
      <c r="F9" s="118" t="s">
        <v>3</v>
      </c>
      <c r="G9" s="114" t="s">
        <v>5</v>
      </c>
      <c r="H9" s="111" t="s">
        <v>1</v>
      </c>
      <c r="I9" s="111" t="s">
        <v>2</v>
      </c>
      <c r="J9" s="118" t="s">
        <v>3</v>
      </c>
      <c r="K9" s="114" t="s">
        <v>5</v>
      </c>
    </row>
    <row r="10" spans="1:11" ht="15" customHeight="1" x14ac:dyDescent="0.35">
      <c r="A10" s="115"/>
      <c r="B10" s="116"/>
      <c r="C10" s="118" t="s">
        <v>3</v>
      </c>
      <c r="D10" s="111" t="s">
        <v>20</v>
      </c>
      <c r="E10" s="111" t="s">
        <v>22</v>
      </c>
      <c r="F10" s="111" t="s">
        <v>23</v>
      </c>
      <c r="G10" s="114" t="s">
        <v>2</v>
      </c>
      <c r="H10" s="111" t="s">
        <v>20</v>
      </c>
      <c r="I10" s="111" t="s">
        <v>22</v>
      </c>
      <c r="J10" s="111" t="s">
        <v>23</v>
      </c>
      <c r="K10" s="114" t="s">
        <v>2</v>
      </c>
    </row>
    <row r="11" spans="1:11" ht="15.75" customHeight="1" x14ac:dyDescent="0.35">
      <c r="A11" s="119" t="s">
        <v>16</v>
      </c>
      <c r="B11" s="120" t="s">
        <v>17</v>
      </c>
      <c r="C11" s="120" t="s">
        <v>0</v>
      </c>
      <c r="D11" s="121" t="s">
        <v>26</v>
      </c>
      <c r="E11" s="121" t="s">
        <v>24</v>
      </c>
      <c r="F11" s="121" t="s">
        <v>16</v>
      </c>
      <c r="G11" s="122" t="s">
        <v>21</v>
      </c>
      <c r="H11" s="121" t="s">
        <v>26</v>
      </c>
      <c r="I11" s="121" t="s">
        <v>24</v>
      </c>
      <c r="J11" s="121" t="s">
        <v>16</v>
      </c>
      <c r="K11" s="122" t="s">
        <v>21</v>
      </c>
    </row>
    <row r="12" spans="1:11" ht="15.75" customHeight="1" x14ac:dyDescent="0.35">
      <c r="A12" s="98" t="s">
        <v>7</v>
      </c>
      <c r="B12" s="222">
        <v>2019</v>
      </c>
      <c r="C12" s="223">
        <v>4.3E-3</v>
      </c>
      <c r="D12" s="123">
        <f>'WP-2019 True Up TRR Adj'!G12/12</f>
        <v>80681.459945134819</v>
      </c>
      <c r="E12" s="124">
        <f>D12</f>
        <v>80681.459945134819</v>
      </c>
      <c r="F12" s="125">
        <f>((E12)/2)*$C12</f>
        <v>173.46513888203987</v>
      </c>
      <c r="G12" s="126">
        <f>E12+F12</f>
        <v>80854.925084016853</v>
      </c>
      <c r="H12" s="123">
        <v>0</v>
      </c>
      <c r="I12" s="124">
        <f>H12</f>
        <v>0</v>
      </c>
      <c r="J12" s="125">
        <f>((I12)/2)*C12</f>
        <v>0</v>
      </c>
      <c r="K12" s="126">
        <f>I12+J12</f>
        <v>0</v>
      </c>
    </row>
    <row r="13" spans="1:11" ht="15.75" customHeight="1" x14ac:dyDescent="0.35">
      <c r="A13" s="98" t="s">
        <v>8</v>
      </c>
      <c r="B13" s="222">
        <v>2019</v>
      </c>
      <c r="C13" s="223">
        <v>4.3E-3</v>
      </c>
      <c r="D13" s="123">
        <f>D12</f>
        <v>80681.459945134819</v>
      </c>
      <c r="E13" s="124">
        <f>D13+G12</f>
        <v>161536.38502915169</v>
      </c>
      <c r="F13" s="125">
        <f t="shared" ref="F13:F35" si="0">(((E13+G12))/2)*$C13</f>
        <v>521.14131674331236</v>
      </c>
      <c r="G13" s="126">
        <f t="shared" ref="G13:G23" si="1">E13+F13</f>
        <v>162057.52634589499</v>
      </c>
      <c r="H13" s="123">
        <v>0</v>
      </c>
      <c r="I13" s="124">
        <f>H13+K12</f>
        <v>0</v>
      </c>
      <c r="J13" s="125">
        <f t="shared" ref="J13:J23" si="2">(((I13+K12))/2)*$C13</f>
        <v>0</v>
      </c>
      <c r="K13" s="126">
        <f t="shared" ref="K13:K23" si="3">I13+J13</f>
        <v>0</v>
      </c>
    </row>
    <row r="14" spans="1:11" ht="15.75" customHeight="1" x14ac:dyDescent="0.35">
      <c r="A14" s="98" t="s">
        <v>18</v>
      </c>
      <c r="B14" s="222">
        <v>2019</v>
      </c>
      <c r="C14" s="223">
        <v>4.3E-3</v>
      </c>
      <c r="D14" s="123">
        <f t="shared" ref="D14:D23" si="4">D13</f>
        <v>80681.459945134819</v>
      </c>
      <c r="E14" s="124">
        <f t="shared" ref="E14:E35" si="5">D14+G13</f>
        <v>242738.98629102981</v>
      </c>
      <c r="F14" s="125">
        <f t="shared" si="0"/>
        <v>870.31250216938838</v>
      </c>
      <c r="G14" s="126">
        <f t="shared" si="1"/>
        <v>243609.29879319921</v>
      </c>
      <c r="H14" s="123">
        <v>0</v>
      </c>
      <c r="I14" s="124">
        <f t="shared" ref="I14:I23" si="6">H14+K13</f>
        <v>0</v>
      </c>
      <c r="J14" s="125">
        <f t="shared" si="2"/>
        <v>0</v>
      </c>
      <c r="K14" s="126">
        <f t="shared" si="3"/>
        <v>0</v>
      </c>
    </row>
    <row r="15" spans="1:11" ht="15.75" customHeight="1" x14ac:dyDescent="0.35">
      <c r="A15" s="98" t="s">
        <v>9</v>
      </c>
      <c r="B15" s="222">
        <v>2019</v>
      </c>
      <c r="C15" s="223">
        <v>4.4999999999999997E-3</v>
      </c>
      <c r="D15" s="123">
        <f t="shared" si="4"/>
        <v>80681.459945134819</v>
      </c>
      <c r="E15" s="124">
        <f t="shared" si="5"/>
        <v>324290.75873833406</v>
      </c>
      <c r="F15" s="125">
        <f t="shared" si="0"/>
        <v>1277.7751294459499</v>
      </c>
      <c r="G15" s="126">
        <f t="shared" si="1"/>
        <v>325568.53386778</v>
      </c>
      <c r="H15" s="123">
        <v>0</v>
      </c>
      <c r="I15" s="124">
        <f t="shared" si="6"/>
        <v>0</v>
      </c>
      <c r="J15" s="125">
        <f t="shared" si="2"/>
        <v>0</v>
      </c>
      <c r="K15" s="126">
        <f t="shared" si="3"/>
        <v>0</v>
      </c>
    </row>
    <row r="16" spans="1:11" ht="15.75" customHeight="1" x14ac:dyDescent="0.35">
      <c r="A16" s="98" t="s">
        <v>10</v>
      </c>
      <c r="B16" s="222">
        <v>2019</v>
      </c>
      <c r="C16" s="223">
        <v>4.4999999999999997E-3</v>
      </c>
      <c r="D16" s="123">
        <f t="shared" si="4"/>
        <v>80681.459945134819</v>
      </c>
      <c r="E16" s="124">
        <f t="shared" si="5"/>
        <v>406249.99381291482</v>
      </c>
      <c r="F16" s="125">
        <f t="shared" si="0"/>
        <v>1646.5916872815633</v>
      </c>
      <c r="G16" s="126">
        <f t="shared" si="1"/>
        <v>407896.58550019638</v>
      </c>
      <c r="H16" s="123">
        <v>0</v>
      </c>
      <c r="I16" s="124">
        <f t="shared" si="6"/>
        <v>0</v>
      </c>
      <c r="J16" s="125">
        <f t="shared" si="2"/>
        <v>0</v>
      </c>
      <c r="K16" s="126">
        <f t="shared" si="3"/>
        <v>0</v>
      </c>
    </row>
    <row r="17" spans="1:11" ht="15.75" customHeight="1" x14ac:dyDescent="0.35">
      <c r="A17" s="98" t="s">
        <v>25</v>
      </c>
      <c r="B17" s="222">
        <v>2019</v>
      </c>
      <c r="C17" s="223">
        <v>4.4999999999999997E-3</v>
      </c>
      <c r="D17" s="123">
        <f t="shared" si="4"/>
        <v>80681.459945134819</v>
      </c>
      <c r="E17" s="124">
        <f t="shared" si="5"/>
        <v>488578.0454453312</v>
      </c>
      <c r="F17" s="125">
        <f t="shared" si="0"/>
        <v>2017.0679196274368</v>
      </c>
      <c r="G17" s="126">
        <f t="shared" si="1"/>
        <v>490595.11336495861</v>
      </c>
      <c r="H17" s="123">
        <v>0</v>
      </c>
      <c r="I17" s="124">
        <f t="shared" si="6"/>
        <v>0</v>
      </c>
      <c r="J17" s="125">
        <f t="shared" si="2"/>
        <v>0</v>
      </c>
      <c r="K17" s="126">
        <f t="shared" si="3"/>
        <v>0</v>
      </c>
    </row>
    <row r="18" spans="1:11" ht="15.75" customHeight="1" x14ac:dyDescent="0.35">
      <c r="A18" s="98" t="s">
        <v>11</v>
      </c>
      <c r="B18" s="222">
        <v>2019</v>
      </c>
      <c r="C18" s="223">
        <v>4.5999999999999999E-3</v>
      </c>
      <c r="D18" s="123">
        <f t="shared" si="4"/>
        <v>80681.459945134819</v>
      </c>
      <c r="E18" s="124">
        <f t="shared" si="5"/>
        <v>571276.57331009349</v>
      </c>
      <c r="F18" s="125">
        <f t="shared" si="0"/>
        <v>2442.30487935262</v>
      </c>
      <c r="G18" s="126">
        <f t="shared" si="1"/>
        <v>573718.87818944606</v>
      </c>
      <c r="H18" s="123">
        <v>0</v>
      </c>
      <c r="I18" s="124">
        <f t="shared" si="6"/>
        <v>0</v>
      </c>
      <c r="J18" s="125">
        <f t="shared" si="2"/>
        <v>0</v>
      </c>
      <c r="K18" s="126">
        <f t="shared" si="3"/>
        <v>0</v>
      </c>
    </row>
    <row r="19" spans="1:11" ht="15.75" customHeight="1" x14ac:dyDescent="0.35">
      <c r="A19" s="98" t="s">
        <v>12</v>
      </c>
      <c r="B19" s="222">
        <v>2019</v>
      </c>
      <c r="C19" s="223">
        <v>4.5999999999999999E-3</v>
      </c>
      <c r="D19" s="123">
        <f t="shared" si="4"/>
        <v>80681.459945134819</v>
      </c>
      <c r="E19" s="124">
        <f t="shared" si="5"/>
        <v>654400.33813458087</v>
      </c>
      <c r="F19" s="125">
        <f t="shared" si="0"/>
        <v>2824.6741975452619</v>
      </c>
      <c r="G19" s="126">
        <f t="shared" si="1"/>
        <v>657225.01233212615</v>
      </c>
      <c r="H19" s="123">
        <v>0</v>
      </c>
      <c r="I19" s="124">
        <f t="shared" si="6"/>
        <v>0</v>
      </c>
      <c r="J19" s="125">
        <f t="shared" si="2"/>
        <v>0</v>
      </c>
      <c r="K19" s="126">
        <f t="shared" si="3"/>
        <v>0</v>
      </c>
    </row>
    <row r="20" spans="1:11" ht="15.75" customHeight="1" x14ac:dyDescent="0.35">
      <c r="A20" s="98" t="s">
        <v>13</v>
      </c>
      <c r="B20" s="222">
        <v>2019</v>
      </c>
      <c r="C20" s="223">
        <v>4.5999999999999999E-3</v>
      </c>
      <c r="D20" s="123">
        <f t="shared" si="4"/>
        <v>80681.459945134819</v>
      </c>
      <c r="E20" s="124">
        <f t="shared" si="5"/>
        <v>737906.47227726097</v>
      </c>
      <c r="F20" s="125">
        <f t="shared" si="0"/>
        <v>3208.8024146015905</v>
      </c>
      <c r="G20" s="126">
        <f t="shared" si="1"/>
        <v>741115.27469186252</v>
      </c>
      <c r="H20" s="123">
        <v>0</v>
      </c>
      <c r="I20" s="124">
        <f t="shared" si="6"/>
        <v>0</v>
      </c>
      <c r="J20" s="125">
        <f t="shared" si="2"/>
        <v>0</v>
      </c>
      <c r="K20" s="126">
        <f t="shared" si="3"/>
        <v>0</v>
      </c>
    </row>
    <row r="21" spans="1:11" ht="15.75" customHeight="1" x14ac:dyDescent="0.35">
      <c r="A21" s="98" t="s">
        <v>15</v>
      </c>
      <c r="B21" s="222">
        <v>2019</v>
      </c>
      <c r="C21" s="223">
        <v>4.4999999999999997E-3</v>
      </c>
      <c r="D21" s="123">
        <f t="shared" si="4"/>
        <v>80681.459945134819</v>
      </c>
      <c r="E21" s="124">
        <f t="shared" si="5"/>
        <v>821796.73463699734</v>
      </c>
      <c r="F21" s="125">
        <f t="shared" si="0"/>
        <v>3516.5520209899346</v>
      </c>
      <c r="G21" s="126">
        <f t="shared" si="1"/>
        <v>825313.28665798728</v>
      </c>
      <c r="H21" s="123">
        <v>0</v>
      </c>
      <c r="I21" s="124">
        <f t="shared" si="6"/>
        <v>0</v>
      </c>
      <c r="J21" s="125">
        <f t="shared" si="2"/>
        <v>0</v>
      </c>
      <c r="K21" s="126">
        <f t="shared" si="3"/>
        <v>0</v>
      </c>
    </row>
    <row r="22" spans="1:11" ht="15.75" customHeight="1" x14ac:dyDescent="0.35">
      <c r="A22" s="98" t="s">
        <v>14</v>
      </c>
      <c r="B22" s="222">
        <v>2019</v>
      </c>
      <c r="C22" s="223">
        <v>4.4999999999999997E-3</v>
      </c>
      <c r="D22" s="123">
        <f t="shared" si="4"/>
        <v>80681.459945134819</v>
      </c>
      <c r="E22" s="124">
        <f t="shared" si="5"/>
        <v>905994.7466031221</v>
      </c>
      <c r="F22" s="125">
        <f t="shared" si="0"/>
        <v>3895.4430748374957</v>
      </c>
      <c r="G22" s="126">
        <f t="shared" si="1"/>
        <v>909890.18967795954</v>
      </c>
      <c r="H22" s="123">
        <v>0</v>
      </c>
      <c r="I22" s="124">
        <f t="shared" si="6"/>
        <v>0</v>
      </c>
      <c r="J22" s="125">
        <f t="shared" si="2"/>
        <v>0</v>
      </c>
      <c r="K22" s="126">
        <f t="shared" si="3"/>
        <v>0</v>
      </c>
    </row>
    <row r="23" spans="1:11" ht="15.75" customHeight="1" x14ac:dyDescent="0.35">
      <c r="A23" s="98" t="s">
        <v>6</v>
      </c>
      <c r="B23" s="222">
        <v>2019</v>
      </c>
      <c r="C23" s="223">
        <v>4.4999999999999997E-3</v>
      </c>
      <c r="D23" s="123">
        <f t="shared" si="4"/>
        <v>80681.459945134819</v>
      </c>
      <c r="E23" s="124">
        <f t="shared" si="5"/>
        <v>990571.64962309436</v>
      </c>
      <c r="F23" s="125">
        <f t="shared" si="0"/>
        <v>4276.0391384273707</v>
      </c>
      <c r="G23" s="124">
        <f t="shared" si="1"/>
        <v>994847.68876152171</v>
      </c>
      <c r="H23" s="127">
        <v>0</v>
      </c>
      <c r="I23" s="124">
        <f t="shared" si="6"/>
        <v>0</v>
      </c>
      <c r="J23" s="125">
        <f t="shared" si="2"/>
        <v>0</v>
      </c>
      <c r="K23" s="126">
        <f t="shared" si="3"/>
        <v>0</v>
      </c>
    </row>
    <row r="24" spans="1:11" x14ac:dyDescent="0.35">
      <c r="A24" s="98" t="s">
        <v>7</v>
      </c>
      <c r="B24" s="224">
        <v>2020</v>
      </c>
      <c r="C24" s="223">
        <v>4.1000000000000003E-3</v>
      </c>
      <c r="D24" s="123">
        <v>0</v>
      </c>
      <c r="E24" s="124">
        <f t="shared" si="5"/>
        <v>994847.68876152171</v>
      </c>
      <c r="F24" s="125">
        <f t="shared" si="0"/>
        <v>4078.8755239222392</v>
      </c>
      <c r="G24" s="126">
        <f>E24+F24</f>
        <v>998926.56428544398</v>
      </c>
      <c r="H24" s="123">
        <f>'WP-2020 True Up TRR Adj'!D8/12</f>
        <v>296634.39020077389</v>
      </c>
      <c r="I24" s="124">
        <f>H24</f>
        <v>296634.39020077389</v>
      </c>
      <c r="J24" s="125">
        <f>((I24)/2)*C24</f>
        <v>608.10049991158655</v>
      </c>
      <c r="K24" s="126">
        <f>I24+J24</f>
        <v>297242.49070068548</v>
      </c>
    </row>
    <row r="25" spans="1:11" x14ac:dyDescent="0.35">
      <c r="A25" s="98" t="s">
        <v>8</v>
      </c>
      <c r="B25" s="224">
        <v>2020</v>
      </c>
      <c r="C25" s="223">
        <v>4.1000000000000003E-3</v>
      </c>
      <c r="D25" s="123">
        <f>D24</f>
        <v>0</v>
      </c>
      <c r="E25" s="124">
        <f t="shared" si="5"/>
        <v>998926.56428544398</v>
      </c>
      <c r="F25" s="125">
        <f t="shared" si="0"/>
        <v>4095.5989135703207</v>
      </c>
      <c r="G25" s="126">
        <f t="shared" ref="G25:G35" si="7">E25+F25</f>
        <v>1003022.1631990143</v>
      </c>
      <c r="H25" s="123">
        <f>H24</f>
        <v>296634.39020077389</v>
      </c>
      <c r="I25" s="124">
        <f>H25+K24</f>
        <v>593876.88090145937</v>
      </c>
      <c r="J25" s="125">
        <f t="shared" ref="J25:J35" si="8">(((I25+K24))/2)*$C25</f>
        <v>1826.7947117843969</v>
      </c>
      <c r="K25" s="126">
        <f t="shared" ref="K25:K35" si="9">I25+J25</f>
        <v>595703.67561324371</v>
      </c>
    </row>
    <row r="26" spans="1:11" x14ac:dyDescent="0.35">
      <c r="A26" s="98" t="s">
        <v>18</v>
      </c>
      <c r="B26" s="224">
        <v>2020</v>
      </c>
      <c r="C26" s="223">
        <v>4.1000000000000003E-3</v>
      </c>
      <c r="D26" s="123">
        <f t="shared" ref="D26:D35" si="10">D25</f>
        <v>0</v>
      </c>
      <c r="E26" s="124">
        <f t="shared" si="5"/>
        <v>1003022.1631990143</v>
      </c>
      <c r="F26" s="125">
        <f t="shared" si="0"/>
        <v>4112.3908691159586</v>
      </c>
      <c r="G26" s="126">
        <f t="shared" si="7"/>
        <v>1007134.5540681302</v>
      </c>
      <c r="H26" s="123">
        <f t="shared" ref="H26:H35" si="11">H25</f>
        <v>296634.39020077389</v>
      </c>
      <c r="I26" s="124">
        <f t="shared" ref="I26:I35" si="12">H26+K25</f>
        <v>892338.06581401755</v>
      </c>
      <c r="J26" s="125">
        <f t="shared" si="8"/>
        <v>3050.485569925886</v>
      </c>
      <c r="K26" s="126">
        <f t="shared" si="9"/>
        <v>895388.55138394341</v>
      </c>
    </row>
    <row r="27" spans="1:11" x14ac:dyDescent="0.35">
      <c r="A27" s="98" t="s">
        <v>9</v>
      </c>
      <c r="B27" s="224">
        <v>2020</v>
      </c>
      <c r="C27" s="223">
        <v>4.0000000000000001E-3</v>
      </c>
      <c r="D27" s="123">
        <f t="shared" si="10"/>
        <v>0</v>
      </c>
      <c r="E27" s="124">
        <f t="shared" si="5"/>
        <v>1007134.5540681302</v>
      </c>
      <c r="F27" s="125">
        <f t="shared" si="0"/>
        <v>4028.5382162725209</v>
      </c>
      <c r="G27" s="126">
        <f t="shared" si="7"/>
        <v>1011163.0922844027</v>
      </c>
      <c r="H27" s="123">
        <f t="shared" si="11"/>
        <v>296634.39020077389</v>
      </c>
      <c r="I27" s="124">
        <f t="shared" si="12"/>
        <v>1192022.9415847172</v>
      </c>
      <c r="J27" s="125">
        <f t="shared" si="8"/>
        <v>4174.8229859373214</v>
      </c>
      <c r="K27" s="126">
        <f t="shared" si="9"/>
        <v>1196197.7645706546</v>
      </c>
    </row>
    <row r="28" spans="1:11" x14ac:dyDescent="0.35">
      <c r="A28" s="98" t="s">
        <v>10</v>
      </c>
      <c r="B28" s="224">
        <v>2020</v>
      </c>
      <c r="C28" s="223">
        <v>4.0000000000000001E-3</v>
      </c>
      <c r="D28" s="123">
        <f t="shared" si="10"/>
        <v>0</v>
      </c>
      <c r="E28" s="124">
        <f t="shared" si="5"/>
        <v>1011163.0922844027</v>
      </c>
      <c r="F28" s="125">
        <f t="shared" si="0"/>
        <v>4044.652369137611</v>
      </c>
      <c r="G28" s="126">
        <f t="shared" si="7"/>
        <v>1015207.7446535403</v>
      </c>
      <c r="H28" s="123">
        <f t="shared" si="11"/>
        <v>296634.39020077389</v>
      </c>
      <c r="I28" s="124">
        <f t="shared" si="12"/>
        <v>1492832.1547714286</v>
      </c>
      <c r="J28" s="125">
        <f t="shared" si="8"/>
        <v>5378.0598386841657</v>
      </c>
      <c r="K28" s="126">
        <f t="shared" si="9"/>
        <v>1498210.2146101128</v>
      </c>
    </row>
    <row r="29" spans="1:11" x14ac:dyDescent="0.35">
      <c r="A29" s="98" t="s">
        <v>25</v>
      </c>
      <c r="B29" s="224">
        <v>2020</v>
      </c>
      <c r="C29" s="223">
        <v>4.0000000000000001E-3</v>
      </c>
      <c r="D29" s="123">
        <f t="shared" si="10"/>
        <v>0</v>
      </c>
      <c r="E29" s="124">
        <f t="shared" si="5"/>
        <v>1015207.7446535403</v>
      </c>
      <c r="F29" s="125">
        <f t="shared" si="0"/>
        <v>4060.8309786141613</v>
      </c>
      <c r="G29" s="126">
        <f t="shared" si="7"/>
        <v>1019268.5756321545</v>
      </c>
      <c r="H29" s="123">
        <f t="shared" si="11"/>
        <v>296634.39020077389</v>
      </c>
      <c r="I29" s="124">
        <f t="shared" si="12"/>
        <v>1794844.6048108868</v>
      </c>
      <c r="J29" s="125">
        <f t="shared" si="8"/>
        <v>6586.1096388420001</v>
      </c>
      <c r="K29" s="126">
        <f t="shared" si="9"/>
        <v>1801430.7144497288</v>
      </c>
    </row>
    <row r="30" spans="1:11" x14ac:dyDescent="0.35">
      <c r="A30" s="98" t="s">
        <v>11</v>
      </c>
      <c r="B30" s="224">
        <v>2020</v>
      </c>
      <c r="C30" s="223">
        <v>2.8999999999999998E-3</v>
      </c>
      <c r="D30" s="123">
        <f t="shared" si="10"/>
        <v>0</v>
      </c>
      <c r="E30" s="124">
        <f t="shared" si="5"/>
        <v>1019268.5756321545</v>
      </c>
      <c r="F30" s="125">
        <f t="shared" si="0"/>
        <v>2955.8788693332476</v>
      </c>
      <c r="G30" s="126">
        <f t="shared" si="7"/>
        <v>1022224.4545014878</v>
      </c>
      <c r="H30" s="123">
        <f t="shared" si="11"/>
        <v>296634.39020077389</v>
      </c>
      <c r="I30" s="124">
        <f t="shared" si="12"/>
        <v>2098065.1046505026</v>
      </c>
      <c r="J30" s="125">
        <f t="shared" si="8"/>
        <v>5654.2689376953349</v>
      </c>
      <c r="K30" s="126">
        <f t="shared" si="9"/>
        <v>2103719.3735881979</v>
      </c>
    </row>
    <row r="31" spans="1:11" x14ac:dyDescent="0.35">
      <c r="A31" s="98" t="s">
        <v>12</v>
      </c>
      <c r="B31" s="224">
        <v>2020</v>
      </c>
      <c r="C31" s="223">
        <v>2.8999999999999998E-3</v>
      </c>
      <c r="D31" s="123">
        <f t="shared" si="10"/>
        <v>0</v>
      </c>
      <c r="E31" s="124">
        <f t="shared" si="5"/>
        <v>1022224.4545014878</v>
      </c>
      <c r="F31" s="125">
        <f t="shared" si="0"/>
        <v>2964.4509180543146</v>
      </c>
      <c r="G31" s="126">
        <f t="shared" si="7"/>
        <v>1025188.9054195421</v>
      </c>
      <c r="H31" s="123">
        <f t="shared" si="11"/>
        <v>296634.39020077389</v>
      </c>
      <c r="I31" s="124">
        <f t="shared" si="12"/>
        <v>2400353.7637889716</v>
      </c>
      <c r="J31" s="125">
        <f t="shared" si="8"/>
        <v>6530.9060491968949</v>
      </c>
      <c r="K31" s="126">
        <f t="shared" si="9"/>
        <v>2406884.6698381687</v>
      </c>
    </row>
    <row r="32" spans="1:11" x14ac:dyDescent="0.35">
      <c r="A32" s="98" t="s">
        <v>13</v>
      </c>
      <c r="B32" s="224">
        <v>2020</v>
      </c>
      <c r="C32" s="223">
        <v>2.8999999999999998E-3</v>
      </c>
      <c r="D32" s="123">
        <f t="shared" si="10"/>
        <v>0</v>
      </c>
      <c r="E32" s="124">
        <f t="shared" si="5"/>
        <v>1025188.9054195421</v>
      </c>
      <c r="F32" s="125">
        <f t="shared" si="0"/>
        <v>2973.0478257166719</v>
      </c>
      <c r="G32" s="126">
        <f t="shared" si="7"/>
        <v>1028161.9532452588</v>
      </c>
      <c r="H32" s="123">
        <f t="shared" si="11"/>
        <v>296634.39020077389</v>
      </c>
      <c r="I32" s="124">
        <f t="shared" si="12"/>
        <v>2703519.0600389424</v>
      </c>
      <c r="J32" s="125">
        <f t="shared" si="8"/>
        <v>7410.0854083218101</v>
      </c>
      <c r="K32" s="126">
        <f t="shared" si="9"/>
        <v>2710929.145447264</v>
      </c>
    </row>
    <row r="33" spans="1:15" x14ac:dyDescent="0.35">
      <c r="A33" s="98" t="s">
        <v>15</v>
      </c>
      <c r="B33" s="224">
        <v>2020</v>
      </c>
      <c r="C33" s="223">
        <v>2.7000000000000001E-3</v>
      </c>
      <c r="D33" s="123">
        <f t="shared" si="10"/>
        <v>0</v>
      </c>
      <c r="E33" s="124">
        <f t="shared" si="5"/>
        <v>1028161.9532452588</v>
      </c>
      <c r="F33" s="125">
        <f t="shared" si="0"/>
        <v>2776.0372737621988</v>
      </c>
      <c r="G33" s="126">
        <f t="shared" si="7"/>
        <v>1030937.9905190209</v>
      </c>
      <c r="H33" s="123">
        <f t="shared" si="11"/>
        <v>296634.39020077389</v>
      </c>
      <c r="I33" s="124">
        <f t="shared" si="12"/>
        <v>3007563.5356480377</v>
      </c>
      <c r="J33" s="125">
        <f t="shared" si="8"/>
        <v>7719.9651194786584</v>
      </c>
      <c r="K33" s="126">
        <f t="shared" si="9"/>
        <v>3015283.5007675164</v>
      </c>
    </row>
    <row r="34" spans="1:15" x14ac:dyDescent="0.35">
      <c r="A34" s="98" t="s">
        <v>14</v>
      </c>
      <c r="B34" s="224">
        <v>2020</v>
      </c>
      <c r="C34" s="223">
        <v>2.7000000000000001E-3</v>
      </c>
      <c r="D34" s="123">
        <f t="shared" si="10"/>
        <v>0</v>
      </c>
      <c r="E34" s="124">
        <f t="shared" si="5"/>
        <v>1030937.9905190209</v>
      </c>
      <c r="F34" s="125">
        <f t="shared" si="0"/>
        <v>2783.5325744013567</v>
      </c>
      <c r="G34" s="126">
        <f t="shared" si="7"/>
        <v>1033721.5230934223</v>
      </c>
      <c r="H34" s="123">
        <f t="shared" si="11"/>
        <v>296634.39020077389</v>
      </c>
      <c r="I34" s="124">
        <f t="shared" si="12"/>
        <v>3311917.8909682902</v>
      </c>
      <c r="J34" s="125">
        <f t="shared" si="8"/>
        <v>8541.7218788433402</v>
      </c>
      <c r="K34" s="126">
        <f t="shared" si="9"/>
        <v>3320459.6128471335</v>
      </c>
    </row>
    <row r="35" spans="1:15" x14ac:dyDescent="0.35">
      <c r="A35" s="98" t="s">
        <v>6</v>
      </c>
      <c r="B35" s="224">
        <v>2020</v>
      </c>
      <c r="C35" s="223">
        <v>2.7000000000000001E-3</v>
      </c>
      <c r="D35" s="123">
        <f t="shared" si="10"/>
        <v>0</v>
      </c>
      <c r="E35" s="124">
        <f t="shared" si="5"/>
        <v>1033721.5230934223</v>
      </c>
      <c r="F35" s="125">
        <f t="shared" si="0"/>
        <v>2791.0481123522404</v>
      </c>
      <c r="G35" s="126">
        <f t="shared" si="7"/>
        <v>1036512.5712057746</v>
      </c>
      <c r="H35" s="123">
        <f t="shared" si="11"/>
        <v>296634.39020077389</v>
      </c>
      <c r="I35" s="124">
        <f t="shared" si="12"/>
        <v>3617094.0030479073</v>
      </c>
      <c r="J35" s="125">
        <f t="shared" si="8"/>
        <v>9365.6973814583052</v>
      </c>
      <c r="K35" s="126">
        <f t="shared" si="9"/>
        <v>3626459.7004293655</v>
      </c>
    </row>
    <row r="36" spans="1:15" s="15" customFormat="1" ht="15" thickBot="1" x14ac:dyDescent="0.4">
      <c r="A36" s="98"/>
      <c r="B36" s="99"/>
      <c r="C36" s="99"/>
      <c r="D36" s="100">
        <f>SUM(D12:D35)</f>
        <v>968177.51934161782</v>
      </c>
      <c r="E36" s="101"/>
      <c r="F36" s="102" t="s">
        <v>30</v>
      </c>
      <c r="G36" s="100">
        <f>G35</f>
        <v>1036512.5712057746</v>
      </c>
      <c r="H36" s="103">
        <f>SUM(H24:H35)</f>
        <v>3559612.682409286</v>
      </c>
      <c r="I36" s="101"/>
      <c r="J36" s="102" t="s">
        <v>30</v>
      </c>
      <c r="K36" s="104">
        <f>K35</f>
        <v>3626459.7004293655</v>
      </c>
      <c r="L36" s="1"/>
      <c r="M36" s="1"/>
      <c r="N36" s="1"/>
      <c r="O36" s="1"/>
    </row>
    <row r="37" spans="1:15" ht="26.25" customHeight="1" thickBot="1" x14ac:dyDescent="0.4">
      <c r="A37" s="128"/>
      <c r="B37" s="129"/>
      <c r="C37" s="129"/>
      <c r="D37" s="129"/>
      <c r="E37" s="129"/>
      <c r="F37" s="129"/>
      <c r="G37" s="129"/>
      <c r="H37" s="105"/>
      <c r="I37" s="105"/>
      <c r="J37" s="106" t="s">
        <v>155</v>
      </c>
      <c r="K37" s="107">
        <f>G36+K36</f>
        <v>4662972.2716351403</v>
      </c>
    </row>
    <row r="38" spans="1:15" x14ac:dyDescent="0.35">
      <c r="I38" s="15"/>
      <c r="J38" s="15"/>
      <c r="K38" s="15"/>
    </row>
    <row r="39" spans="1:15" x14ac:dyDescent="0.35">
      <c r="E39" s="2"/>
    </row>
    <row r="41" spans="1:15" x14ac:dyDescent="0.35">
      <c r="A41" s="3"/>
      <c r="F41" s="9"/>
    </row>
    <row r="42" spans="1:15" x14ac:dyDescent="0.35">
      <c r="E42" s="4"/>
    </row>
    <row r="47" spans="1:15" x14ac:dyDescent="0.35">
      <c r="A47" s="3"/>
    </row>
    <row r="51" spans="4:6" x14ac:dyDescent="0.35">
      <c r="D51" s="5"/>
      <c r="F51" s="6"/>
    </row>
    <row r="52" spans="4:6" x14ac:dyDescent="0.35">
      <c r="E52" s="7"/>
    </row>
    <row r="53" spans="4:6" x14ac:dyDescent="0.35">
      <c r="F53" s="8"/>
    </row>
    <row r="55" spans="4:6" x14ac:dyDescent="0.35">
      <c r="E55" s="7"/>
      <c r="F55" s="6"/>
    </row>
  </sheetData>
  <mergeCells count="3">
    <mergeCell ref="H5:K5"/>
    <mergeCell ref="A5:G5"/>
    <mergeCell ref="A3:K4"/>
  </mergeCells>
  <phoneticPr fontId="58" type="noConversion"/>
  <printOptions horizontalCentered="1"/>
  <pageMargins left="0.7" right="0.7" top="0.75" bottom="0.75" header="0.3" footer="0.3"/>
  <pageSetup scale="84" fitToHeight="0" orientation="landscape" cellComments="asDisplayed" r:id="rId1"/>
  <headerFooter>
    <oddHeader>&amp;RTO2023 Draft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1CE7B-EE7C-4211-94E6-6682C34A73A3}">
  <dimension ref="B2:J17"/>
  <sheetViews>
    <sheetView zoomScaleNormal="100" workbookViewId="0">
      <selection activeCell="G9" sqref="G9"/>
    </sheetView>
  </sheetViews>
  <sheetFormatPr defaultColWidth="9.1796875" defaultRowHeight="14.5" x14ac:dyDescent="0.35"/>
  <cols>
    <col min="1" max="1" width="2.453125" style="82" customWidth="1"/>
    <col min="2" max="3" width="9.1796875" style="82"/>
    <col min="4" max="4" width="17.81640625" style="82" customWidth="1"/>
    <col min="5" max="5" width="14.26953125" style="82" bestFit="1" customWidth="1"/>
    <col min="6" max="6" width="10.26953125" style="82" customWidth="1"/>
    <col min="7" max="7" width="12.7265625" style="82" customWidth="1"/>
    <col min="8" max="8" width="13.81640625" style="82" customWidth="1"/>
    <col min="9" max="16384" width="9.1796875" style="82"/>
  </cols>
  <sheetData>
    <row r="2" spans="2:10" ht="21" customHeight="1" x14ac:dyDescent="0.35"/>
    <row r="3" spans="2:10" x14ac:dyDescent="0.35">
      <c r="B3" s="436" t="s">
        <v>162</v>
      </c>
      <c r="C3" s="436"/>
      <c r="D3" s="436"/>
      <c r="E3" s="436"/>
      <c r="F3" s="436"/>
      <c r="G3" s="436"/>
      <c r="H3" s="436"/>
      <c r="I3" s="436"/>
      <c r="J3" s="436"/>
    </row>
    <row r="4" spans="2:10" x14ac:dyDescent="0.35">
      <c r="B4" s="436"/>
      <c r="C4" s="436"/>
      <c r="D4" s="436"/>
      <c r="E4" s="436"/>
      <c r="F4" s="436"/>
      <c r="G4" s="436"/>
      <c r="H4" s="436"/>
      <c r="I4" s="436"/>
      <c r="J4" s="436"/>
    </row>
    <row r="5" spans="2:10" ht="29" x14ac:dyDescent="0.35">
      <c r="B5" s="437" t="s">
        <v>31</v>
      </c>
      <c r="C5" s="437"/>
      <c r="D5" s="437"/>
      <c r="E5" s="86" t="s">
        <v>32</v>
      </c>
      <c r="F5" s="87" t="s">
        <v>160</v>
      </c>
      <c r="G5" s="87" t="s">
        <v>161</v>
      </c>
      <c r="H5" s="447" t="s">
        <v>33</v>
      </c>
      <c r="I5" s="447"/>
      <c r="J5" s="447"/>
    </row>
    <row r="6" spans="2:10" ht="47.5" customHeight="1" x14ac:dyDescent="0.35">
      <c r="B6" s="438" t="s">
        <v>354</v>
      </c>
      <c r="C6" s="439"/>
      <c r="D6" s="440"/>
      <c r="E6" s="153">
        <f>'WP-2019 TO2018 Sch4-TUTRR'!E73</f>
        <v>1036990439.4089098</v>
      </c>
      <c r="F6" s="85">
        <f>315/365</f>
        <v>0.86301369863013699</v>
      </c>
      <c r="G6" s="83">
        <f>E6*F6</f>
        <v>894936954.55837417</v>
      </c>
      <c r="H6" s="442" t="s">
        <v>372</v>
      </c>
      <c r="I6" s="442"/>
      <c r="J6" s="442"/>
    </row>
    <row r="7" spans="2:10" ht="56.5" customHeight="1" x14ac:dyDescent="0.35">
      <c r="B7" s="441" t="s">
        <v>353</v>
      </c>
      <c r="C7" s="439"/>
      <c r="D7" s="440"/>
      <c r="E7" s="154">
        <f>'WP-2019 TO2018 Sch4-TUTRR'!J71</f>
        <v>1036022281.0154409</v>
      </c>
      <c r="F7" s="85">
        <f>315/365</f>
        <v>0.86301369863013699</v>
      </c>
      <c r="G7" s="83">
        <f>E7*F7</f>
        <v>894101420.60236681</v>
      </c>
      <c r="H7" s="442" t="s">
        <v>371</v>
      </c>
      <c r="I7" s="442"/>
      <c r="J7" s="442"/>
    </row>
    <row r="8" spans="2:10" x14ac:dyDescent="0.35">
      <c r="B8" s="448" t="s">
        <v>165</v>
      </c>
      <c r="C8" s="449"/>
      <c r="D8" s="449"/>
      <c r="E8" s="449"/>
      <c r="F8" s="450"/>
      <c r="G8" s="88">
        <f>G6-G7</f>
        <v>835533.95600736141</v>
      </c>
      <c r="H8" s="451"/>
      <c r="I8" s="452"/>
      <c r="J8" s="453"/>
    </row>
    <row r="9" spans="2:10" ht="44.5" customHeight="1" x14ac:dyDescent="0.35">
      <c r="B9" s="454" t="s">
        <v>355</v>
      </c>
      <c r="C9" s="454"/>
      <c r="D9" s="454"/>
      <c r="E9" s="151">
        <f>'WP-2019 TO2021 Sch4-TUTRR'!E73</f>
        <v>1051023551.6159867</v>
      </c>
      <c r="F9" s="85">
        <f>50/365</f>
        <v>0.13698630136986301</v>
      </c>
      <c r="G9" s="83">
        <f>E9*F9</f>
        <v>143975828.98849133</v>
      </c>
      <c r="H9" s="442" t="s">
        <v>373</v>
      </c>
      <c r="I9" s="442"/>
      <c r="J9" s="442"/>
    </row>
    <row r="10" spans="2:10" ht="48.65" customHeight="1" x14ac:dyDescent="0.35">
      <c r="B10" s="454" t="s">
        <v>356</v>
      </c>
      <c r="C10" s="454"/>
      <c r="D10" s="454"/>
      <c r="E10" s="152">
        <f>'WP-2019 TO2021 Sch4-TUTRR'!J71</f>
        <v>1050055253.6036466</v>
      </c>
      <c r="F10" s="85">
        <f>50/365</f>
        <v>0.13698630136986301</v>
      </c>
      <c r="G10" s="83">
        <f>E10*F10</f>
        <v>143843185.42515707</v>
      </c>
      <c r="H10" s="442" t="s">
        <v>300</v>
      </c>
      <c r="I10" s="442"/>
      <c r="J10" s="442"/>
    </row>
    <row r="11" spans="2:10" ht="21.65" customHeight="1" x14ac:dyDescent="0.35">
      <c r="B11" s="455" t="s">
        <v>163</v>
      </c>
      <c r="C11" s="455"/>
      <c r="D11" s="455"/>
      <c r="E11" s="455"/>
      <c r="F11" s="455"/>
      <c r="G11" s="150">
        <f>G9-G10</f>
        <v>132643.56333425641</v>
      </c>
      <c r="H11" s="456"/>
      <c r="I11" s="457"/>
      <c r="J11" s="458"/>
    </row>
    <row r="12" spans="2:10" x14ac:dyDescent="0.35">
      <c r="B12" s="448" t="s">
        <v>164</v>
      </c>
      <c r="C12" s="449"/>
      <c r="D12" s="449"/>
      <c r="E12" s="449"/>
      <c r="F12" s="450"/>
      <c r="G12" s="89">
        <f>G8+G11</f>
        <v>968177.51934161782</v>
      </c>
      <c r="H12" s="459"/>
      <c r="I12" s="459"/>
      <c r="J12" s="459"/>
    </row>
    <row r="13" spans="2:10" x14ac:dyDescent="0.35">
      <c r="B13" s="84"/>
      <c r="C13" s="84"/>
      <c r="D13" s="84"/>
      <c r="E13" s="84"/>
      <c r="F13" s="84"/>
      <c r="G13" s="84"/>
      <c r="H13" s="84"/>
      <c r="I13" s="84"/>
      <c r="J13" s="84"/>
    </row>
    <row r="14" spans="2:10" x14ac:dyDescent="0.35">
      <c r="B14" s="84"/>
      <c r="C14" s="84"/>
      <c r="D14" s="84"/>
      <c r="E14" s="84"/>
      <c r="F14" s="84"/>
      <c r="G14" s="84"/>
      <c r="H14" s="84"/>
      <c r="I14" s="84"/>
      <c r="J14" s="84"/>
    </row>
    <row r="15" spans="2:10" x14ac:dyDescent="0.35">
      <c r="B15" s="155" t="s">
        <v>141</v>
      </c>
      <c r="C15" s="84"/>
      <c r="D15" s="84"/>
      <c r="E15" s="84"/>
      <c r="F15" s="84"/>
      <c r="G15" s="84"/>
      <c r="H15" s="84"/>
      <c r="I15" s="84"/>
      <c r="J15" s="84"/>
    </row>
    <row r="16" spans="2:10" x14ac:dyDescent="0.35">
      <c r="B16" s="445" t="s">
        <v>339</v>
      </c>
      <c r="C16" s="446"/>
      <c r="D16" s="446"/>
      <c r="E16" s="446"/>
      <c r="F16" s="446"/>
      <c r="G16" s="446"/>
      <c r="H16" s="446"/>
      <c r="I16" s="446"/>
      <c r="J16" s="84"/>
    </row>
    <row r="17" spans="2:10" ht="28.5" customHeight="1" x14ac:dyDescent="0.35">
      <c r="B17" s="443" t="s">
        <v>377</v>
      </c>
      <c r="C17" s="444"/>
      <c r="D17" s="444"/>
      <c r="E17" s="444"/>
      <c r="F17" s="444"/>
      <c r="G17" s="444"/>
      <c r="H17" s="444"/>
      <c r="I17" s="444"/>
      <c r="J17" s="444"/>
    </row>
  </sheetData>
  <mergeCells count="19">
    <mergeCell ref="B17:J17"/>
    <mergeCell ref="B16:I16"/>
    <mergeCell ref="H5:J5"/>
    <mergeCell ref="H6:J6"/>
    <mergeCell ref="B8:F8"/>
    <mergeCell ref="H8:J8"/>
    <mergeCell ref="B9:D9"/>
    <mergeCell ref="H9:J9"/>
    <mergeCell ref="B10:D10"/>
    <mergeCell ref="H10:J10"/>
    <mergeCell ref="B11:F11"/>
    <mergeCell ref="H11:J11"/>
    <mergeCell ref="B12:F12"/>
    <mergeCell ref="H12:J12"/>
    <mergeCell ref="B3:J4"/>
    <mergeCell ref="B5:D5"/>
    <mergeCell ref="B6:D6"/>
    <mergeCell ref="B7:D7"/>
    <mergeCell ref="H7:J7"/>
  </mergeCells>
  <phoneticPr fontId="58" type="noConversion"/>
  <printOptions horizontalCentered="1"/>
  <pageMargins left="0.7" right="0.7" top="0.75" bottom="0.75" header="0.3" footer="0.3"/>
  <pageSetup scale="87" orientation="portrait" r:id="rId1"/>
  <headerFooter>
    <oddHeader>&amp;RTO2023 Draft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9AC57-DACF-472D-9A9A-9218C178C0CF}">
  <sheetPr>
    <tabColor rgb="FF99CCFF"/>
  </sheetPr>
  <dimension ref="A1:O172"/>
  <sheetViews>
    <sheetView topLeftCell="A70" zoomScaleNormal="100" zoomScalePageLayoutView="80" workbookViewId="0">
      <selection activeCell="G77" sqref="G77"/>
    </sheetView>
  </sheetViews>
  <sheetFormatPr defaultRowHeight="12.5" x14ac:dyDescent="0.25"/>
  <cols>
    <col min="1" max="2" width="4.54296875" style="399" customWidth="1"/>
    <col min="3" max="3" width="18.54296875" style="399" customWidth="1"/>
    <col min="4" max="4" width="10.453125" style="399" bestFit="1" customWidth="1"/>
    <col min="5" max="7" width="15.54296875" style="399" customWidth="1"/>
    <col min="8" max="8" width="24.54296875" style="399" customWidth="1"/>
    <col min="9" max="9" width="4.54296875" style="399" customWidth="1"/>
    <col min="10" max="10" width="15.54296875" style="399" customWidth="1"/>
    <col min="11" max="11" width="4.1796875" style="399" customWidth="1"/>
    <col min="12" max="12" width="18" style="399" customWidth="1"/>
    <col min="13" max="13" width="6.08984375" style="399" customWidth="1"/>
    <col min="14" max="14" width="15.453125" style="399" customWidth="1"/>
    <col min="15" max="16384" width="8.7265625" style="399"/>
  </cols>
  <sheetData>
    <row r="1" spans="1:14" ht="13" x14ac:dyDescent="0.3">
      <c r="A1" s="182" t="s">
        <v>35</v>
      </c>
    </row>
    <row r="3" spans="1:14" ht="13" x14ac:dyDescent="0.3">
      <c r="B3" s="400" t="s">
        <v>36</v>
      </c>
      <c r="L3" s="187"/>
    </row>
    <row r="4" spans="1:14" ht="13" x14ac:dyDescent="0.3">
      <c r="B4" s="401"/>
      <c r="F4" s="187" t="s">
        <v>37</v>
      </c>
      <c r="G4" s="187"/>
      <c r="H4" s="187" t="s">
        <v>38</v>
      </c>
      <c r="L4" s="187"/>
      <c r="N4" s="187"/>
    </row>
    <row r="5" spans="1:14" ht="13" x14ac:dyDescent="0.3">
      <c r="A5" s="188" t="s">
        <v>39</v>
      </c>
      <c r="B5" s="203"/>
      <c r="C5" s="213" t="s">
        <v>40</v>
      </c>
      <c r="F5" s="189" t="s">
        <v>41</v>
      </c>
      <c r="G5" s="189" t="s">
        <v>42</v>
      </c>
      <c r="H5" s="189" t="s">
        <v>43</v>
      </c>
      <c r="J5" s="189" t="s">
        <v>32</v>
      </c>
      <c r="L5" s="189"/>
      <c r="N5" s="189"/>
    </row>
    <row r="6" spans="1:14" ht="13" x14ac:dyDescent="0.3">
      <c r="A6" s="187">
        <v>1</v>
      </c>
      <c r="C6" s="366" t="s">
        <v>44</v>
      </c>
      <c r="F6" s="399" t="s">
        <v>45</v>
      </c>
      <c r="H6" s="366" t="s">
        <v>301</v>
      </c>
      <c r="J6" s="193">
        <v>8939630709.3337479</v>
      </c>
      <c r="L6" s="189"/>
      <c r="N6" s="193"/>
    </row>
    <row r="7" spans="1:14" ht="13" x14ac:dyDescent="0.3">
      <c r="A7" s="187">
        <f>A6+1</f>
        <v>2</v>
      </c>
      <c r="C7" s="366" t="s">
        <v>46</v>
      </c>
      <c r="F7" s="399" t="s">
        <v>47</v>
      </c>
      <c r="H7" s="366" t="s">
        <v>302</v>
      </c>
      <c r="J7" s="193">
        <v>289044062.07088608</v>
      </c>
      <c r="L7" s="189"/>
      <c r="N7" s="193"/>
    </row>
    <row r="8" spans="1:14" ht="13" x14ac:dyDescent="0.3">
      <c r="A8" s="187">
        <f>A7+1</f>
        <v>3</v>
      </c>
      <c r="C8" s="366" t="s">
        <v>48</v>
      </c>
      <c r="F8" s="399" t="s">
        <v>47</v>
      </c>
      <c r="H8" s="399" t="s">
        <v>303</v>
      </c>
      <c r="J8" s="193">
        <v>9942155</v>
      </c>
      <c r="L8" s="189"/>
      <c r="N8" s="193"/>
    </row>
    <row r="9" spans="1:14" ht="13" x14ac:dyDescent="0.3">
      <c r="A9" s="187">
        <f>A8+1</f>
        <v>4</v>
      </c>
      <c r="C9" s="366" t="s">
        <v>49</v>
      </c>
      <c r="F9" s="399" t="s">
        <v>47</v>
      </c>
      <c r="H9" s="192" t="s">
        <v>304</v>
      </c>
      <c r="J9" s="193">
        <v>0</v>
      </c>
      <c r="L9" s="189"/>
      <c r="N9" s="193"/>
    </row>
    <row r="10" spans="1:14" ht="13" x14ac:dyDescent="0.3">
      <c r="A10" s="187"/>
      <c r="C10" s="366"/>
      <c r="J10" s="193"/>
      <c r="L10" s="189"/>
      <c r="N10" s="193"/>
    </row>
    <row r="11" spans="1:14" ht="13" x14ac:dyDescent="0.3">
      <c r="A11" s="187"/>
      <c r="C11" s="402" t="s">
        <v>50</v>
      </c>
      <c r="J11" s="193"/>
      <c r="L11" s="189"/>
      <c r="N11" s="193"/>
    </row>
    <row r="12" spans="1:14" ht="13" x14ac:dyDescent="0.3">
      <c r="A12" s="187">
        <f>A9+1</f>
        <v>5</v>
      </c>
      <c r="C12" s="199" t="s">
        <v>51</v>
      </c>
      <c r="F12" s="399" t="s">
        <v>45</v>
      </c>
      <c r="H12" s="366" t="s">
        <v>305</v>
      </c>
      <c r="J12" s="193">
        <v>21481204.872946855</v>
      </c>
      <c r="L12" s="189"/>
      <c r="N12" s="193"/>
    </row>
    <row r="13" spans="1:14" ht="13" x14ac:dyDescent="0.3">
      <c r="A13" s="187">
        <f>A12+1</f>
        <v>6</v>
      </c>
      <c r="C13" s="203" t="s">
        <v>52</v>
      </c>
      <c r="F13" s="399" t="s">
        <v>45</v>
      </c>
      <c r="H13" s="366" t="s">
        <v>306</v>
      </c>
      <c r="J13" s="193">
        <v>21290573.843281552</v>
      </c>
      <c r="L13" s="189"/>
      <c r="N13" s="193"/>
    </row>
    <row r="14" spans="1:14" ht="13" x14ac:dyDescent="0.3">
      <c r="A14" s="187">
        <f>A13+1</f>
        <v>7</v>
      </c>
      <c r="C14" s="199" t="s">
        <v>53</v>
      </c>
      <c r="F14" s="192" t="s">
        <v>144</v>
      </c>
      <c r="H14" s="399" t="s">
        <v>307</v>
      </c>
      <c r="J14" s="195">
        <v>25205457.593812514</v>
      </c>
      <c r="L14" s="189"/>
      <c r="N14" s="193"/>
    </row>
    <row r="15" spans="1:14" ht="13" x14ac:dyDescent="0.3">
      <c r="A15" s="187">
        <f>A14+1</f>
        <v>8</v>
      </c>
      <c r="C15" s="199" t="s">
        <v>54</v>
      </c>
      <c r="H15" s="399" t="str">
        <f>"Line "&amp;A12&amp;" + Line "&amp;A13&amp;" + Line "&amp;A14&amp;""</f>
        <v>Line 5 + Line 6 + Line 7</v>
      </c>
      <c r="J15" s="191">
        <f>SUM(J12:J14)</f>
        <v>67977236.310040921</v>
      </c>
      <c r="L15" s="189"/>
      <c r="N15" s="193"/>
    </row>
    <row r="16" spans="1:14" ht="13" x14ac:dyDescent="0.3">
      <c r="A16" s="187"/>
      <c r="C16" s="199"/>
      <c r="J16" s="193"/>
      <c r="L16" s="189"/>
      <c r="N16" s="193"/>
    </row>
    <row r="17" spans="1:14" ht="13" x14ac:dyDescent="0.3">
      <c r="A17" s="187"/>
      <c r="C17" s="403" t="s">
        <v>55</v>
      </c>
      <c r="J17" s="193"/>
      <c r="L17" s="189"/>
      <c r="N17" s="193"/>
    </row>
    <row r="18" spans="1:14" ht="13" x14ac:dyDescent="0.3">
      <c r="A18" s="187">
        <f>A15+1</f>
        <v>9</v>
      </c>
      <c r="C18" s="199" t="s">
        <v>56</v>
      </c>
      <c r="F18" s="399" t="s">
        <v>45</v>
      </c>
      <c r="G18" s="399" t="s">
        <v>57</v>
      </c>
      <c r="H18" s="366" t="s">
        <v>323</v>
      </c>
      <c r="J18" s="193">
        <v>-1839774172.2805853</v>
      </c>
      <c r="L18" s="189"/>
      <c r="N18" s="193"/>
    </row>
    <row r="19" spans="1:14" ht="13" x14ac:dyDescent="0.3">
      <c r="A19" s="187">
        <f>A18+1</f>
        <v>10</v>
      </c>
      <c r="C19" s="199" t="s">
        <v>58</v>
      </c>
      <c r="F19" s="399" t="s">
        <v>47</v>
      </c>
      <c r="G19" s="399" t="s">
        <v>57</v>
      </c>
      <c r="H19" s="366" t="s">
        <v>324</v>
      </c>
      <c r="J19" s="193">
        <v>0</v>
      </c>
      <c r="L19" s="189"/>
      <c r="N19" s="193"/>
    </row>
    <row r="20" spans="1:14" ht="13" x14ac:dyDescent="0.3">
      <c r="A20" s="187">
        <f>A19+1</f>
        <v>11</v>
      </c>
      <c r="C20" s="199" t="s">
        <v>59</v>
      </c>
      <c r="D20" s="48"/>
      <c r="F20" s="399" t="s">
        <v>47</v>
      </c>
      <c r="G20" s="399" t="s">
        <v>57</v>
      </c>
      <c r="H20" s="366" t="s">
        <v>325</v>
      </c>
      <c r="J20" s="200">
        <v>-105831142.34877566</v>
      </c>
      <c r="L20" s="189"/>
      <c r="N20" s="193"/>
    </row>
    <row r="21" spans="1:14" ht="13" x14ac:dyDescent="0.3">
      <c r="A21" s="187">
        <f>A20+1</f>
        <v>12</v>
      </c>
      <c r="C21" s="50" t="s">
        <v>60</v>
      </c>
      <c r="D21" s="48"/>
      <c r="H21" s="399" t="str">
        <f>"Line "&amp;A18&amp;" + Line "&amp;A19&amp;" + Line "&amp;A20&amp;""</f>
        <v>Line 9 + Line 10 + Line 11</v>
      </c>
      <c r="J21" s="193">
        <f>SUM(J18:J20)</f>
        <v>-1945605314.6293609</v>
      </c>
      <c r="L21" s="189"/>
      <c r="N21" s="193"/>
    </row>
    <row r="22" spans="1:14" ht="13" x14ac:dyDescent="0.3">
      <c r="A22" s="187"/>
      <c r="C22" s="192"/>
      <c r="J22" s="193"/>
      <c r="L22" s="189"/>
      <c r="N22" s="193"/>
    </row>
    <row r="23" spans="1:14" ht="13" x14ac:dyDescent="0.3">
      <c r="A23" s="187">
        <f>A21+1</f>
        <v>13</v>
      </c>
      <c r="C23" s="404" t="s">
        <v>61</v>
      </c>
      <c r="F23" s="399" t="s">
        <v>47</v>
      </c>
      <c r="H23" s="366" t="s">
        <v>976</v>
      </c>
      <c r="J23" s="193">
        <v>-1632853304.2368784</v>
      </c>
      <c r="L23" s="189"/>
      <c r="N23" s="193"/>
    </row>
    <row r="24" spans="1:14" ht="13" x14ac:dyDescent="0.3">
      <c r="A24" s="187">
        <f>A23+1</f>
        <v>14</v>
      </c>
      <c r="C24" s="366" t="s">
        <v>62</v>
      </c>
      <c r="F24" s="399" t="s">
        <v>45</v>
      </c>
      <c r="H24" s="366" t="s">
        <v>977</v>
      </c>
      <c r="J24" s="193">
        <v>602185189.09144735</v>
      </c>
      <c r="L24" s="189"/>
      <c r="N24" s="193"/>
    </row>
    <row r="25" spans="1:14" ht="13" x14ac:dyDescent="0.3">
      <c r="A25" s="187">
        <f>A24+1</f>
        <v>15</v>
      </c>
      <c r="C25" s="404" t="s">
        <v>63</v>
      </c>
      <c r="F25" s="399" t="s">
        <v>47</v>
      </c>
      <c r="G25" s="399" t="s">
        <v>57</v>
      </c>
      <c r="H25" s="366" t="s">
        <v>326</v>
      </c>
      <c r="J25" s="193">
        <v>-50661304.942000374</v>
      </c>
      <c r="L25" s="189"/>
      <c r="N25" s="193"/>
    </row>
    <row r="26" spans="1:14" ht="13" x14ac:dyDescent="0.3">
      <c r="A26" s="187">
        <f>A25+1</f>
        <v>16</v>
      </c>
      <c r="C26" s="366" t="s">
        <v>64</v>
      </c>
      <c r="H26" s="192" t="s">
        <v>327</v>
      </c>
      <c r="J26" s="193">
        <v>-192838264.25105909</v>
      </c>
      <c r="L26" s="189"/>
      <c r="N26" s="193"/>
    </row>
    <row r="27" spans="1:14" ht="13" x14ac:dyDescent="0.3">
      <c r="A27" s="187">
        <f>A26+1</f>
        <v>17</v>
      </c>
      <c r="C27" s="404" t="s">
        <v>65</v>
      </c>
      <c r="F27" s="399" t="s">
        <v>47</v>
      </c>
      <c r="H27" s="366" t="s">
        <v>328</v>
      </c>
      <c r="J27" s="193">
        <v>0</v>
      </c>
      <c r="L27" s="189"/>
      <c r="N27" s="193"/>
    </row>
    <row r="28" spans="1:14" ht="13" x14ac:dyDescent="0.3">
      <c r="A28" s="187"/>
      <c r="C28" s="404"/>
      <c r="L28" s="189"/>
      <c r="N28" s="193"/>
    </row>
    <row r="29" spans="1:14" ht="13" x14ac:dyDescent="0.3">
      <c r="A29" s="187">
        <f>A27+1</f>
        <v>18</v>
      </c>
      <c r="C29" s="399" t="s">
        <v>66</v>
      </c>
      <c r="H29" s="399" t="str">
        <f>"L"&amp;A6&amp;"+L"&amp;A7&amp;"+L"&amp;A8&amp;"+L"&amp;A9&amp;"+L"&amp;A15&amp;"+L"&amp;A21&amp;"+"</f>
        <v>L1+L2+L3+L4+L8+L12+</v>
      </c>
      <c r="J29" s="191">
        <f>J6+ J7+J8+J9+J15+J21+J23+J24+J25+J26+J27</f>
        <v>6086821163.7468243</v>
      </c>
      <c r="L29" s="189"/>
      <c r="N29" s="193"/>
    </row>
    <row r="30" spans="1:14" ht="13" x14ac:dyDescent="0.3">
      <c r="A30" s="187"/>
      <c r="H30" s="399" t="str">
        <f>"L"&amp;A23&amp;"+L"&amp;A24&amp;"+L"&amp;A25&amp;"+L"&amp;A26&amp;"+L"&amp;A27&amp;""</f>
        <v>L13+L14+L15+L16+L17</v>
      </c>
      <c r="J30" s="193"/>
      <c r="L30" s="189"/>
      <c r="N30" s="193"/>
    </row>
    <row r="31" spans="1:14" ht="13" x14ac:dyDescent="0.3">
      <c r="A31" s="187"/>
      <c r="B31" s="182" t="s">
        <v>67</v>
      </c>
      <c r="J31" s="193"/>
      <c r="L31" s="189"/>
      <c r="N31" s="193"/>
    </row>
    <row r="32" spans="1:14" ht="13" x14ac:dyDescent="0.3">
      <c r="A32" s="188" t="s">
        <v>39</v>
      </c>
      <c r="C32" s="182"/>
      <c r="J32" s="193"/>
      <c r="L32" s="189"/>
      <c r="N32" s="193"/>
    </row>
    <row r="33" spans="1:14" ht="13" x14ac:dyDescent="0.3">
      <c r="A33" s="187">
        <f>A29+1</f>
        <v>19</v>
      </c>
      <c r="B33" s="192"/>
      <c r="C33" s="192" t="s">
        <v>68</v>
      </c>
      <c r="D33" s="192"/>
      <c r="E33" s="192"/>
      <c r="F33" s="192"/>
      <c r="G33" s="192" t="s">
        <v>69</v>
      </c>
      <c r="H33" s="192" t="str">
        <f>"Instruction 1, Line "&amp;B98&amp;""</f>
        <v>Instruction 1, Line j</v>
      </c>
      <c r="I33" s="192"/>
      <c r="J33" s="405">
        <f>E98</f>
        <v>7.5731353457413608E-2</v>
      </c>
      <c r="L33" s="189"/>
      <c r="M33" s="202"/>
      <c r="N33" s="193"/>
    </row>
    <row r="34" spans="1:14" ht="13" x14ac:dyDescent="0.3">
      <c r="A34" s="187">
        <f>A33+1</f>
        <v>20</v>
      </c>
      <c r="C34" s="192" t="s">
        <v>70</v>
      </c>
      <c r="D34" s="192"/>
      <c r="E34" s="192"/>
      <c r="F34" s="192"/>
      <c r="G34" s="192"/>
      <c r="H34" s="399" t="str">
        <f>"Line "&amp;A29&amp;" * Line "&amp;A33&amp;""</f>
        <v>Line 18 * Line 19</v>
      </c>
      <c r="J34" s="197">
        <f>J29*J33</f>
        <v>460963204.98377639</v>
      </c>
      <c r="L34" s="189"/>
      <c r="N34" s="193"/>
    </row>
    <row r="35" spans="1:14" ht="13" x14ac:dyDescent="0.3">
      <c r="A35" s="187"/>
      <c r="B35" s="203"/>
      <c r="L35" s="189"/>
      <c r="N35" s="193"/>
    </row>
    <row r="36" spans="1:14" ht="13" x14ac:dyDescent="0.3">
      <c r="A36" s="187"/>
      <c r="B36" s="182" t="s">
        <v>71</v>
      </c>
      <c r="L36" s="189"/>
      <c r="N36" s="193"/>
    </row>
    <row r="37" spans="1:14" ht="13" x14ac:dyDescent="0.3">
      <c r="A37" s="187"/>
      <c r="B37" s="203"/>
      <c r="L37" s="189"/>
      <c r="N37" s="193"/>
    </row>
    <row r="38" spans="1:14" ht="13" x14ac:dyDescent="0.3">
      <c r="A38" s="187">
        <f>A34+1</f>
        <v>21</v>
      </c>
      <c r="C38" s="192" t="s">
        <v>72</v>
      </c>
      <c r="J38" s="191">
        <f>(((J29*J42) + J45) *(J43/(1-J43)))+(J44/(1-J43))</f>
        <v>91516026.11171934</v>
      </c>
      <c r="L38" s="189"/>
      <c r="N38" s="193"/>
    </row>
    <row r="39" spans="1:14" ht="13" x14ac:dyDescent="0.3">
      <c r="A39" s="187"/>
      <c r="J39" s="192"/>
      <c r="L39" s="189"/>
      <c r="N39" s="193"/>
    </row>
    <row r="40" spans="1:14" ht="13" x14ac:dyDescent="0.3">
      <c r="A40" s="187"/>
      <c r="D40" s="399" t="s">
        <v>73</v>
      </c>
      <c r="L40" s="189"/>
      <c r="N40" s="193"/>
    </row>
    <row r="41" spans="1:14" ht="13" x14ac:dyDescent="0.3">
      <c r="A41" s="187">
        <f>A38+1</f>
        <v>22</v>
      </c>
      <c r="D41" s="203" t="s">
        <v>74</v>
      </c>
      <c r="H41" s="399" t="str">
        <f>"Line "&amp;A29&amp;""</f>
        <v>Line 18</v>
      </c>
      <c r="J41" s="191">
        <f>J29</f>
        <v>6086821163.7468243</v>
      </c>
      <c r="L41" s="189"/>
      <c r="N41" s="193"/>
    </row>
    <row r="42" spans="1:14" ht="13" x14ac:dyDescent="0.3">
      <c r="A42" s="187">
        <f>A41+1</f>
        <v>23</v>
      </c>
      <c r="D42" s="199" t="s">
        <v>75</v>
      </c>
      <c r="G42" s="192" t="s">
        <v>76</v>
      </c>
      <c r="H42" s="192" t="str">
        <f>"Instruction 1, Line "&amp;B103&amp;""</f>
        <v>Instruction 1, Line k</v>
      </c>
      <c r="J42" s="405">
        <f>E103</f>
        <v>5.3927439169434502E-2</v>
      </c>
      <c r="L42" s="189"/>
      <c r="M42" s="202"/>
      <c r="N42" s="193"/>
    </row>
    <row r="43" spans="1:14" ht="13" x14ac:dyDescent="0.3">
      <c r="A43" s="187">
        <f>A42+1</f>
        <v>24</v>
      </c>
      <c r="D43" s="203" t="s">
        <v>77</v>
      </c>
      <c r="H43" s="399" t="s">
        <v>308</v>
      </c>
      <c r="J43" s="202">
        <v>0.27983599999999997</v>
      </c>
      <c r="L43" s="189"/>
      <c r="M43" s="202"/>
      <c r="N43" s="193"/>
    </row>
    <row r="44" spans="1:14" ht="13" x14ac:dyDescent="0.3">
      <c r="A44" s="187">
        <f>A43+1</f>
        <v>25</v>
      </c>
      <c r="D44" s="203" t="s">
        <v>78</v>
      </c>
      <c r="H44" s="399" t="s">
        <v>309</v>
      </c>
      <c r="J44" s="193">
        <v>-27044842</v>
      </c>
      <c r="L44" s="189"/>
      <c r="N44" s="193"/>
    </row>
    <row r="45" spans="1:14" ht="13" x14ac:dyDescent="0.3">
      <c r="A45" s="187">
        <f>A44+1</f>
        <v>26</v>
      </c>
      <c r="D45" s="203" t="s">
        <v>79</v>
      </c>
      <c r="H45" s="399" t="s">
        <v>310</v>
      </c>
      <c r="J45" s="211">
        <v>3917123</v>
      </c>
      <c r="L45" s="189"/>
      <c r="N45" s="193"/>
    </row>
    <row r="46" spans="1:14" ht="13" x14ac:dyDescent="0.3">
      <c r="A46" s="187"/>
      <c r="B46" s="203"/>
      <c r="L46" s="189"/>
      <c r="N46" s="193"/>
    </row>
    <row r="47" spans="1:14" ht="13" x14ac:dyDescent="0.3">
      <c r="A47" s="187"/>
      <c r="B47" s="182" t="s">
        <v>80</v>
      </c>
      <c r="L47" s="189"/>
      <c r="N47" s="193"/>
    </row>
    <row r="48" spans="1:14" ht="13" x14ac:dyDescent="0.3">
      <c r="A48" s="187">
        <f>A45+1</f>
        <v>27</v>
      </c>
      <c r="B48" s="203"/>
      <c r="C48" s="399" t="s">
        <v>81</v>
      </c>
      <c r="H48" s="399" t="s">
        <v>311</v>
      </c>
      <c r="J48" s="193">
        <v>112781173.69267865</v>
      </c>
      <c r="L48" s="189"/>
      <c r="N48" s="193"/>
    </row>
    <row r="49" spans="1:14" ht="13" x14ac:dyDescent="0.3">
      <c r="A49" s="187">
        <f t="shared" ref="A49:A59" si="0">A48+1</f>
        <v>28</v>
      </c>
      <c r="B49" s="203"/>
      <c r="C49" s="192" t="s">
        <v>82</v>
      </c>
      <c r="H49" s="399" t="s">
        <v>312</v>
      </c>
      <c r="J49" s="191">
        <v>88862487.057821468</v>
      </c>
      <c r="L49" s="189"/>
      <c r="N49" s="193"/>
    </row>
    <row r="50" spans="1:14" ht="13" x14ac:dyDescent="0.3">
      <c r="A50" s="187">
        <f>A49+1</f>
        <v>29</v>
      </c>
      <c r="B50" s="203"/>
      <c r="C50" s="399" t="s">
        <v>83</v>
      </c>
      <c r="H50" s="399" t="s">
        <v>313</v>
      </c>
      <c r="J50" s="193">
        <v>4075483.5901751588</v>
      </c>
      <c r="L50" s="189"/>
      <c r="N50" s="193"/>
    </row>
    <row r="51" spans="1:14" ht="13" x14ac:dyDescent="0.3">
      <c r="A51" s="187">
        <f t="shared" si="0"/>
        <v>30</v>
      </c>
      <c r="B51" s="203"/>
      <c r="C51" s="192" t="s">
        <v>84</v>
      </c>
      <c r="H51" s="399" t="s">
        <v>314</v>
      </c>
      <c r="J51" s="193">
        <v>255157633.3971031</v>
      </c>
      <c r="L51" s="189"/>
      <c r="N51" s="193"/>
    </row>
    <row r="52" spans="1:14" ht="13" x14ac:dyDescent="0.3">
      <c r="A52" s="187">
        <f t="shared" si="0"/>
        <v>31</v>
      </c>
      <c r="B52" s="203"/>
      <c r="C52" s="192" t="s">
        <v>85</v>
      </c>
      <c r="H52" s="399" t="s">
        <v>315</v>
      </c>
      <c r="J52" s="193">
        <v>0</v>
      </c>
      <c r="L52" s="189"/>
      <c r="N52" s="193"/>
    </row>
    <row r="53" spans="1:14" ht="13" x14ac:dyDescent="0.3">
      <c r="A53" s="187">
        <f t="shared" si="0"/>
        <v>32</v>
      </c>
      <c r="B53" s="203"/>
      <c r="C53" s="192" t="s">
        <v>86</v>
      </c>
      <c r="H53" s="399" t="s">
        <v>316</v>
      </c>
      <c r="J53" s="193">
        <v>66058181.16746673</v>
      </c>
      <c r="L53" s="189"/>
      <c r="N53" s="193"/>
    </row>
    <row r="54" spans="1:14" ht="13" x14ac:dyDescent="0.3">
      <c r="A54" s="187">
        <f t="shared" si="0"/>
        <v>33</v>
      </c>
      <c r="B54" s="203"/>
      <c r="C54" s="399" t="s">
        <v>87</v>
      </c>
      <c r="G54" s="192"/>
      <c r="H54" s="399" t="s">
        <v>317</v>
      </c>
      <c r="J54" s="193">
        <v>-54094032.244774804</v>
      </c>
      <c r="L54" s="189"/>
      <c r="N54" s="193"/>
    </row>
    <row r="55" spans="1:14" ht="13" x14ac:dyDescent="0.3">
      <c r="A55" s="187">
        <f t="shared" si="0"/>
        <v>34</v>
      </c>
      <c r="B55" s="203"/>
      <c r="C55" s="399" t="s">
        <v>88</v>
      </c>
      <c r="H55" s="399" t="str">
        <f>"Line "&amp;A34&amp;""</f>
        <v>Line 20</v>
      </c>
      <c r="J55" s="191">
        <f>J34</f>
        <v>460963204.98377639</v>
      </c>
      <c r="L55" s="189"/>
      <c r="N55" s="193"/>
    </row>
    <row r="56" spans="1:14" ht="13" x14ac:dyDescent="0.3">
      <c r="A56" s="187">
        <f t="shared" si="0"/>
        <v>35</v>
      </c>
      <c r="B56" s="203"/>
      <c r="C56" s="399" t="s">
        <v>89</v>
      </c>
      <c r="H56" s="399" t="str">
        <f>"Line "&amp;A38&amp;""</f>
        <v>Line 21</v>
      </c>
      <c r="J56" s="197">
        <f>J38</f>
        <v>91516026.11171934</v>
      </c>
      <c r="L56" s="189"/>
      <c r="N56" s="193"/>
    </row>
    <row r="57" spans="1:14" ht="13" x14ac:dyDescent="0.3">
      <c r="A57" s="187">
        <f t="shared" si="0"/>
        <v>36</v>
      </c>
      <c r="B57" s="203"/>
      <c r="C57" s="192" t="s">
        <v>90</v>
      </c>
      <c r="H57" s="399" t="s">
        <v>318</v>
      </c>
      <c r="J57" s="211">
        <v>0</v>
      </c>
      <c r="L57" s="189"/>
      <c r="N57" s="193"/>
    </row>
    <row r="58" spans="1:14" ht="13" x14ac:dyDescent="0.3">
      <c r="A58" s="187">
        <f t="shared" si="0"/>
        <v>37</v>
      </c>
      <c r="B58" s="203"/>
      <c r="C58" s="52" t="s">
        <v>91</v>
      </c>
      <c r="D58" s="52"/>
      <c r="H58" s="399" t="s">
        <v>319</v>
      </c>
      <c r="J58" s="200">
        <v>0</v>
      </c>
      <c r="L58" s="189"/>
      <c r="N58" s="193"/>
    </row>
    <row r="59" spans="1:14" ht="13" x14ac:dyDescent="0.3">
      <c r="A59" s="187">
        <f t="shared" si="0"/>
        <v>38</v>
      </c>
      <c r="B59" s="203"/>
      <c r="C59" s="192" t="s">
        <v>92</v>
      </c>
      <c r="H59" s="399" t="str">
        <f>"Sum Line "&amp;A48&amp;" to Line "&amp;A58&amp;""</f>
        <v>Sum Line 27 to Line 37</v>
      </c>
      <c r="J59" s="191">
        <f>SUM(J48:J58)</f>
        <v>1025320157.7559659</v>
      </c>
      <c r="L59" s="189"/>
      <c r="N59" s="193"/>
    </row>
    <row r="60" spans="1:14" ht="13" x14ac:dyDescent="0.3">
      <c r="A60" s="187"/>
      <c r="B60" s="203"/>
      <c r="J60" s="193"/>
      <c r="L60" s="189"/>
      <c r="N60" s="193"/>
    </row>
    <row r="61" spans="1:14" ht="12.75" customHeight="1" x14ac:dyDescent="0.3">
      <c r="A61" s="187">
        <f>A59+1</f>
        <v>39</v>
      </c>
      <c r="B61" s="203"/>
      <c r="C61" s="192" t="s">
        <v>93</v>
      </c>
      <c r="H61" s="399" t="s">
        <v>329</v>
      </c>
      <c r="J61" s="193">
        <v>25263750.677767433</v>
      </c>
      <c r="L61" s="189"/>
      <c r="N61" s="193"/>
    </row>
    <row r="62" spans="1:14" ht="12.75" customHeight="1" x14ac:dyDescent="0.3">
      <c r="A62" s="187" t="s">
        <v>148</v>
      </c>
      <c r="B62" s="192"/>
      <c r="C62" s="192" t="s">
        <v>149</v>
      </c>
      <c r="D62" s="192"/>
      <c r="E62" s="192"/>
      <c r="F62" s="192"/>
      <c r="G62" s="192"/>
      <c r="H62" s="192" t="s">
        <v>150</v>
      </c>
      <c r="I62" s="192"/>
      <c r="J62" s="211">
        <f>-J61</f>
        <v>-25263750.677767433</v>
      </c>
      <c r="L62" s="189"/>
      <c r="N62" s="193"/>
    </row>
    <row r="63" spans="1:14" ht="13" x14ac:dyDescent="0.3">
      <c r="A63" s="187"/>
      <c r="B63" s="203"/>
      <c r="C63" s="192"/>
      <c r="J63" s="193"/>
      <c r="L63" s="189"/>
      <c r="N63" s="193"/>
    </row>
    <row r="64" spans="1:14" ht="13" x14ac:dyDescent="0.3">
      <c r="A64" s="187">
        <f>A61+1</f>
        <v>40</v>
      </c>
      <c r="B64" s="203"/>
      <c r="C64" s="192" t="s">
        <v>94</v>
      </c>
      <c r="H64" s="192" t="s">
        <v>151</v>
      </c>
      <c r="J64" s="191">
        <f>J59+J61+J62</f>
        <v>1025320157.7559659</v>
      </c>
      <c r="L64" s="189"/>
      <c r="N64" s="193"/>
    </row>
    <row r="65" spans="1:15" ht="13" x14ac:dyDescent="0.3">
      <c r="A65" s="187"/>
      <c r="B65" s="203"/>
      <c r="C65" s="192"/>
      <c r="J65" s="193"/>
    </row>
    <row r="66" spans="1:15" ht="13" x14ac:dyDescent="0.3">
      <c r="A66" s="187"/>
      <c r="B66" s="400" t="s">
        <v>95</v>
      </c>
      <c r="C66" s="192"/>
      <c r="J66" s="193"/>
      <c r="N66" s="187"/>
    </row>
    <row r="67" spans="1:15" ht="13.5" thickBot="1" x14ac:dyDescent="0.35">
      <c r="A67" s="188" t="s">
        <v>39</v>
      </c>
      <c r="B67" s="404"/>
      <c r="G67" s="213" t="s">
        <v>96</v>
      </c>
      <c r="N67" s="189"/>
    </row>
    <row r="68" spans="1:15" ht="13" x14ac:dyDescent="0.3">
      <c r="A68" s="187">
        <f>A64+1</f>
        <v>41</v>
      </c>
      <c r="B68" s="404"/>
      <c r="D68" s="198" t="s">
        <v>97</v>
      </c>
      <c r="E68" s="191">
        <f>J64</f>
        <v>1025320157.7559659</v>
      </c>
      <c r="G68" s="399" t="str">
        <f>"Line "&amp;A64&amp;""</f>
        <v>Line 40</v>
      </c>
      <c r="J68" s="54" t="s">
        <v>98</v>
      </c>
      <c r="L68" s="193"/>
      <c r="N68" s="193"/>
    </row>
    <row r="69" spans="1:15" ht="13" x14ac:dyDescent="0.3">
      <c r="A69" s="187">
        <f>A68+1</f>
        <v>42</v>
      </c>
      <c r="B69" s="404"/>
      <c r="D69" s="198" t="s">
        <v>99</v>
      </c>
      <c r="E69" s="406">
        <v>9.2480778683301894E-3</v>
      </c>
      <c r="G69" s="399" t="s">
        <v>330</v>
      </c>
      <c r="J69" s="56" t="s">
        <v>166</v>
      </c>
      <c r="L69" s="202"/>
      <c r="N69" s="202"/>
    </row>
    <row r="70" spans="1:15" ht="13" x14ac:dyDescent="0.3">
      <c r="A70" s="187">
        <f>A69+1</f>
        <v>43</v>
      </c>
      <c r="B70" s="404"/>
      <c r="D70" s="196" t="s">
        <v>100</v>
      </c>
      <c r="E70" s="191">
        <v>9482240.6588957664</v>
      </c>
      <c r="G70" s="399" t="str">
        <f>"Line "&amp;A68&amp;" * Line "&amp;A69&amp;""</f>
        <v>Line 41 * Line 42</v>
      </c>
      <c r="J70" s="57">
        <f>E73</f>
        <v>1036990439.4089098</v>
      </c>
      <c r="L70" s="193"/>
      <c r="N70" s="193"/>
    </row>
    <row r="71" spans="1:15" ht="38.5" customHeight="1" x14ac:dyDescent="0.3">
      <c r="A71" s="187">
        <f>A70+1</f>
        <v>44</v>
      </c>
      <c r="B71" s="404"/>
      <c r="D71" s="198" t="s">
        <v>101</v>
      </c>
      <c r="E71" s="406">
        <v>2.134007585335019E-3</v>
      </c>
      <c r="G71" s="399" t="s">
        <v>330</v>
      </c>
      <c r="J71" s="58">
        <v>1036022281.0154409</v>
      </c>
      <c r="K71" s="460" t="s">
        <v>335</v>
      </c>
      <c r="L71" s="461"/>
      <c r="M71" s="461"/>
      <c r="N71" s="202"/>
    </row>
    <row r="72" spans="1:15" ht="13.5" thickBot="1" x14ac:dyDescent="0.35">
      <c r="A72" s="187">
        <f>A71+1</f>
        <v>45</v>
      </c>
      <c r="B72" s="404"/>
      <c r="D72" s="198" t="s">
        <v>102</v>
      </c>
      <c r="E72" s="191">
        <v>2188040.9940481298</v>
      </c>
      <c r="G72" s="399" t="str">
        <f>"Line "&amp;A70&amp;" * Line "&amp;A71&amp;""</f>
        <v>Line 43 * Line 44</v>
      </c>
      <c r="J72" s="59">
        <f>J70-J71</f>
        <v>968158.39346885681</v>
      </c>
      <c r="L72" s="193"/>
      <c r="N72" s="193"/>
    </row>
    <row r="73" spans="1:15" ht="13" x14ac:dyDescent="0.3">
      <c r="A73" s="187">
        <f>A72+1</f>
        <v>46</v>
      </c>
      <c r="B73" s="404"/>
      <c r="D73" s="198" t="s">
        <v>103</v>
      </c>
      <c r="E73" s="191">
        <f>E68+E70+E72</f>
        <v>1036990439.4089098</v>
      </c>
      <c r="G73" s="399" t="str">
        <f>"L "&amp;A68&amp;" + L "&amp;A70&amp;" + L "&amp;A72&amp;""</f>
        <v>L 41 + L 43 + L 45</v>
      </c>
      <c r="L73" s="193"/>
      <c r="N73" s="193"/>
    </row>
    <row r="74" spans="1:15" ht="13" x14ac:dyDescent="0.3">
      <c r="B74" s="400" t="s">
        <v>104</v>
      </c>
      <c r="D74" s="196"/>
      <c r="E74" s="193"/>
      <c r="H74" s="60"/>
      <c r="L74" s="193"/>
    </row>
    <row r="75" spans="1:15" ht="13" x14ac:dyDescent="0.3">
      <c r="A75" s="187"/>
      <c r="B75" s="192" t="s">
        <v>145</v>
      </c>
      <c r="C75" s="400"/>
      <c r="D75" s="196"/>
      <c r="E75" s="193"/>
      <c r="L75" s="193">
        <v>975370.53034591675</v>
      </c>
      <c r="M75" s="192" t="s">
        <v>336</v>
      </c>
    </row>
    <row r="76" spans="1:15" ht="30.5" customHeight="1" x14ac:dyDescent="0.3">
      <c r="A76" s="187"/>
      <c r="B76" s="192" t="s">
        <v>146</v>
      </c>
      <c r="C76" s="400"/>
      <c r="D76" s="196"/>
      <c r="E76" s="193"/>
      <c r="L76" s="200">
        <v>-7212.1368770599365</v>
      </c>
      <c r="M76" s="464" t="s">
        <v>337</v>
      </c>
      <c r="N76" s="464"/>
      <c r="O76" s="464"/>
    </row>
    <row r="77" spans="1:15" ht="13" x14ac:dyDescent="0.3">
      <c r="A77" s="187"/>
      <c r="B77" s="366" t="s">
        <v>105</v>
      </c>
      <c r="C77" s="192"/>
      <c r="D77" s="196"/>
      <c r="E77" s="193"/>
      <c r="L77" s="211">
        <f>SUM(L75:L76)</f>
        <v>968158.39346885681</v>
      </c>
      <c r="M77" s="192" t="s">
        <v>170</v>
      </c>
    </row>
    <row r="78" spans="1:15" ht="13" x14ac:dyDescent="0.3">
      <c r="A78" s="187"/>
      <c r="B78" s="366" t="s">
        <v>106</v>
      </c>
      <c r="D78" s="196"/>
      <c r="E78" s="193"/>
      <c r="L78" s="211"/>
      <c r="M78" s="192"/>
    </row>
    <row r="79" spans="1:15" ht="13" x14ac:dyDescent="0.3">
      <c r="A79" s="187"/>
      <c r="L79" s="211"/>
      <c r="M79" s="192"/>
    </row>
    <row r="80" spans="1:15" ht="13" x14ac:dyDescent="0.3">
      <c r="A80" s="187"/>
      <c r="B80" s="192" t="s">
        <v>107</v>
      </c>
      <c r="L80" s="169">
        <f>315/365</f>
        <v>0.86301369863013699</v>
      </c>
      <c r="M80" s="462" t="s">
        <v>295</v>
      </c>
      <c r="N80" s="462"/>
    </row>
    <row r="81" spans="1:15" ht="13" x14ac:dyDescent="0.3">
      <c r="A81" s="187"/>
      <c r="B81" s="192"/>
      <c r="C81" s="192" t="s">
        <v>108</v>
      </c>
      <c r="L81" s="43">
        <f>L75*L80</f>
        <v>841758.12892866787</v>
      </c>
      <c r="M81" s="465" t="s">
        <v>336</v>
      </c>
      <c r="N81" s="465"/>
      <c r="O81" s="465"/>
    </row>
    <row r="82" spans="1:15" ht="31.5" customHeight="1" x14ac:dyDescent="0.3">
      <c r="A82" s="187"/>
      <c r="B82" s="192"/>
      <c r="J82" s="187" t="s">
        <v>109</v>
      </c>
      <c r="L82" s="43">
        <f>L76*L80</f>
        <v>-6224.1729212983018</v>
      </c>
      <c r="M82" s="463" t="s">
        <v>337</v>
      </c>
      <c r="N82" s="463"/>
      <c r="O82" s="463"/>
    </row>
    <row r="83" spans="1:15" ht="13" x14ac:dyDescent="0.3">
      <c r="A83" s="187"/>
      <c r="E83" s="189" t="s">
        <v>110</v>
      </c>
      <c r="F83" s="213" t="s">
        <v>96</v>
      </c>
      <c r="G83" s="189" t="s">
        <v>111</v>
      </c>
      <c r="H83" s="189" t="s">
        <v>112</v>
      </c>
      <c r="J83" s="189" t="s">
        <v>113</v>
      </c>
      <c r="L83" s="159">
        <f>SUM(L81:L82)</f>
        <v>835533.95600736956</v>
      </c>
      <c r="M83" s="156" t="s">
        <v>338</v>
      </c>
      <c r="N83" s="156"/>
    </row>
    <row r="84" spans="1:15" ht="13" x14ac:dyDescent="0.3">
      <c r="B84" s="259" t="s">
        <v>114</v>
      </c>
      <c r="C84" s="192" t="s">
        <v>115</v>
      </c>
      <c r="E84" s="407">
        <v>0.10299999999999999</v>
      </c>
      <c r="F84" s="192" t="s">
        <v>118</v>
      </c>
      <c r="G84" s="408">
        <v>43781</v>
      </c>
      <c r="H84" s="408">
        <v>43830</v>
      </c>
      <c r="I84" s="192"/>
      <c r="J84" s="388">
        <v>50</v>
      </c>
      <c r="K84" s="192"/>
      <c r="L84" s="200"/>
      <c r="M84" s="201"/>
    </row>
    <row r="85" spans="1:15" ht="13" x14ac:dyDescent="0.3">
      <c r="B85" s="259" t="s">
        <v>116</v>
      </c>
      <c r="C85" s="192" t="s">
        <v>117</v>
      </c>
      <c r="E85" s="407">
        <v>0.112</v>
      </c>
      <c r="F85" s="192" t="s">
        <v>147</v>
      </c>
      <c r="G85" s="408">
        <v>43466</v>
      </c>
      <c r="H85" s="408">
        <v>43780</v>
      </c>
      <c r="I85" s="192"/>
      <c r="J85" s="388">
        <v>315</v>
      </c>
      <c r="K85" s="192"/>
      <c r="L85" s="193"/>
      <c r="M85" s="192"/>
    </row>
    <row r="86" spans="1:15" ht="13" x14ac:dyDescent="0.3">
      <c r="B86" s="259" t="s">
        <v>119</v>
      </c>
      <c r="C86" s="192"/>
      <c r="E86" s="409"/>
      <c r="F86" s="192"/>
      <c r="G86" s="276"/>
      <c r="H86" s="276"/>
      <c r="I86" s="198" t="s">
        <v>120</v>
      </c>
      <c r="J86" s="275">
        <f>SUM(J84:J85)</f>
        <v>365</v>
      </c>
      <c r="K86" s="192"/>
    </row>
    <row r="87" spans="1:15" ht="13" x14ac:dyDescent="0.3">
      <c r="B87" s="259" t="s">
        <v>121</v>
      </c>
      <c r="C87" s="192" t="s">
        <v>122</v>
      </c>
      <c r="E87" s="410">
        <f>((E84*J84) + (E85* J85)) / J86</f>
        <v>0.11076712328767123</v>
      </c>
      <c r="F87" s="192" t="s">
        <v>123</v>
      </c>
      <c r="H87" s="192"/>
      <c r="I87" s="192"/>
      <c r="J87" s="192"/>
      <c r="K87" s="192"/>
    </row>
    <row r="88" spans="1:15" ht="13" x14ac:dyDescent="0.3">
      <c r="A88" s="187"/>
      <c r="B88" s="192"/>
      <c r="H88" s="192"/>
      <c r="I88" s="192"/>
      <c r="J88" s="192"/>
      <c r="K88" s="192"/>
    </row>
    <row r="89" spans="1:15" ht="13" x14ac:dyDescent="0.3">
      <c r="A89" s="187"/>
      <c r="B89" s="192" t="s">
        <v>124</v>
      </c>
      <c r="H89" s="192"/>
      <c r="I89" s="192"/>
      <c r="J89" s="192"/>
      <c r="K89" s="192"/>
      <c r="L89" s="192"/>
    </row>
    <row r="90" spans="1:15" ht="13" x14ac:dyDescent="0.3">
      <c r="A90" s="187"/>
      <c r="B90" s="192"/>
      <c r="E90" s="213" t="s">
        <v>96</v>
      </c>
      <c r="H90" s="192"/>
      <c r="I90" s="192"/>
      <c r="J90" s="192"/>
      <c r="K90" s="192"/>
      <c r="L90" s="192"/>
    </row>
    <row r="91" spans="1:15" ht="13" x14ac:dyDescent="0.3">
      <c r="B91" s="259" t="s">
        <v>125</v>
      </c>
      <c r="C91" s="192" t="s">
        <v>126</v>
      </c>
      <c r="E91" s="411" t="s">
        <v>167</v>
      </c>
      <c r="F91" s="184"/>
      <c r="G91" s="184"/>
      <c r="H91" s="205"/>
      <c r="I91" s="205"/>
      <c r="J91" s="205"/>
      <c r="K91" s="192"/>
      <c r="L91" s="192"/>
    </row>
    <row r="92" spans="1:15" ht="13" x14ac:dyDescent="0.3">
      <c r="B92" s="259" t="s">
        <v>127</v>
      </c>
      <c r="C92" s="192" t="s">
        <v>128</v>
      </c>
      <c r="E92" s="411" t="s">
        <v>168</v>
      </c>
      <c r="F92" s="184"/>
      <c r="G92" s="184"/>
      <c r="H92" s="205"/>
      <c r="I92" s="205"/>
      <c r="J92" s="205"/>
      <c r="K92" s="192"/>
      <c r="L92" s="192"/>
    </row>
    <row r="93" spans="1:15" x14ac:dyDescent="0.25">
      <c r="C93" s="192"/>
      <c r="E93" s="276"/>
      <c r="I93" s="192"/>
      <c r="J93" s="192"/>
      <c r="K93" s="192"/>
      <c r="L93" s="192"/>
    </row>
    <row r="94" spans="1:15" ht="13" x14ac:dyDescent="0.3">
      <c r="E94" s="189" t="s">
        <v>110</v>
      </c>
      <c r="F94" s="213" t="s">
        <v>96</v>
      </c>
      <c r="H94" s="192"/>
      <c r="I94" s="192"/>
      <c r="L94" s="192"/>
    </row>
    <row r="95" spans="1:15" ht="13" x14ac:dyDescent="0.3">
      <c r="B95" s="259" t="s">
        <v>129</v>
      </c>
      <c r="C95" s="192" t="s">
        <v>130</v>
      </c>
      <c r="D95" s="192"/>
      <c r="E95" s="412">
        <v>2.1803914287979103E-2</v>
      </c>
      <c r="F95" s="399" t="s">
        <v>320</v>
      </c>
      <c r="H95" s="192"/>
      <c r="I95" s="192"/>
      <c r="L95" s="192"/>
    </row>
    <row r="96" spans="1:15" ht="13" x14ac:dyDescent="0.3">
      <c r="B96" s="259" t="s">
        <v>131</v>
      </c>
      <c r="C96" s="192" t="s">
        <v>132</v>
      </c>
      <c r="E96" s="412">
        <v>4.1703636316651844E-3</v>
      </c>
      <c r="F96" s="399" t="s">
        <v>321</v>
      </c>
      <c r="H96" s="192"/>
      <c r="I96" s="192"/>
      <c r="L96" s="192"/>
    </row>
    <row r="97" spans="1:12" ht="13" x14ac:dyDescent="0.3">
      <c r="B97" s="259" t="s">
        <v>133</v>
      </c>
      <c r="C97" s="192" t="s">
        <v>134</v>
      </c>
      <c r="E97" s="413">
        <v>4.975707553776932E-2</v>
      </c>
      <c r="F97" s="399" t="s">
        <v>322</v>
      </c>
      <c r="G97" s="192"/>
      <c r="H97" s="192"/>
      <c r="L97" s="192"/>
    </row>
    <row r="98" spans="1:12" ht="13" x14ac:dyDescent="0.3">
      <c r="B98" s="187" t="s">
        <v>135</v>
      </c>
      <c r="C98" s="199" t="s">
        <v>68</v>
      </c>
      <c r="E98" s="414">
        <f>SUM(E95:E97)</f>
        <v>7.5731353457413608E-2</v>
      </c>
      <c r="F98" s="193" t="str">
        <f>"Sum of Lines "&amp;B95&amp;" to "&amp;B97&amp;""</f>
        <v>Sum of Lines g to i</v>
      </c>
      <c r="G98" s="275"/>
      <c r="J98" s="415"/>
      <c r="L98" s="192"/>
    </row>
    <row r="99" spans="1:12" ht="13" x14ac:dyDescent="0.3">
      <c r="A99" s="187"/>
      <c r="C99" s="69"/>
      <c r="D99" s="70"/>
      <c r="E99" s="193"/>
      <c r="F99" s="193"/>
      <c r="G99" s="275"/>
      <c r="H99" s="193"/>
      <c r="J99" s="415"/>
    </row>
    <row r="100" spans="1:12" ht="13" x14ac:dyDescent="0.3">
      <c r="A100" s="187"/>
      <c r="B100" s="192" t="s">
        <v>136</v>
      </c>
    </row>
    <row r="101" spans="1:12" ht="13" x14ac:dyDescent="0.3">
      <c r="A101" s="187"/>
    </row>
    <row r="102" spans="1:12" ht="13" x14ac:dyDescent="0.3">
      <c r="A102" s="187"/>
      <c r="E102" s="189" t="s">
        <v>110</v>
      </c>
      <c r="F102" s="213" t="s">
        <v>96</v>
      </c>
    </row>
    <row r="103" spans="1:12" ht="13" x14ac:dyDescent="0.3">
      <c r="B103" s="259" t="s">
        <v>137</v>
      </c>
      <c r="E103" s="412">
        <f>E96+E97</f>
        <v>5.3927439169434502E-2</v>
      </c>
      <c r="F103" s="193" t="str">
        <f>"Sum of Lines "&amp;B96&amp;" to "&amp;B97&amp;""</f>
        <v>Sum of Lines h to i</v>
      </c>
    </row>
    <row r="104" spans="1:12" ht="13" x14ac:dyDescent="0.3">
      <c r="A104" s="187"/>
      <c r="E104" s="202"/>
      <c r="F104" s="193"/>
    </row>
    <row r="105" spans="1:12" ht="13" x14ac:dyDescent="0.3">
      <c r="A105" s="187"/>
      <c r="B105" s="192" t="s">
        <v>152</v>
      </c>
      <c r="E105" s="275"/>
      <c r="F105" s="275"/>
      <c r="G105" s="275"/>
      <c r="H105" s="193"/>
    </row>
    <row r="106" spans="1:12" ht="13" x14ac:dyDescent="0.3">
      <c r="A106" s="187"/>
      <c r="B106" s="192" t="s">
        <v>153</v>
      </c>
    </row>
    <row r="107" spans="1:12" ht="13" x14ac:dyDescent="0.3">
      <c r="A107" s="187"/>
      <c r="B107" s="192" t="s">
        <v>154</v>
      </c>
      <c r="D107" s="187"/>
      <c r="E107" s="187"/>
      <c r="F107" s="187"/>
      <c r="G107" s="187"/>
      <c r="H107" s="187"/>
    </row>
    <row r="108" spans="1:12" ht="13" x14ac:dyDescent="0.3">
      <c r="A108" s="187"/>
      <c r="B108" s="366"/>
      <c r="D108" s="187"/>
      <c r="E108" s="187"/>
      <c r="F108" s="187"/>
      <c r="G108" s="187"/>
      <c r="H108" s="187"/>
    </row>
    <row r="109" spans="1:12" ht="13" x14ac:dyDescent="0.3">
      <c r="A109" s="187"/>
      <c r="C109" s="71"/>
      <c r="D109" s="71"/>
      <c r="E109" s="189"/>
      <c r="F109" s="189"/>
      <c r="G109" s="189"/>
      <c r="H109" s="189"/>
    </row>
    <row r="110" spans="1:12" ht="13" x14ac:dyDescent="0.3">
      <c r="A110" s="187"/>
    </row>
    <row r="111" spans="1:12" ht="13" x14ac:dyDescent="0.3">
      <c r="A111" s="187"/>
    </row>
    <row r="112" spans="1:12" ht="13" x14ac:dyDescent="0.3">
      <c r="A112" s="187"/>
    </row>
    <row r="113" spans="1:10" ht="13" x14ac:dyDescent="0.3">
      <c r="A113" s="187"/>
      <c r="C113" s="69"/>
      <c r="E113" s="193"/>
      <c r="F113" s="193"/>
      <c r="H113" s="193"/>
      <c r="J113" s="415"/>
    </row>
    <row r="114" spans="1:10" ht="13" x14ac:dyDescent="0.3">
      <c r="A114" s="187"/>
      <c r="C114" s="69"/>
      <c r="E114" s="193"/>
      <c r="F114" s="193"/>
      <c r="H114" s="193"/>
      <c r="J114" s="415"/>
    </row>
    <row r="115" spans="1:10" ht="13" x14ac:dyDescent="0.3">
      <c r="A115" s="188"/>
      <c r="C115" s="69"/>
      <c r="E115" s="193"/>
      <c r="F115" s="193"/>
      <c r="H115" s="193"/>
      <c r="J115" s="415"/>
    </row>
    <row r="116" spans="1:10" ht="13" x14ac:dyDescent="0.3">
      <c r="A116" s="187"/>
      <c r="D116" s="72"/>
      <c r="E116" s="193"/>
      <c r="F116" s="193"/>
      <c r="G116" s="192"/>
      <c r="H116" s="193"/>
      <c r="J116" s="415"/>
    </row>
    <row r="117" spans="1:10" ht="13" x14ac:dyDescent="0.3">
      <c r="A117" s="187"/>
      <c r="C117" s="69"/>
      <c r="D117" s="198"/>
      <c r="E117" s="200"/>
      <c r="F117" s="193"/>
      <c r="G117" s="192"/>
      <c r="H117" s="193"/>
      <c r="J117" s="415"/>
    </row>
    <row r="118" spans="1:10" ht="13" x14ac:dyDescent="0.3">
      <c r="A118" s="187"/>
      <c r="C118" s="69"/>
      <c r="D118" s="198"/>
      <c r="E118" s="193"/>
      <c r="F118" s="193"/>
      <c r="G118" s="192"/>
      <c r="H118" s="193"/>
      <c r="J118" s="415"/>
    </row>
    <row r="119" spans="1:10" ht="13" x14ac:dyDescent="0.3">
      <c r="A119" s="187"/>
    </row>
    <row r="120" spans="1:10" ht="13" x14ac:dyDescent="0.3">
      <c r="A120" s="187"/>
      <c r="B120" s="182"/>
    </row>
    <row r="121" spans="1:10" ht="13" x14ac:dyDescent="0.3">
      <c r="A121" s="187"/>
    </row>
    <row r="122" spans="1:10" ht="13" x14ac:dyDescent="0.3">
      <c r="A122" s="187"/>
    </row>
    <row r="123" spans="1:10" ht="13" x14ac:dyDescent="0.3">
      <c r="A123" s="187"/>
      <c r="F123" s="187"/>
    </row>
    <row r="124" spans="1:10" ht="13" x14ac:dyDescent="0.3">
      <c r="A124" s="187"/>
      <c r="F124" s="187"/>
    </row>
    <row r="125" spans="1:10" ht="13" x14ac:dyDescent="0.3">
      <c r="A125" s="187"/>
      <c r="D125" s="187"/>
      <c r="E125" s="187"/>
      <c r="F125" s="187"/>
      <c r="H125" s="187"/>
    </row>
    <row r="126" spans="1:10" ht="13" x14ac:dyDescent="0.3">
      <c r="A126" s="187"/>
      <c r="D126" s="187"/>
      <c r="E126" s="187"/>
      <c r="F126" s="187"/>
      <c r="G126" s="187"/>
      <c r="H126" s="259"/>
    </row>
    <row r="127" spans="1:10" ht="13" x14ac:dyDescent="0.3">
      <c r="A127" s="188"/>
      <c r="C127" s="71"/>
      <c r="D127" s="71"/>
      <c r="E127" s="189"/>
      <c r="F127" s="186"/>
      <c r="G127" s="189"/>
      <c r="H127" s="259"/>
    </row>
    <row r="128" spans="1:10" ht="13" x14ac:dyDescent="0.3">
      <c r="A128" s="187"/>
      <c r="C128" s="69"/>
      <c r="D128" s="70"/>
      <c r="E128" s="193"/>
      <c r="F128" s="193"/>
      <c r="G128" s="410"/>
      <c r="H128" s="193"/>
    </row>
    <row r="129" spans="1:8" ht="13" x14ac:dyDescent="0.3">
      <c r="A129" s="187"/>
      <c r="C129" s="69"/>
      <c r="D129" s="70"/>
      <c r="E129" s="193"/>
      <c r="F129" s="193"/>
      <c r="G129" s="410"/>
      <c r="H129" s="193"/>
    </row>
    <row r="130" spans="1:8" ht="13" x14ac:dyDescent="0.3">
      <c r="A130" s="187"/>
      <c r="C130" s="69"/>
      <c r="D130" s="70"/>
      <c r="E130" s="193"/>
      <c r="F130" s="193"/>
      <c r="G130" s="410"/>
      <c r="H130" s="193"/>
    </row>
    <row r="131" spans="1:8" ht="13" x14ac:dyDescent="0.3">
      <c r="A131" s="187"/>
      <c r="C131" s="69"/>
      <c r="D131" s="70"/>
      <c r="E131" s="193"/>
      <c r="F131" s="193"/>
      <c r="G131" s="410"/>
      <c r="H131" s="193"/>
    </row>
    <row r="132" spans="1:8" ht="13" x14ac:dyDescent="0.3">
      <c r="A132" s="187"/>
      <c r="C132" s="69"/>
      <c r="D132" s="70"/>
      <c r="E132" s="193"/>
      <c r="F132" s="193"/>
      <c r="G132" s="410"/>
      <c r="H132" s="193"/>
    </row>
    <row r="133" spans="1:8" ht="13" x14ac:dyDescent="0.3">
      <c r="A133" s="187"/>
      <c r="C133" s="69"/>
      <c r="D133" s="70"/>
      <c r="E133" s="193"/>
      <c r="F133" s="193"/>
      <c r="G133" s="410"/>
      <c r="H133" s="193"/>
    </row>
    <row r="134" spans="1:8" ht="13" x14ac:dyDescent="0.3">
      <c r="A134" s="187"/>
      <c r="C134" s="69"/>
      <c r="D134" s="70"/>
      <c r="E134" s="193"/>
      <c r="F134" s="193"/>
      <c r="G134" s="410"/>
      <c r="H134" s="193"/>
    </row>
    <row r="135" spans="1:8" ht="13" x14ac:dyDescent="0.3">
      <c r="A135" s="187"/>
      <c r="C135" s="69"/>
      <c r="D135" s="70"/>
      <c r="E135" s="193"/>
      <c r="F135" s="193"/>
      <c r="G135" s="410"/>
      <c r="H135" s="193"/>
    </row>
    <row r="136" spans="1:8" ht="13" x14ac:dyDescent="0.3">
      <c r="A136" s="187"/>
      <c r="C136" s="69"/>
      <c r="D136" s="70"/>
      <c r="E136" s="193"/>
      <c r="F136" s="193"/>
      <c r="G136" s="410"/>
      <c r="H136" s="193"/>
    </row>
    <row r="137" spans="1:8" ht="13" x14ac:dyDescent="0.3">
      <c r="A137" s="187"/>
      <c r="C137" s="69"/>
      <c r="D137" s="70"/>
      <c r="E137" s="193"/>
      <c r="F137" s="193"/>
      <c r="G137" s="410"/>
      <c r="H137" s="193"/>
    </row>
    <row r="138" spans="1:8" ht="13" x14ac:dyDescent="0.3">
      <c r="A138" s="187"/>
      <c r="C138" s="69"/>
      <c r="D138" s="70"/>
      <c r="E138" s="193"/>
      <c r="F138" s="193"/>
      <c r="G138" s="410"/>
      <c r="H138" s="193"/>
    </row>
    <row r="139" spans="1:8" ht="13" x14ac:dyDescent="0.3">
      <c r="A139" s="187"/>
      <c r="C139" s="69"/>
      <c r="D139" s="70"/>
      <c r="E139" s="193"/>
      <c r="F139" s="193"/>
      <c r="G139" s="410"/>
      <c r="H139" s="200"/>
    </row>
    <row r="140" spans="1:8" ht="13" x14ac:dyDescent="0.3">
      <c r="A140" s="187"/>
      <c r="H140" s="193"/>
    </row>
    <row r="141" spans="1:8" ht="13" x14ac:dyDescent="0.3">
      <c r="A141" s="187"/>
      <c r="C141" s="69"/>
      <c r="D141" s="70"/>
      <c r="F141" s="416"/>
      <c r="G141" s="410"/>
      <c r="H141" s="416"/>
    </row>
    <row r="142" spans="1:8" ht="13" x14ac:dyDescent="0.3">
      <c r="A142" s="187"/>
      <c r="B142" s="182"/>
      <c r="C142" s="69"/>
      <c r="D142" s="70"/>
      <c r="F142" s="416"/>
      <c r="G142" s="410"/>
      <c r="H142" s="416"/>
    </row>
    <row r="143" spans="1:8" ht="13" x14ac:dyDescent="0.3">
      <c r="A143" s="188"/>
      <c r="B143" s="182"/>
      <c r="C143" s="69"/>
      <c r="D143" s="70"/>
      <c r="F143" s="416"/>
      <c r="G143" s="410"/>
      <c r="H143" s="416"/>
    </row>
    <row r="144" spans="1:8" ht="13" x14ac:dyDescent="0.3">
      <c r="A144" s="187"/>
      <c r="C144" s="69"/>
      <c r="D144" s="75"/>
      <c r="E144" s="193"/>
      <c r="F144" s="417"/>
      <c r="G144" s="410"/>
      <c r="H144" s="416"/>
    </row>
    <row r="145" spans="1:8" ht="13" x14ac:dyDescent="0.3">
      <c r="A145" s="187"/>
      <c r="C145" s="69"/>
      <c r="D145" s="196"/>
      <c r="E145" s="193"/>
      <c r="F145" s="417"/>
      <c r="G145" s="410"/>
      <c r="H145" s="416"/>
    </row>
    <row r="146" spans="1:8" ht="13" x14ac:dyDescent="0.3">
      <c r="A146" s="187"/>
      <c r="C146" s="69"/>
      <c r="D146" s="196"/>
      <c r="E146" s="200"/>
      <c r="F146" s="417"/>
      <c r="G146" s="410"/>
      <c r="H146" s="416"/>
    </row>
    <row r="147" spans="1:8" ht="13" x14ac:dyDescent="0.3">
      <c r="A147" s="187"/>
      <c r="C147" s="69"/>
      <c r="D147" s="75"/>
      <c r="E147" s="193"/>
      <c r="F147" s="416"/>
      <c r="G147" s="410"/>
      <c r="H147" s="416"/>
    </row>
    <row r="148" spans="1:8" ht="13" x14ac:dyDescent="0.3">
      <c r="A148" s="187"/>
      <c r="C148" s="69"/>
      <c r="D148" s="70"/>
      <c r="F148" s="416"/>
      <c r="G148" s="410"/>
      <c r="H148" s="416"/>
    </row>
    <row r="149" spans="1:8" ht="13" x14ac:dyDescent="0.3">
      <c r="A149" s="187"/>
    </row>
    <row r="150" spans="1:8" ht="13" x14ac:dyDescent="0.3">
      <c r="A150" s="187"/>
    </row>
    <row r="151" spans="1:8" ht="13" x14ac:dyDescent="0.3">
      <c r="A151" s="187"/>
    </row>
    <row r="152" spans="1:8" ht="13" x14ac:dyDescent="0.3">
      <c r="A152" s="187"/>
      <c r="B152" s="182"/>
    </row>
    <row r="153" spans="1:8" ht="13" x14ac:dyDescent="0.3">
      <c r="A153" s="187"/>
      <c r="B153" s="192"/>
    </row>
    <row r="154" spans="1:8" ht="13" x14ac:dyDescent="0.3">
      <c r="A154" s="187"/>
      <c r="B154" s="192"/>
    </row>
    <row r="155" spans="1:8" ht="13" x14ac:dyDescent="0.3">
      <c r="A155" s="187"/>
      <c r="B155" s="192"/>
    </row>
    <row r="156" spans="1:8" ht="13" x14ac:dyDescent="0.3">
      <c r="A156" s="187"/>
    </row>
    <row r="157" spans="1:8" ht="13" x14ac:dyDescent="0.3">
      <c r="A157" s="187"/>
      <c r="B157" s="182"/>
    </row>
    <row r="158" spans="1:8" ht="13" x14ac:dyDescent="0.3">
      <c r="A158" s="187"/>
    </row>
    <row r="159" spans="1:8" ht="13" x14ac:dyDescent="0.3">
      <c r="A159" s="188"/>
      <c r="C159" s="71"/>
      <c r="D159" s="189"/>
    </row>
    <row r="160" spans="1:8" ht="13" x14ac:dyDescent="0.3">
      <c r="A160" s="187"/>
      <c r="C160" s="69"/>
      <c r="D160" s="418"/>
      <c r="F160" s="202"/>
    </row>
    <row r="161" spans="1:6" ht="13" x14ac:dyDescent="0.3">
      <c r="A161" s="187"/>
      <c r="C161" s="69"/>
      <c r="D161" s="418"/>
      <c r="F161" s="202"/>
    </row>
    <row r="162" spans="1:6" ht="13" x14ac:dyDescent="0.3">
      <c r="A162" s="187"/>
      <c r="C162" s="69"/>
      <c r="D162" s="418"/>
      <c r="F162" s="202"/>
    </row>
    <row r="163" spans="1:6" ht="13" x14ac:dyDescent="0.3">
      <c r="A163" s="187"/>
      <c r="C163" s="69"/>
      <c r="D163" s="418"/>
      <c r="F163" s="202"/>
    </row>
    <row r="164" spans="1:6" ht="13" x14ac:dyDescent="0.3">
      <c r="A164" s="187"/>
      <c r="C164" s="69"/>
      <c r="D164" s="418"/>
      <c r="F164" s="202"/>
    </row>
    <row r="165" spans="1:6" ht="13" x14ac:dyDescent="0.3">
      <c r="A165" s="187"/>
      <c r="C165" s="69"/>
      <c r="D165" s="418"/>
      <c r="F165" s="202"/>
    </row>
    <row r="166" spans="1:6" ht="13" x14ac:dyDescent="0.3">
      <c r="A166" s="187"/>
      <c r="C166" s="69"/>
      <c r="D166" s="418"/>
      <c r="F166" s="202"/>
    </row>
    <row r="167" spans="1:6" ht="13" x14ac:dyDescent="0.3">
      <c r="A167" s="187"/>
      <c r="C167" s="69"/>
      <c r="D167" s="418"/>
      <c r="F167" s="202"/>
    </row>
    <row r="168" spans="1:6" ht="13" x14ac:dyDescent="0.3">
      <c r="A168" s="187"/>
      <c r="C168" s="69"/>
      <c r="D168" s="418"/>
      <c r="F168" s="202"/>
    </row>
    <row r="169" spans="1:6" ht="13" x14ac:dyDescent="0.3">
      <c r="A169" s="187"/>
      <c r="C169" s="69"/>
      <c r="D169" s="418"/>
      <c r="F169" s="202"/>
    </row>
    <row r="170" spans="1:6" ht="13" x14ac:dyDescent="0.3">
      <c r="A170" s="187"/>
      <c r="C170" s="69"/>
      <c r="D170" s="418"/>
      <c r="F170" s="202"/>
    </row>
    <row r="171" spans="1:6" ht="13" x14ac:dyDescent="0.3">
      <c r="A171" s="187"/>
      <c r="C171" s="69"/>
      <c r="D171" s="419"/>
      <c r="F171" s="201"/>
    </row>
    <row r="172" spans="1:6" ht="13" x14ac:dyDescent="0.3">
      <c r="A172" s="187"/>
      <c r="C172" s="72"/>
      <c r="D172" s="418"/>
    </row>
  </sheetData>
  <mergeCells count="5">
    <mergeCell ref="K71:M71"/>
    <mergeCell ref="M80:N80"/>
    <mergeCell ref="M82:O82"/>
    <mergeCell ref="M76:O76"/>
    <mergeCell ref="M81:O81"/>
  </mergeCells>
  <pageMargins left="0.75" right="0.75" top="1" bottom="1" header="0.5" footer="0.5"/>
  <pageSetup scale="68" orientation="landscape" cellComments="asDisplayed" r:id="rId1"/>
  <headerFooter alignWithMargins="0">
    <oddHeader>&amp;CSchedule 4
True Up TRR
(Revised 2019 
TO2018 True Up TRR)&amp;RTO2023 Draft Annual Update
Attachment 4
WP-Schedule 3-One Time Adj Prior Period
Page &amp;P of &amp;N</oddHeader>
    <oddFooter>&amp;R&amp;A</oddFooter>
  </headerFooter>
  <rowBreaks count="4" manualBreakCount="4">
    <brk id="45" max="14"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F3979-F2F7-45F2-9962-38D18C925BFE}">
  <sheetPr>
    <tabColor rgb="FF99CCFF"/>
  </sheetPr>
  <dimension ref="A1:X105"/>
  <sheetViews>
    <sheetView zoomScaleNormal="100" workbookViewId="0">
      <selection activeCell="J45" sqref="J45"/>
    </sheetView>
  </sheetViews>
  <sheetFormatPr defaultRowHeight="12.5" x14ac:dyDescent="0.25"/>
  <cols>
    <col min="1" max="1" width="4.54296875" style="399" customWidth="1"/>
    <col min="2" max="2" width="2.54296875" style="399" customWidth="1"/>
    <col min="3" max="3" width="8.54296875" style="399" customWidth="1"/>
    <col min="4" max="4" width="32.54296875" style="399" customWidth="1"/>
    <col min="5" max="5" width="14.54296875" style="399" customWidth="1"/>
    <col min="6" max="6" width="15.54296875" style="399" customWidth="1"/>
    <col min="7" max="8" width="14.54296875" style="399" customWidth="1"/>
    <col min="9" max="9" width="20" style="399" customWidth="1"/>
    <col min="10" max="10" width="15.54296875" style="399" customWidth="1"/>
    <col min="11" max="11" width="11" style="399" bestFit="1" customWidth="1"/>
    <col min="12" max="16384" width="8.7265625" style="399"/>
  </cols>
  <sheetData>
    <row r="1" spans="1:24" ht="13" x14ac:dyDescent="0.3">
      <c r="A1" s="182" t="s">
        <v>171</v>
      </c>
      <c r="F1" s="183" t="s">
        <v>172</v>
      </c>
      <c r="G1" s="184"/>
      <c r="H1" s="185"/>
      <c r="I1" s="185"/>
    </row>
    <row r="2" spans="1:24" ht="13" x14ac:dyDescent="0.3">
      <c r="E2" s="186" t="s">
        <v>173</v>
      </c>
      <c r="F2" s="186" t="s">
        <v>174</v>
      </c>
      <c r="G2" s="186" t="s">
        <v>175</v>
      </c>
      <c r="H2" s="186" t="s">
        <v>176</v>
      </c>
      <c r="I2" s="185"/>
    </row>
    <row r="3" spans="1:24" x14ac:dyDescent="0.25">
      <c r="G3" s="185" t="s">
        <v>177</v>
      </c>
    </row>
    <row r="4" spans="1:24" ht="13" x14ac:dyDescent="0.3">
      <c r="E4" s="187" t="s">
        <v>178</v>
      </c>
      <c r="F4" s="131" t="s">
        <v>179</v>
      </c>
      <c r="G4" s="187" t="s">
        <v>180</v>
      </c>
      <c r="I4" s="187"/>
    </row>
    <row r="5" spans="1:24" ht="13" x14ac:dyDescent="0.3">
      <c r="A5" s="188" t="s">
        <v>39</v>
      </c>
      <c r="B5" s="189"/>
      <c r="C5" s="189" t="s">
        <v>181</v>
      </c>
      <c r="D5" s="189" t="s">
        <v>31</v>
      </c>
      <c r="E5" s="189" t="s">
        <v>32</v>
      </c>
      <c r="F5" s="71" t="s">
        <v>33</v>
      </c>
      <c r="G5" s="189" t="s">
        <v>182</v>
      </c>
      <c r="H5" s="189" t="s">
        <v>82</v>
      </c>
      <c r="I5" s="189" t="s">
        <v>42</v>
      </c>
      <c r="K5" s="189"/>
      <c r="L5" s="189"/>
      <c r="M5" s="189"/>
      <c r="N5" s="189"/>
      <c r="O5" s="189"/>
      <c r="P5" s="189"/>
      <c r="Q5" s="189"/>
      <c r="R5" s="189"/>
      <c r="S5" s="189"/>
      <c r="T5" s="189"/>
      <c r="U5" s="189"/>
      <c r="V5" s="189"/>
      <c r="W5" s="189"/>
      <c r="X5" s="189"/>
    </row>
    <row r="6" spans="1:24" ht="13" x14ac:dyDescent="0.3">
      <c r="A6" s="187">
        <v>1</v>
      </c>
      <c r="C6" s="185">
        <v>920</v>
      </c>
      <c r="D6" s="399" t="s">
        <v>183</v>
      </c>
      <c r="E6" s="190">
        <v>413850310</v>
      </c>
      <c r="F6" s="185" t="s">
        <v>184</v>
      </c>
      <c r="G6" s="191">
        <f>D37</f>
        <v>126252220.2528477</v>
      </c>
      <c r="H6" s="191">
        <f t="shared" ref="H6:H19" si="0">E6-G6</f>
        <v>287598089.74715233</v>
      </c>
      <c r="J6" s="192"/>
    </row>
    <row r="7" spans="1:24" ht="13" x14ac:dyDescent="0.3">
      <c r="A7" s="187">
        <f>A6+1</f>
        <v>2</v>
      </c>
      <c r="C7" s="185">
        <v>921</v>
      </c>
      <c r="D7" s="399" t="s">
        <v>185</v>
      </c>
      <c r="E7" s="190">
        <v>250234425</v>
      </c>
      <c r="F7" s="185" t="s">
        <v>186</v>
      </c>
      <c r="G7" s="191">
        <f t="shared" ref="G7:G19" si="1">D38</f>
        <v>2352483.834740696</v>
      </c>
      <c r="H7" s="191">
        <f t="shared" si="0"/>
        <v>247881941.1652593</v>
      </c>
      <c r="J7" s="192"/>
    </row>
    <row r="8" spans="1:24" ht="13" x14ac:dyDescent="0.3">
      <c r="A8" s="187">
        <f>A7+1</f>
        <v>3</v>
      </c>
      <c r="C8" s="185">
        <v>922</v>
      </c>
      <c r="D8" s="399" t="s">
        <v>187</v>
      </c>
      <c r="E8" s="190">
        <v>-225318190</v>
      </c>
      <c r="F8" s="185" t="s">
        <v>188</v>
      </c>
      <c r="G8" s="193">
        <f t="shared" si="1"/>
        <v>-77722052.712449998</v>
      </c>
      <c r="H8" s="193">
        <f>E8-G8</f>
        <v>-147596137.28755</v>
      </c>
      <c r="I8" s="203" t="s">
        <v>189</v>
      </c>
      <c r="J8" s="192"/>
    </row>
    <row r="9" spans="1:24" ht="13" x14ac:dyDescent="0.3">
      <c r="A9" s="187">
        <f t="shared" ref="A9:A20" si="2">A8+1</f>
        <v>4</v>
      </c>
      <c r="B9" s="187"/>
      <c r="C9" s="185">
        <v>923</v>
      </c>
      <c r="D9" s="399" t="s">
        <v>190</v>
      </c>
      <c r="E9" s="190">
        <v>59887693</v>
      </c>
      <c r="F9" s="185" t="s">
        <v>191</v>
      </c>
      <c r="G9" s="191">
        <f t="shared" si="1"/>
        <v>9003377.4278677832</v>
      </c>
      <c r="H9" s="191">
        <f t="shared" si="0"/>
        <v>50884315.572132215</v>
      </c>
      <c r="J9" s="192"/>
    </row>
    <row r="10" spans="1:24" ht="13" x14ac:dyDescent="0.3">
      <c r="A10" s="187">
        <f t="shared" si="2"/>
        <v>5</v>
      </c>
      <c r="B10" s="187"/>
      <c r="C10" s="185">
        <v>924</v>
      </c>
      <c r="D10" s="399" t="s">
        <v>192</v>
      </c>
      <c r="E10" s="190">
        <v>15607270</v>
      </c>
      <c r="F10" s="185" t="s">
        <v>193</v>
      </c>
      <c r="G10" s="193">
        <f t="shared" si="1"/>
        <v>0</v>
      </c>
      <c r="H10" s="193">
        <f t="shared" si="0"/>
        <v>15607270</v>
      </c>
      <c r="J10" s="192"/>
    </row>
    <row r="11" spans="1:24" ht="13" x14ac:dyDescent="0.3">
      <c r="A11" s="187">
        <f t="shared" si="2"/>
        <v>6</v>
      </c>
      <c r="B11" s="187"/>
      <c r="C11" s="185">
        <v>925</v>
      </c>
      <c r="D11" s="399" t="s">
        <v>194</v>
      </c>
      <c r="E11" s="190">
        <v>902073996</v>
      </c>
      <c r="F11" s="185" t="s">
        <v>195</v>
      </c>
      <c r="G11" s="193">
        <f t="shared" si="1"/>
        <v>154247327.52000001</v>
      </c>
      <c r="H11" s="193">
        <f t="shared" si="0"/>
        <v>747826668.48000002</v>
      </c>
      <c r="J11" s="192"/>
    </row>
    <row r="12" spans="1:24" ht="13" x14ac:dyDescent="0.3">
      <c r="A12" s="187">
        <f t="shared" si="2"/>
        <v>7</v>
      </c>
      <c r="B12" s="187"/>
      <c r="C12" s="185">
        <v>926</v>
      </c>
      <c r="D12" s="399" t="s">
        <v>196</v>
      </c>
      <c r="E12" s="190">
        <v>82906034</v>
      </c>
      <c r="F12" s="185" t="s">
        <v>197</v>
      </c>
      <c r="G12" s="193">
        <f t="shared" si="1"/>
        <v>4180354.9770550355</v>
      </c>
      <c r="H12" s="193">
        <f t="shared" si="0"/>
        <v>78725679.022944957</v>
      </c>
      <c r="J12" s="192"/>
    </row>
    <row r="13" spans="1:24" ht="13" x14ac:dyDescent="0.3">
      <c r="A13" s="187">
        <f t="shared" si="2"/>
        <v>8</v>
      </c>
      <c r="B13" s="187"/>
      <c r="C13" s="185">
        <v>927</v>
      </c>
      <c r="D13" s="399" t="s">
        <v>198</v>
      </c>
      <c r="E13" s="190">
        <v>104335318</v>
      </c>
      <c r="F13" s="185" t="s">
        <v>199</v>
      </c>
      <c r="G13" s="193">
        <f t="shared" si="1"/>
        <v>104335318</v>
      </c>
      <c r="H13" s="193">
        <f t="shared" si="0"/>
        <v>0</v>
      </c>
      <c r="J13" s="192"/>
    </row>
    <row r="14" spans="1:24" ht="13" x14ac:dyDescent="0.3">
      <c r="A14" s="187">
        <f t="shared" si="2"/>
        <v>9</v>
      </c>
      <c r="B14" s="187"/>
      <c r="C14" s="185">
        <v>928</v>
      </c>
      <c r="D14" s="192" t="s">
        <v>200</v>
      </c>
      <c r="E14" s="190">
        <v>11713250</v>
      </c>
      <c r="F14" s="185" t="s">
        <v>201</v>
      </c>
      <c r="G14" s="193">
        <f t="shared" si="1"/>
        <v>9979027.6099999994</v>
      </c>
      <c r="H14" s="193">
        <f t="shared" si="0"/>
        <v>1734222.3900000006</v>
      </c>
      <c r="J14" s="192"/>
    </row>
    <row r="15" spans="1:24" ht="13" x14ac:dyDescent="0.3">
      <c r="A15" s="187">
        <f t="shared" si="2"/>
        <v>10</v>
      </c>
      <c r="B15" s="187"/>
      <c r="C15" s="185">
        <v>929</v>
      </c>
      <c r="D15" s="399" t="s">
        <v>202</v>
      </c>
      <c r="E15" s="190">
        <v>0</v>
      </c>
      <c r="F15" s="185" t="s">
        <v>203</v>
      </c>
      <c r="G15" s="193">
        <f t="shared" si="1"/>
        <v>0</v>
      </c>
      <c r="H15" s="193">
        <f t="shared" si="0"/>
        <v>0</v>
      </c>
      <c r="J15" s="192"/>
    </row>
    <row r="16" spans="1:24" ht="13" x14ac:dyDescent="0.3">
      <c r="A16" s="187">
        <f t="shared" si="2"/>
        <v>11</v>
      </c>
      <c r="B16" s="187"/>
      <c r="C16" s="185">
        <v>930.1</v>
      </c>
      <c r="D16" s="399" t="s">
        <v>204</v>
      </c>
      <c r="E16" s="190">
        <v>11245961</v>
      </c>
      <c r="F16" s="185" t="s">
        <v>205</v>
      </c>
      <c r="G16" s="191">
        <f t="shared" si="1"/>
        <v>0</v>
      </c>
      <c r="H16" s="191">
        <f t="shared" si="0"/>
        <v>11245961</v>
      </c>
      <c r="J16" s="192"/>
    </row>
    <row r="17" spans="1:10" ht="13" x14ac:dyDescent="0.3">
      <c r="A17" s="187">
        <f t="shared" si="2"/>
        <v>12</v>
      </c>
      <c r="B17" s="187"/>
      <c r="C17" s="185">
        <v>930.2</v>
      </c>
      <c r="D17" s="399" t="s">
        <v>206</v>
      </c>
      <c r="E17" s="190">
        <v>14071912</v>
      </c>
      <c r="F17" s="185" t="s">
        <v>207</v>
      </c>
      <c r="G17" s="193">
        <f t="shared" si="1"/>
        <v>5999239.1899999976</v>
      </c>
      <c r="H17" s="193">
        <f t="shared" si="0"/>
        <v>8072672.8100000024</v>
      </c>
      <c r="J17" s="192"/>
    </row>
    <row r="18" spans="1:10" ht="13" x14ac:dyDescent="0.3">
      <c r="A18" s="187">
        <f t="shared" si="2"/>
        <v>13</v>
      </c>
      <c r="B18" s="187"/>
      <c r="C18" s="185">
        <v>931</v>
      </c>
      <c r="D18" s="399" t="s">
        <v>208</v>
      </c>
      <c r="E18" s="190">
        <v>8581490</v>
      </c>
      <c r="F18" s="185" t="s">
        <v>209</v>
      </c>
      <c r="G18" s="193">
        <f t="shared" si="1"/>
        <v>12016812.699999999</v>
      </c>
      <c r="H18" s="193">
        <f t="shared" si="0"/>
        <v>-3435322.6999999993</v>
      </c>
      <c r="J18" s="192"/>
    </row>
    <row r="19" spans="1:10" ht="13" x14ac:dyDescent="0.3">
      <c r="A19" s="187">
        <f t="shared" si="2"/>
        <v>14</v>
      </c>
      <c r="B19" s="187"/>
      <c r="C19" s="185">
        <v>935</v>
      </c>
      <c r="D19" s="399" t="s">
        <v>210</v>
      </c>
      <c r="E19" s="194">
        <v>26158179</v>
      </c>
      <c r="F19" s="185" t="s">
        <v>211</v>
      </c>
      <c r="G19" s="191">
        <f t="shared" si="1"/>
        <v>769627.75</v>
      </c>
      <c r="H19" s="195">
        <f t="shared" si="0"/>
        <v>25388551.25</v>
      </c>
      <c r="J19" s="192"/>
    </row>
    <row r="20" spans="1:10" ht="13" x14ac:dyDescent="0.3">
      <c r="A20" s="187">
        <f t="shared" si="2"/>
        <v>15</v>
      </c>
      <c r="E20" s="193">
        <f>SUM(E6:E19)</f>
        <v>1675347648</v>
      </c>
      <c r="G20" s="196" t="s">
        <v>212</v>
      </c>
      <c r="H20" s="197">
        <f>SUM(H6:H19)</f>
        <v>1323933911.4499388</v>
      </c>
    </row>
    <row r="22" spans="1:10" ht="13" x14ac:dyDescent="0.3">
      <c r="F22" s="189" t="s">
        <v>32</v>
      </c>
      <c r="G22" s="189" t="s">
        <v>33</v>
      </c>
    </row>
    <row r="23" spans="1:10" ht="13" x14ac:dyDescent="0.3">
      <c r="A23" s="187">
        <f>A20+1</f>
        <v>16</v>
      </c>
      <c r="E23" s="198" t="s">
        <v>213</v>
      </c>
      <c r="F23" s="191">
        <f>H20</f>
        <v>1323933911.4499388</v>
      </c>
      <c r="G23" s="199" t="str">
        <f>"Line "&amp;A20&amp;""</f>
        <v>Line 15</v>
      </c>
    </row>
    <row r="24" spans="1:10" ht="13" x14ac:dyDescent="0.3">
      <c r="A24" s="187">
        <f t="shared" ref="A24:A30" si="3">A23+1</f>
        <v>17</v>
      </c>
      <c r="E24" s="198" t="s">
        <v>214</v>
      </c>
      <c r="F24" s="200">
        <f>E10</f>
        <v>15607270</v>
      </c>
      <c r="G24" s="199" t="str">
        <f>"Line "&amp;A10&amp;""</f>
        <v>Line 5</v>
      </c>
    </row>
    <row r="25" spans="1:10" ht="13" x14ac:dyDescent="0.3">
      <c r="A25" s="187">
        <f t="shared" si="3"/>
        <v>18</v>
      </c>
      <c r="E25" s="198" t="s">
        <v>215</v>
      </c>
      <c r="F25" s="191">
        <f>F23-F24</f>
        <v>1308326641.4499388</v>
      </c>
      <c r="G25" s="199" t="str">
        <f>"Line "&amp;A23&amp;" - Line "&amp;A24&amp;""</f>
        <v>Line 16 - Line 17</v>
      </c>
    </row>
    <row r="26" spans="1:10" ht="13" x14ac:dyDescent="0.3">
      <c r="A26" s="187">
        <f t="shared" si="3"/>
        <v>19</v>
      </c>
      <c r="E26" s="196" t="s">
        <v>216</v>
      </c>
      <c r="F26" s="201">
        <v>6.5693761162178274E-2</v>
      </c>
      <c r="G26" s="199" t="s">
        <v>217</v>
      </c>
    </row>
    <row r="27" spans="1:10" ht="13" x14ac:dyDescent="0.3">
      <c r="A27" s="187">
        <f t="shared" si="3"/>
        <v>20</v>
      </c>
      <c r="E27" s="198" t="s">
        <v>218</v>
      </c>
      <c r="F27" s="191">
        <f>F25*F26</f>
        <v>85948897.90552713</v>
      </c>
      <c r="G27" s="199" t="str">
        <f>"Line "&amp;A25&amp;" * Line "&amp;A26&amp;""</f>
        <v>Line 18 * Line 19</v>
      </c>
    </row>
    <row r="28" spans="1:10" ht="13" x14ac:dyDescent="0.3">
      <c r="A28" s="187">
        <f t="shared" si="3"/>
        <v>21</v>
      </c>
      <c r="E28" s="198" t="s">
        <v>219</v>
      </c>
      <c r="F28" s="202">
        <v>0.18668153702052509</v>
      </c>
      <c r="G28" s="199" t="s">
        <v>220</v>
      </c>
    </row>
    <row r="29" spans="1:10" ht="13" x14ac:dyDescent="0.3">
      <c r="A29" s="187">
        <f t="shared" si="3"/>
        <v>22</v>
      </c>
      <c r="E29" s="198" t="s">
        <v>221</v>
      </c>
      <c r="F29" s="200">
        <f>H10*F28</f>
        <v>2913589.1522943308</v>
      </c>
      <c r="G29" s="199" t="str">
        <f>"Line "&amp;A10&amp;" Col 4 * Line "&amp;A28&amp;""</f>
        <v>Line 5 Col 4 * Line 21</v>
      </c>
    </row>
    <row r="30" spans="1:10" ht="13" x14ac:dyDescent="0.3">
      <c r="A30" s="187">
        <f t="shared" si="3"/>
        <v>23</v>
      </c>
      <c r="E30" s="198" t="s">
        <v>222</v>
      </c>
      <c r="F30" s="197">
        <f>F27+F29</f>
        <v>88862487.057821468</v>
      </c>
      <c r="G30" s="199" t="str">
        <f>"Line "&amp;A27&amp;" + Line "&amp;A29&amp;""</f>
        <v>Line 20 + Line 22</v>
      </c>
    </row>
    <row r="32" spans="1:10" ht="13" x14ac:dyDescent="0.3">
      <c r="B32" s="182" t="s">
        <v>223</v>
      </c>
      <c r="E32" s="186" t="s">
        <v>173</v>
      </c>
      <c r="F32" s="186" t="s">
        <v>174</v>
      </c>
      <c r="G32" s="186" t="s">
        <v>175</v>
      </c>
      <c r="H32" s="186" t="s">
        <v>176</v>
      </c>
    </row>
    <row r="33" spans="1:11" ht="13" x14ac:dyDescent="0.3">
      <c r="B33" s="182"/>
      <c r="E33" s="187" t="s">
        <v>224</v>
      </c>
      <c r="F33" s="186"/>
      <c r="G33" s="186"/>
      <c r="H33" s="186"/>
    </row>
    <row r="34" spans="1:11" ht="13" x14ac:dyDescent="0.3">
      <c r="E34" s="187" t="s">
        <v>225</v>
      </c>
    </row>
    <row r="35" spans="1:11" ht="13" x14ac:dyDescent="0.3">
      <c r="D35" s="187" t="s">
        <v>226</v>
      </c>
      <c r="E35" s="187" t="s">
        <v>227</v>
      </c>
      <c r="F35" s="187" t="s">
        <v>228</v>
      </c>
      <c r="G35" s="187"/>
      <c r="H35" s="187"/>
    </row>
    <row r="36" spans="1:11" ht="13.5" thickBot="1" x14ac:dyDescent="0.35">
      <c r="C36" s="189" t="s">
        <v>181</v>
      </c>
      <c r="D36" s="186" t="s">
        <v>229</v>
      </c>
      <c r="E36" s="189" t="s">
        <v>230</v>
      </c>
      <c r="F36" s="189" t="s">
        <v>231</v>
      </c>
      <c r="G36" s="189" t="s">
        <v>232</v>
      </c>
      <c r="H36" s="189" t="s">
        <v>233</v>
      </c>
      <c r="I36" s="189" t="s">
        <v>42</v>
      </c>
    </row>
    <row r="37" spans="1:11" ht="13.5" thickBot="1" x14ac:dyDescent="0.35">
      <c r="A37" s="187">
        <f>A30+1</f>
        <v>24</v>
      </c>
      <c r="C37" s="185">
        <v>920</v>
      </c>
      <c r="D37" s="206">
        <f>SUM(E37:H37)</f>
        <v>126252220.2528477</v>
      </c>
      <c r="E37" s="207">
        <v>-7717820.8747406974</v>
      </c>
      <c r="F37" s="208"/>
      <c r="G37" s="193">
        <f>G59</f>
        <v>133970041.12758839</v>
      </c>
      <c r="H37" s="208"/>
      <c r="I37" s="199" t="s">
        <v>234</v>
      </c>
    </row>
    <row r="38" spans="1:11" ht="13.5" thickBot="1" x14ac:dyDescent="0.35">
      <c r="A38" s="187">
        <f>A37+1</f>
        <v>25</v>
      </c>
      <c r="C38" s="185">
        <v>921</v>
      </c>
      <c r="D38" s="206">
        <f t="shared" ref="D38:D50" si="4">SUM(E38:H38)</f>
        <v>2352483.834740696</v>
      </c>
      <c r="E38" s="207">
        <v>2352483.834740696</v>
      </c>
      <c r="F38" s="208"/>
      <c r="G38" s="208">
        <v>0</v>
      </c>
      <c r="H38" s="208"/>
      <c r="I38" s="203"/>
    </row>
    <row r="39" spans="1:11" ht="13.5" thickBot="1" x14ac:dyDescent="0.35">
      <c r="A39" s="187">
        <f t="shared" ref="A39:A50" si="5">A38+1</f>
        <v>26</v>
      </c>
      <c r="C39" s="185">
        <v>922</v>
      </c>
      <c r="D39" s="209">
        <f t="shared" si="4"/>
        <v>-77722052.712449998</v>
      </c>
      <c r="E39" s="210">
        <v>-10359095.712450001</v>
      </c>
      <c r="F39" s="208"/>
      <c r="G39" s="132">
        <v>-67362957</v>
      </c>
      <c r="H39" s="208"/>
      <c r="I39" s="203"/>
    </row>
    <row r="40" spans="1:11" ht="13.5" thickBot="1" x14ac:dyDescent="0.35">
      <c r="A40" s="187">
        <f t="shared" si="5"/>
        <v>27</v>
      </c>
      <c r="C40" s="185">
        <v>923</v>
      </c>
      <c r="D40" s="206">
        <f t="shared" si="4"/>
        <v>9003377.4278677832</v>
      </c>
      <c r="E40" s="207">
        <v>9003377.4278677832</v>
      </c>
      <c r="F40" s="208"/>
      <c r="G40" s="208">
        <v>0</v>
      </c>
      <c r="H40" s="208"/>
      <c r="I40" s="203"/>
      <c r="J40" s="189"/>
      <c r="K40" s="189"/>
    </row>
    <row r="41" spans="1:11" ht="13" x14ac:dyDescent="0.3">
      <c r="A41" s="187">
        <f t="shared" si="5"/>
        <v>28</v>
      </c>
      <c r="C41" s="185">
        <v>924</v>
      </c>
      <c r="D41" s="209">
        <f t="shared" si="4"/>
        <v>0</v>
      </c>
      <c r="E41" s="210">
        <v>0</v>
      </c>
      <c r="F41" s="208"/>
      <c r="G41" s="208">
        <v>0</v>
      </c>
      <c r="H41" s="208"/>
      <c r="I41" s="203"/>
      <c r="K41" s="193"/>
    </row>
    <row r="42" spans="1:11" ht="13" x14ac:dyDescent="0.3">
      <c r="A42" s="187">
        <f t="shared" si="5"/>
        <v>29</v>
      </c>
      <c r="C42" s="185">
        <v>925</v>
      </c>
      <c r="D42" s="209">
        <f t="shared" si="4"/>
        <v>154247327.52000001</v>
      </c>
      <c r="E42" s="210">
        <v>154247327.52000001</v>
      </c>
      <c r="F42" s="208"/>
      <c r="G42" s="208">
        <v>0</v>
      </c>
      <c r="H42" s="208"/>
      <c r="I42" s="199"/>
      <c r="K42" s="193"/>
    </row>
    <row r="43" spans="1:11" ht="13" x14ac:dyDescent="0.3">
      <c r="A43" s="187">
        <f t="shared" si="5"/>
        <v>30</v>
      </c>
      <c r="C43" s="185">
        <v>926</v>
      </c>
      <c r="D43" s="209">
        <f t="shared" si="4"/>
        <v>4180354.9770550355</v>
      </c>
      <c r="E43" s="210">
        <v>16070354.977055036</v>
      </c>
      <c r="F43" s="208"/>
      <c r="G43" s="208">
        <v>0</v>
      </c>
      <c r="H43" s="193">
        <f>E72</f>
        <v>-11890000</v>
      </c>
      <c r="I43" s="199" t="s">
        <v>235</v>
      </c>
      <c r="K43" s="193"/>
    </row>
    <row r="44" spans="1:11" ht="13" x14ac:dyDescent="0.3">
      <c r="A44" s="187">
        <f t="shared" si="5"/>
        <v>31</v>
      </c>
      <c r="C44" s="185">
        <v>927</v>
      </c>
      <c r="D44" s="209">
        <f t="shared" si="4"/>
        <v>104335318</v>
      </c>
      <c r="E44" s="193">
        <v>0</v>
      </c>
      <c r="F44" s="193">
        <f>E13</f>
        <v>104335318</v>
      </c>
      <c r="G44" s="193">
        <v>0</v>
      </c>
      <c r="H44" s="193">
        <v>0</v>
      </c>
      <c r="I44" s="203" t="s">
        <v>236</v>
      </c>
      <c r="K44" s="193"/>
    </row>
    <row r="45" spans="1:11" ht="13" x14ac:dyDescent="0.3">
      <c r="A45" s="187">
        <f t="shared" si="5"/>
        <v>32</v>
      </c>
      <c r="C45" s="185">
        <v>928</v>
      </c>
      <c r="D45" s="209">
        <f t="shared" si="4"/>
        <v>9979027.6099999994</v>
      </c>
      <c r="E45" s="210">
        <v>9979027.6099999994</v>
      </c>
      <c r="F45" s="208"/>
      <c r="G45" s="208">
        <v>0</v>
      </c>
      <c r="H45" s="208"/>
      <c r="I45" s="203"/>
      <c r="K45" s="193"/>
    </row>
    <row r="46" spans="1:11" ht="13.5" thickBot="1" x14ac:dyDescent="0.35">
      <c r="A46" s="187">
        <f t="shared" si="5"/>
        <v>33</v>
      </c>
      <c r="C46" s="185">
        <v>929</v>
      </c>
      <c r="D46" s="209">
        <f t="shared" si="4"/>
        <v>0</v>
      </c>
      <c r="E46" s="210">
        <v>0</v>
      </c>
      <c r="F46" s="208"/>
      <c r="G46" s="208">
        <v>0</v>
      </c>
      <c r="H46" s="208"/>
      <c r="I46" s="203"/>
      <c r="K46" s="193"/>
    </row>
    <row r="47" spans="1:11" ht="13.5" thickBot="1" x14ac:dyDescent="0.35">
      <c r="A47" s="187">
        <f t="shared" si="5"/>
        <v>34</v>
      </c>
      <c r="C47" s="185">
        <v>930.1</v>
      </c>
      <c r="D47" s="206">
        <f t="shared" si="4"/>
        <v>0</v>
      </c>
      <c r="E47" s="207">
        <v>0</v>
      </c>
      <c r="F47" s="208"/>
      <c r="G47" s="208">
        <v>0</v>
      </c>
      <c r="H47" s="208"/>
      <c r="I47" s="203"/>
      <c r="K47" s="193"/>
    </row>
    <row r="48" spans="1:11" ht="13" x14ac:dyDescent="0.3">
      <c r="A48" s="187">
        <f t="shared" si="5"/>
        <v>35</v>
      </c>
      <c r="C48" s="185">
        <v>930.2</v>
      </c>
      <c r="D48" s="209">
        <f t="shared" si="4"/>
        <v>5999239.1899999976</v>
      </c>
      <c r="E48" s="210">
        <v>5999239.1899999976</v>
      </c>
      <c r="F48" s="208"/>
      <c r="G48" s="208">
        <v>0</v>
      </c>
      <c r="H48" s="208"/>
      <c r="I48" s="203"/>
      <c r="J48" s="211"/>
    </row>
    <row r="49" spans="1:10" ht="13.5" thickBot="1" x14ac:dyDescent="0.35">
      <c r="A49" s="187">
        <f t="shared" si="5"/>
        <v>36</v>
      </c>
      <c r="C49" s="185">
        <v>931</v>
      </c>
      <c r="D49" s="209">
        <f t="shared" si="4"/>
        <v>12016812.699999999</v>
      </c>
      <c r="E49" s="210">
        <v>12016812.699999999</v>
      </c>
      <c r="F49" s="208"/>
      <c r="G49" s="208">
        <v>0</v>
      </c>
      <c r="H49" s="208"/>
      <c r="I49" s="203"/>
      <c r="J49" s="193"/>
    </row>
    <row r="50" spans="1:10" ht="13.5" thickBot="1" x14ac:dyDescent="0.35">
      <c r="A50" s="187">
        <f t="shared" si="5"/>
        <v>37</v>
      </c>
      <c r="C50" s="185">
        <v>935</v>
      </c>
      <c r="D50" s="206">
        <f t="shared" si="4"/>
        <v>769627.75</v>
      </c>
      <c r="E50" s="207">
        <v>769627.75</v>
      </c>
      <c r="F50" s="208"/>
      <c r="G50" s="208">
        <v>0</v>
      </c>
      <c r="H50" s="208"/>
      <c r="I50" s="203"/>
    </row>
    <row r="51" spans="1:10" ht="13" x14ac:dyDescent="0.3">
      <c r="A51" s="187"/>
      <c r="C51" s="185"/>
      <c r="D51" s="209"/>
      <c r="E51" s="211"/>
      <c r="F51" s="193"/>
      <c r="G51" s="193"/>
      <c r="H51" s="193"/>
      <c r="I51" s="203"/>
    </row>
    <row r="52" spans="1:10" ht="13" x14ac:dyDescent="0.3">
      <c r="A52" s="187"/>
      <c r="C52" s="185"/>
      <c r="D52" s="209"/>
      <c r="E52" s="211"/>
      <c r="F52" s="193"/>
      <c r="G52" s="193"/>
      <c r="H52" s="193"/>
      <c r="I52" s="203"/>
    </row>
    <row r="53" spans="1:10" ht="13" x14ac:dyDescent="0.3">
      <c r="B53" s="182" t="s">
        <v>237</v>
      </c>
    </row>
    <row r="54" spans="1:10" ht="13" x14ac:dyDescent="0.3">
      <c r="B54" s="182"/>
      <c r="C54" s="192" t="s">
        <v>238</v>
      </c>
      <c r="G54" s="187"/>
      <c r="H54" s="187"/>
    </row>
    <row r="55" spans="1:10" ht="13" x14ac:dyDescent="0.3">
      <c r="B55" s="182"/>
      <c r="C55" s="60" t="s">
        <v>239</v>
      </c>
      <c r="D55" s="60"/>
      <c r="E55" s="60"/>
      <c r="G55" s="187"/>
      <c r="H55" s="187"/>
    </row>
    <row r="56" spans="1:10" ht="13" x14ac:dyDescent="0.3">
      <c r="B56" s="182"/>
      <c r="G56" s="189" t="s">
        <v>32</v>
      </c>
      <c r="H56" s="189" t="s">
        <v>33</v>
      </c>
    </row>
    <row r="57" spans="1:10" ht="13" x14ac:dyDescent="0.3">
      <c r="A57" s="187"/>
      <c r="B57" s="187" t="s">
        <v>114</v>
      </c>
      <c r="F57" s="198" t="s">
        <v>240</v>
      </c>
      <c r="G57" s="210">
        <v>148050456</v>
      </c>
      <c r="H57" s="199" t="s">
        <v>241</v>
      </c>
    </row>
    <row r="58" spans="1:10" ht="13" x14ac:dyDescent="0.3">
      <c r="A58" s="187"/>
      <c r="B58" s="187" t="s">
        <v>116</v>
      </c>
      <c r="C58" s="192"/>
      <c r="F58" s="198" t="s">
        <v>242</v>
      </c>
      <c r="G58" s="200">
        <f>E62</f>
        <v>14080414.872411605</v>
      </c>
      <c r="H58" s="199" t="str">
        <f>"Note 2, "&amp;B62&amp;""</f>
        <v>Note 2, d</v>
      </c>
    </row>
    <row r="59" spans="1:10" ht="13" x14ac:dyDescent="0.3">
      <c r="A59" s="187"/>
      <c r="B59" s="187" t="s">
        <v>119</v>
      </c>
      <c r="F59" s="198" t="s">
        <v>243</v>
      </c>
      <c r="G59" s="193">
        <f>G57-G58</f>
        <v>133970041.12758839</v>
      </c>
    </row>
    <row r="60" spans="1:10" ht="13" x14ac:dyDescent="0.3">
      <c r="A60" s="187"/>
      <c r="C60" s="60" t="s">
        <v>244</v>
      </c>
      <c r="D60" s="60"/>
      <c r="E60" s="60"/>
      <c r="G60" s="193"/>
    </row>
    <row r="61" spans="1:10" ht="13" x14ac:dyDescent="0.3">
      <c r="A61" s="187"/>
      <c r="D61" s="213" t="s">
        <v>245</v>
      </c>
      <c r="E61" s="189" t="s">
        <v>32</v>
      </c>
      <c r="F61" s="189" t="s">
        <v>33</v>
      </c>
      <c r="G61" s="193"/>
    </row>
    <row r="62" spans="1:10" ht="13" x14ac:dyDescent="0.3">
      <c r="A62" s="187"/>
      <c r="B62" s="187" t="s">
        <v>121</v>
      </c>
      <c r="D62" s="399" t="s">
        <v>246</v>
      </c>
      <c r="E62" s="132">
        <v>14080414.872411605</v>
      </c>
      <c r="F62" s="199" t="s">
        <v>247</v>
      </c>
      <c r="G62" s="193"/>
    </row>
    <row r="63" spans="1:10" ht="13" x14ac:dyDescent="0.3">
      <c r="A63" s="187"/>
      <c r="B63" s="187" t="s">
        <v>125</v>
      </c>
      <c r="D63" s="192" t="s">
        <v>248</v>
      </c>
      <c r="E63" s="132">
        <v>6519087.5034648124</v>
      </c>
      <c r="F63" s="199" t="s">
        <v>247</v>
      </c>
      <c r="G63" s="193"/>
      <c r="I63" s="133"/>
    </row>
    <row r="64" spans="1:10" ht="13" x14ac:dyDescent="0.3">
      <c r="A64" s="187"/>
      <c r="B64" s="187" t="s">
        <v>127</v>
      </c>
      <c r="D64" s="192" t="s">
        <v>249</v>
      </c>
      <c r="E64" s="134">
        <v>22710657.624123573</v>
      </c>
      <c r="F64" s="199" t="s">
        <v>247</v>
      </c>
      <c r="G64" s="193"/>
      <c r="I64" s="193"/>
    </row>
    <row r="65" spans="1:7" ht="13" x14ac:dyDescent="0.3">
      <c r="A65" s="187"/>
      <c r="B65" s="187" t="s">
        <v>129</v>
      </c>
      <c r="D65" s="198" t="s">
        <v>250</v>
      </c>
      <c r="E65" s="193">
        <f>SUM(E62:E64)</f>
        <v>43310159.999999993</v>
      </c>
      <c r="F65" s="199" t="str">
        <f>"Sum of "&amp;B62&amp;" to "&amp;B64&amp;""</f>
        <v>Sum of d to f</v>
      </c>
      <c r="G65" s="193"/>
    </row>
    <row r="67" spans="1:7" ht="13" x14ac:dyDescent="0.3">
      <c r="B67" s="182" t="s">
        <v>251</v>
      </c>
    </row>
    <row r="68" spans="1:7" ht="13" x14ac:dyDescent="0.3">
      <c r="E68" s="189" t="s">
        <v>32</v>
      </c>
      <c r="F68" s="213" t="s">
        <v>252</v>
      </c>
    </row>
    <row r="69" spans="1:7" ht="13" x14ac:dyDescent="0.3">
      <c r="A69" s="187"/>
      <c r="B69" s="187" t="s">
        <v>114</v>
      </c>
      <c r="D69" s="198" t="s">
        <v>253</v>
      </c>
      <c r="E69" s="211">
        <v>6329000</v>
      </c>
      <c r="F69" s="199" t="s">
        <v>254</v>
      </c>
      <c r="G69" s="420"/>
    </row>
    <row r="70" spans="1:7" ht="13" x14ac:dyDescent="0.3">
      <c r="A70" s="187"/>
      <c r="B70" s="187" t="s">
        <v>116</v>
      </c>
      <c r="D70" s="198" t="s">
        <v>255</v>
      </c>
      <c r="E70" s="215">
        <v>18219000</v>
      </c>
      <c r="F70" s="199" t="s">
        <v>256</v>
      </c>
    </row>
    <row r="71" spans="1:7" ht="13" x14ac:dyDescent="0.3">
      <c r="A71" s="187"/>
      <c r="B71" s="187" t="s">
        <v>119</v>
      </c>
      <c r="D71" s="198" t="s">
        <v>257</v>
      </c>
      <c r="E71" s="216">
        <v>6329000</v>
      </c>
      <c r="F71" s="199" t="s">
        <v>241</v>
      </c>
    </row>
    <row r="72" spans="1:7" ht="13" x14ac:dyDescent="0.3">
      <c r="A72" s="187"/>
      <c r="B72" s="187" t="s">
        <v>121</v>
      </c>
      <c r="D72" s="198" t="s">
        <v>258</v>
      </c>
      <c r="E72" s="193">
        <f>E71-E70</f>
        <v>-11890000</v>
      </c>
      <c r="F72" s="199" t="str">
        <f>""&amp;B71&amp;" - "&amp;B70&amp;""</f>
        <v>c - b</v>
      </c>
    </row>
    <row r="73" spans="1:7" ht="13" x14ac:dyDescent="0.3">
      <c r="A73" s="187"/>
      <c r="B73" s="182" t="s">
        <v>259</v>
      </c>
      <c r="D73" s="198"/>
      <c r="E73" s="193"/>
      <c r="F73" s="199"/>
    </row>
    <row r="74" spans="1:7" ht="13" x14ac:dyDescent="0.3">
      <c r="A74" s="187"/>
      <c r="B74" s="182"/>
      <c r="C74" s="399" t="str">
        <f>"Amount in Line "&amp;A44&amp;", column 2 equals amount in Line "&amp;A13&amp;", column 1 because all Franchise Requirements Expenses are excluded"</f>
        <v>Amount in Line 31, column 2 equals amount in Line 8, column 1 because all Franchise Requirements Expenses are excluded</v>
      </c>
      <c r="D74" s="198"/>
      <c r="E74" s="193"/>
      <c r="F74" s="199"/>
    </row>
    <row r="75" spans="1:7" ht="13" x14ac:dyDescent="0.3">
      <c r="A75" s="187"/>
      <c r="B75" s="182"/>
      <c r="C75" s="192" t="s">
        <v>260</v>
      </c>
      <c r="D75" s="198"/>
      <c r="E75" s="193"/>
      <c r="F75" s="199"/>
    </row>
    <row r="77" spans="1:7" ht="13" x14ac:dyDescent="0.3">
      <c r="B77" s="182" t="s">
        <v>104</v>
      </c>
    </row>
    <row r="78" spans="1:7" x14ac:dyDescent="0.25">
      <c r="C78" s="192" t="str">
        <f>"1) Enter amounts of A&amp;G expenses from FERC Form 1 in Lines "&amp;A6&amp;" to "&amp;A19&amp;"."</f>
        <v>1) Enter amounts of A&amp;G expenses from FERC Form 1 in Lines 1 to 14.</v>
      </c>
    </row>
    <row r="79" spans="1:7" x14ac:dyDescent="0.25">
      <c r="C79" s="192" t="s">
        <v>261</v>
      </c>
      <c r="G79" s="399" t="str">
        <f>"Column 3, Line "&amp;A37&amp;""</f>
        <v>Column 3, Line 24</v>
      </c>
    </row>
    <row r="80" spans="1:7" x14ac:dyDescent="0.25">
      <c r="C80" s="199" t="str">
        <f>"is calculated in Note 2.  The PBOPs exclusion in Column 4, Line "&amp;A43&amp;" is calculated in Note 3."</f>
        <v>is calculated in Note 2.  The PBOPs exclusion in Column 4, Line 30 is calculated in Note 3.</v>
      </c>
      <c r="G80" s="192"/>
    </row>
    <row r="81" spans="3:7" x14ac:dyDescent="0.25">
      <c r="C81" s="199" t="s">
        <v>262</v>
      </c>
    </row>
    <row r="82" spans="3:7" x14ac:dyDescent="0.25">
      <c r="C82" s="199" t="s">
        <v>263</v>
      </c>
      <c r="D82" s="198"/>
      <c r="E82" s="193"/>
      <c r="F82" s="199"/>
    </row>
    <row r="83" spans="3:7" x14ac:dyDescent="0.25">
      <c r="C83" s="199" t="s">
        <v>264</v>
      </c>
      <c r="D83" s="198"/>
      <c r="E83" s="193"/>
      <c r="F83" s="199"/>
    </row>
    <row r="84" spans="3:7" x14ac:dyDescent="0.25">
      <c r="C84" s="199" t="s">
        <v>265</v>
      </c>
    </row>
    <row r="85" spans="3:7" x14ac:dyDescent="0.25">
      <c r="C85" s="199" t="s">
        <v>266</v>
      </c>
    </row>
    <row r="86" spans="3:7" x14ac:dyDescent="0.25">
      <c r="C86" s="199" t="s">
        <v>267</v>
      </c>
    </row>
    <row r="87" spans="3:7" x14ac:dyDescent="0.25">
      <c r="C87" s="199" t="s">
        <v>268</v>
      </c>
    </row>
    <row r="88" spans="3:7" x14ac:dyDescent="0.25">
      <c r="C88" s="199" t="s">
        <v>269</v>
      </c>
    </row>
    <row r="89" spans="3:7" x14ac:dyDescent="0.25">
      <c r="C89" s="199" t="s">
        <v>270</v>
      </c>
      <c r="D89" s="192"/>
      <c r="E89" s="217"/>
      <c r="F89" s="217"/>
      <c r="G89" s="217"/>
    </row>
    <row r="90" spans="3:7" x14ac:dyDescent="0.25">
      <c r="C90" s="218" t="s">
        <v>271</v>
      </c>
      <c r="D90" s="192"/>
      <c r="E90" s="217"/>
      <c r="F90" s="217"/>
      <c r="G90" s="217"/>
    </row>
    <row r="91" spans="3:7" x14ac:dyDescent="0.25">
      <c r="C91" s="218" t="s">
        <v>272</v>
      </c>
      <c r="D91" s="192"/>
      <c r="E91" s="217"/>
      <c r="F91" s="217"/>
      <c r="G91" s="217"/>
    </row>
    <row r="92" spans="3:7" x14ac:dyDescent="0.25">
      <c r="C92" s="218" t="s">
        <v>273</v>
      </c>
      <c r="D92" s="192"/>
      <c r="E92" s="217"/>
      <c r="F92" s="217"/>
      <c r="G92" s="217"/>
    </row>
    <row r="93" spans="3:7" x14ac:dyDescent="0.25">
      <c r="C93" s="199" t="s">
        <v>274</v>
      </c>
      <c r="D93" s="192"/>
      <c r="E93" s="217"/>
      <c r="F93" s="217"/>
      <c r="G93" s="217"/>
    </row>
    <row r="94" spans="3:7" x14ac:dyDescent="0.25">
      <c r="C94" s="218" t="s">
        <v>275</v>
      </c>
      <c r="D94" s="192"/>
      <c r="E94" s="217"/>
      <c r="F94" s="217"/>
      <c r="G94" s="217"/>
    </row>
    <row r="95" spans="3:7" x14ac:dyDescent="0.25">
      <c r="C95" s="218" t="s">
        <v>276</v>
      </c>
      <c r="D95" s="192"/>
      <c r="E95" s="217"/>
      <c r="F95" s="217"/>
      <c r="G95" s="217"/>
    </row>
    <row r="96" spans="3:7" x14ac:dyDescent="0.25">
      <c r="C96" s="218" t="s">
        <v>277</v>
      </c>
      <c r="D96" s="192"/>
      <c r="E96" s="217"/>
      <c r="F96" s="217"/>
      <c r="G96" s="217"/>
    </row>
    <row r="97" spans="3:10" x14ac:dyDescent="0.25">
      <c r="C97" s="218" t="s">
        <v>278</v>
      </c>
      <c r="D97" s="192"/>
      <c r="E97" s="217"/>
      <c r="F97" s="217"/>
      <c r="G97" s="217"/>
    </row>
    <row r="98" spans="3:10" ht="13" x14ac:dyDescent="0.3">
      <c r="C98" s="69" t="s">
        <v>279</v>
      </c>
      <c r="D98" s="60"/>
      <c r="E98" s="60"/>
      <c r="F98" s="60"/>
      <c r="G98" s="60"/>
      <c r="H98" s="60"/>
      <c r="I98" s="60"/>
      <c r="J98" s="60"/>
    </row>
    <row r="99" spans="3:10" x14ac:dyDescent="0.25">
      <c r="C99" s="192" t="s">
        <v>280</v>
      </c>
    </row>
    <row r="100" spans="3:10" x14ac:dyDescent="0.25">
      <c r="C100" s="69" t="s">
        <v>281</v>
      </c>
      <c r="D100" s="60"/>
      <c r="E100" s="60"/>
      <c r="F100" s="60"/>
      <c r="G100" s="60"/>
      <c r="H100" s="60"/>
      <c r="I100" s="60"/>
    </row>
    <row r="101" spans="3:10" x14ac:dyDescent="0.25">
      <c r="C101" s="192" t="str">
        <f>"4) Determine the PBOPs exclusion.  The authorized amount of PBOPs expense (line "&amp;B69&amp;") may only be revised"</f>
        <v>4) Determine the PBOPs exclusion.  The authorized amount of PBOPs expense (line a) may only be revised</v>
      </c>
    </row>
    <row r="102" spans="3:10" x14ac:dyDescent="0.25">
      <c r="C102" s="192" t="s">
        <v>282</v>
      </c>
    </row>
    <row r="103" spans="3:10" x14ac:dyDescent="0.25">
      <c r="C103" s="192" t="s">
        <v>283</v>
      </c>
    </row>
    <row r="104" spans="3:10" x14ac:dyDescent="0.25">
      <c r="C104" s="192" t="s">
        <v>284</v>
      </c>
      <c r="I104" s="205" t="s">
        <v>289</v>
      </c>
      <c r="J104" s="205"/>
    </row>
    <row r="105" spans="3:10" x14ac:dyDescent="0.25">
      <c r="C105" s="192" t="s">
        <v>285</v>
      </c>
    </row>
  </sheetData>
  <pageMargins left="0.75" right="0.75" top="1" bottom="1" header="0.5" footer="0.5"/>
  <pageSetup scale="70" orientation="landscape" cellComments="asDisplayed" r:id="rId1"/>
  <headerFooter alignWithMargins="0">
    <oddHeader>&amp;CSchedule 20
Administrative and General Expenses
(Revised 2019 
TO2018 True Up TRR)&amp;RTO2023 Draft Annual Update
Attachment 4
WP-Schedule 3-One Time Adj Prior Period
Page &amp;P of &amp;N</oddHeader>
    <oddFooter>&amp;R&amp;A</oddFooter>
  </headerFooter>
  <rowBreaks count="2" manualBreakCount="2">
    <brk id="51" max="11" man="1"/>
    <brk id="76"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8C132-1F8C-43F1-A9F7-874D49EFC46C}">
  <sheetPr>
    <tabColor rgb="FFCCFFCC"/>
  </sheetPr>
  <dimension ref="A1:P172"/>
  <sheetViews>
    <sheetView topLeftCell="A73" zoomScaleNormal="100" workbookViewId="0">
      <selection activeCell="N93" sqref="N93"/>
    </sheetView>
  </sheetViews>
  <sheetFormatPr defaultRowHeight="12.5" x14ac:dyDescent="0.25"/>
  <cols>
    <col min="1" max="2" width="4.54296875" style="34" customWidth="1"/>
    <col min="3" max="3" width="18.54296875" style="34" customWidth="1"/>
    <col min="4" max="4" width="10.453125" style="34" bestFit="1" customWidth="1"/>
    <col min="5" max="7" width="15.54296875" style="34" customWidth="1"/>
    <col min="8" max="8" width="24.54296875" style="34" customWidth="1"/>
    <col min="9" max="9" width="4.54296875" style="34" customWidth="1"/>
    <col min="10" max="10" width="15.54296875" style="34" customWidth="1"/>
    <col min="11" max="11" width="2.54296875" style="34" customWidth="1"/>
    <col min="12" max="12" width="14.453125" style="34" customWidth="1"/>
    <col min="13" max="13" width="4.453125" style="34" customWidth="1"/>
    <col min="14" max="14" width="15.453125" style="34" customWidth="1"/>
    <col min="15" max="16384" width="8.7265625" style="34"/>
  </cols>
  <sheetData>
    <row r="1" spans="1:14" ht="13" x14ac:dyDescent="0.3">
      <c r="A1" s="33" t="s">
        <v>35</v>
      </c>
    </row>
    <row r="3" spans="1:14" ht="13" x14ac:dyDescent="0.3">
      <c r="B3" s="35" t="s">
        <v>36</v>
      </c>
      <c r="L3" s="37"/>
    </row>
    <row r="4" spans="1:14" ht="13" x14ac:dyDescent="0.3">
      <c r="B4" s="36"/>
      <c r="F4" s="37" t="s">
        <v>37</v>
      </c>
      <c r="G4" s="37"/>
      <c r="H4" s="37" t="s">
        <v>38</v>
      </c>
      <c r="L4" s="37"/>
      <c r="N4" s="37"/>
    </row>
    <row r="5" spans="1:14" ht="13" x14ac:dyDescent="0.3">
      <c r="A5" s="38" t="s">
        <v>39</v>
      </c>
      <c r="B5" s="39"/>
      <c r="C5" s="40" t="s">
        <v>40</v>
      </c>
      <c r="F5" s="41" t="s">
        <v>41</v>
      </c>
      <c r="G5" s="41" t="s">
        <v>42</v>
      </c>
      <c r="H5" s="41" t="s">
        <v>43</v>
      </c>
      <c r="J5" s="41" t="s">
        <v>32</v>
      </c>
      <c r="L5" s="41"/>
      <c r="N5" s="41"/>
    </row>
    <row r="6" spans="1:14" ht="13" x14ac:dyDescent="0.3">
      <c r="A6" s="37">
        <v>1</v>
      </c>
      <c r="C6" s="42" t="s">
        <v>44</v>
      </c>
      <c r="F6" s="34" t="s">
        <v>45</v>
      </c>
      <c r="H6" s="42" t="s">
        <v>301</v>
      </c>
      <c r="J6" s="43">
        <v>8939630709.3337479</v>
      </c>
      <c r="L6" s="43"/>
      <c r="N6" s="43"/>
    </row>
    <row r="7" spans="1:14" ht="13" x14ac:dyDescent="0.3">
      <c r="A7" s="37">
        <f>A6+1</f>
        <v>2</v>
      </c>
      <c r="C7" s="42" t="s">
        <v>46</v>
      </c>
      <c r="F7" s="34" t="s">
        <v>47</v>
      </c>
      <c r="H7" s="42" t="s">
        <v>302</v>
      </c>
      <c r="J7" s="43">
        <v>288986135.3460899</v>
      </c>
      <c r="L7" s="43"/>
      <c r="N7" s="43"/>
    </row>
    <row r="8" spans="1:14" ht="13" x14ac:dyDescent="0.3">
      <c r="A8" s="37">
        <f>A7+1</f>
        <v>3</v>
      </c>
      <c r="C8" s="42" t="s">
        <v>48</v>
      </c>
      <c r="F8" s="34" t="s">
        <v>47</v>
      </c>
      <c r="H8" s="34" t="s">
        <v>303</v>
      </c>
      <c r="J8" s="43">
        <v>9942155</v>
      </c>
      <c r="L8" s="43"/>
      <c r="N8" s="43"/>
    </row>
    <row r="9" spans="1:14" ht="13" x14ac:dyDescent="0.3">
      <c r="A9" s="37">
        <f>A8+1</f>
        <v>4</v>
      </c>
      <c r="C9" s="42" t="s">
        <v>49</v>
      </c>
      <c r="F9" s="34" t="s">
        <v>47</v>
      </c>
      <c r="H9" s="34" t="s">
        <v>304</v>
      </c>
      <c r="J9" s="43">
        <v>0</v>
      </c>
      <c r="L9" s="43"/>
      <c r="N9" s="43"/>
    </row>
    <row r="10" spans="1:14" ht="13" x14ac:dyDescent="0.3">
      <c r="A10" s="37"/>
      <c r="C10" s="42"/>
      <c r="J10" s="43"/>
      <c r="L10" s="43"/>
      <c r="N10" s="43"/>
    </row>
    <row r="11" spans="1:14" ht="13" x14ac:dyDescent="0.3">
      <c r="A11" s="37"/>
      <c r="C11" s="44" t="s">
        <v>50</v>
      </c>
      <c r="J11" s="43"/>
      <c r="L11" s="43"/>
      <c r="N11" s="43"/>
    </row>
    <row r="12" spans="1:14" ht="13" x14ac:dyDescent="0.3">
      <c r="A12" s="37">
        <f>A9+1</f>
        <v>5</v>
      </c>
      <c r="C12" s="39" t="s">
        <v>51</v>
      </c>
      <c r="F12" s="34" t="s">
        <v>45</v>
      </c>
      <c r="H12" s="42" t="s">
        <v>305</v>
      </c>
      <c r="J12" s="43">
        <v>21476899.868948326</v>
      </c>
      <c r="L12" s="43"/>
      <c r="N12" s="43"/>
    </row>
    <row r="13" spans="1:14" ht="13" x14ac:dyDescent="0.3">
      <c r="A13" s="37">
        <f>A12+1</f>
        <v>6</v>
      </c>
      <c r="C13" s="39" t="s">
        <v>52</v>
      </c>
      <c r="F13" s="34" t="s">
        <v>45</v>
      </c>
      <c r="H13" s="42" t="s">
        <v>306</v>
      </c>
      <c r="J13" s="43">
        <v>21286307.043254811</v>
      </c>
      <c r="L13" s="43"/>
      <c r="N13" s="43"/>
    </row>
    <row r="14" spans="1:14" ht="13" x14ac:dyDescent="0.3">
      <c r="A14" s="37">
        <f>A13+1</f>
        <v>7</v>
      </c>
      <c r="C14" s="39" t="s">
        <v>53</v>
      </c>
      <c r="F14" s="34" t="s">
        <v>144</v>
      </c>
      <c r="H14" s="34" t="s">
        <v>307</v>
      </c>
      <c r="J14" s="45">
        <v>24806972.072205946</v>
      </c>
      <c r="L14" s="49"/>
      <c r="N14" s="43"/>
    </row>
    <row r="15" spans="1:14" ht="13" x14ac:dyDescent="0.3">
      <c r="A15" s="37">
        <f>A14+1</f>
        <v>8</v>
      </c>
      <c r="C15" s="39" t="s">
        <v>54</v>
      </c>
      <c r="H15" s="34" t="str">
        <f>"Line "&amp;A12&amp;" + Line "&amp;A13&amp;" + Line "&amp;A14&amp;""</f>
        <v>Line 5 + Line 6 + Line 7</v>
      </c>
      <c r="J15" s="46">
        <f>SUM(J12:J14)</f>
        <v>67570178.984409079</v>
      </c>
      <c r="L15" s="43"/>
      <c r="N15" s="43"/>
    </row>
    <row r="16" spans="1:14" ht="13" x14ac:dyDescent="0.3">
      <c r="A16" s="37"/>
      <c r="C16" s="39"/>
      <c r="J16" s="43"/>
      <c r="L16" s="43"/>
      <c r="N16" s="43"/>
    </row>
    <row r="17" spans="1:14" ht="13" x14ac:dyDescent="0.3">
      <c r="A17" s="37"/>
      <c r="C17" s="47" t="s">
        <v>55</v>
      </c>
      <c r="J17" s="43"/>
      <c r="L17" s="43"/>
      <c r="N17" s="43"/>
    </row>
    <row r="18" spans="1:14" ht="13" x14ac:dyDescent="0.3">
      <c r="A18" s="37">
        <f>A15+1</f>
        <v>9</v>
      </c>
      <c r="C18" s="39" t="s">
        <v>56</v>
      </c>
      <c r="F18" s="34" t="s">
        <v>45</v>
      </c>
      <c r="G18" s="34" t="s">
        <v>57</v>
      </c>
      <c r="H18" s="42" t="s">
        <v>323</v>
      </c>
      <c r="J18" s="43">
        <v>-1839774172.2805853</v>
      </c>
      <c r="L18" s="43"/>
      <c r="N18" s="43"/>
    </row>
    <row r="19" spans="1:14" ht="13" x14ac:dyDescent="0.3">
      <c r="A19" s="37">
        <f>A18+1</f>
        <v>10</v>
      </c>
      <c r="C19" s="39" t="s">
        <v>58</v>
      </c>
      <c r="F19" s="34" t="s">
        <v>47</v>
      </c>
      <c r="G19" s="34" t="s">
        <v>57</v>
      </c>
      <c r="H19" s="42" t="s">
        <v>324</v>
      </c>
      <c r="J19" s="43">
        <v>0</v>
      </c>
      <c r="L19" s="43"/>
      <c r="N19" s="43"/>
    </row>
    <row r="20" spans="1:14" ht="13" x14ac:dyDescent="0.3">
      <c r="A20" s="37">
        <f>A19+1</f>
        <v>11</v>
      </c>
      <c r="C20" s="39" t="s">
        <v>59</v>
      </c>
      <c r="D20" s="48"/>
      <c r="F20" s="34" t="s">
        <v>47</v>
      </c>
      <c r="G20" s="34" t="s">
        <v>57</v>
      </c>
      <c r="H20" s="42" t="s">
        <v>325</v>
      </c>
      <c r="J20" s="49">
        <v>-105809932.94764221</v>
      </c>
      <c r="L20" s="43"/>
      <c r="N20" s="43"/>
    </row>
    <row r="21" spans="1:14" ht="13" x14ac:dyDescent="0.3">
      <c r="A21" s="37">
        <f>A20+1</f>
        <v>12</v>
      </c>
      <c r="C21" s="50" t="s">
        <v>60</v>
      </c>
      <c r="D21" s="48"/>
      <c r="H21" s="34" t="str">
        <f>"Line "&amp;A18&amp;" + Line "&amp;A19&amp;" + Line "&amp;A20&amp;""</f>
        <v>Line 9 + Line 10 + Line 11</v>
      </c>
      <c r="J21" s="43">
        <f>SUM(J18:J20)</f>
        <v>-1945584105.2282276</v>
      </c>
      <c r="L21" s="43"/>
      <c r="N21" s="43"/>
    </row>
    <row r="22" spans="1:14" ht="13" x14ac:dyDescent="0.3">
      <c r="A22" s="37"/>
      <c r="J22" s="43"/>
      <c r="L22" s="43"/>
      <c r="N22" s="43"/>
    </row>
    <row r="23" spans="1:14" ht="13" x14ac:dyDescent="0.3">
      <c r="A23" s="37">
        <f>A21+1</f>
        <v>13</v>
      </c>
      <c r="C23" s="42" t="s">
        <v>61</v>
      </c>
      <c r="F23" s="42" t="s">
        <v>47</v>
      </c>
      <c r="H23" s="42" t="s">
        <v>367</v>
      </c>
      <c r="J23" s="43">
        <v>-1632145854.7122164</v>
      </c>
      <c r="L23" s="43"/>
      <c r="N23" s="43"/>
    </row>
    <row r="24" spans="1:14" ht="13" x14ac:dyDescent="0.3">
      <c r="A24" s="37">
        <f>A23+1</f>
        <v>14</v>
      </c>
      <c r="C24" s="42" t="s">
        <v>62</v>
      </c>
      <c r="F24" s="34" t="s">
        <v>45</v>
      </c>
      <c r="H24" s="42" t="s">
        <v>368</v>
      </c>
      <c r="J24" s="43">
        <v>602185189.09144735</v>
      </c>
      <c r="L24" s="43"/>
      <c r="N24" s="43"/>
    </row>
    <row r="25" spans="1:14" ht="13" x14ac:dyDescent="0.3">
      <c r="A25" s="37">
        <f>A24+1</f>
        <v>15</v>
      </c>
      <c r="C25" s="42" t="s">
        <v>63</v>
      </c>
      <c r="F25" s="34" t="s">
        <v>47</v>
      </c>
      <c r="G25" s="34" t="s">
        <v>57</v>
      </c>
      <c r="H25" s="42" t="s">
        <v>326</v>
      </c>
      <c r="J25" s="43">
        <v>-50661304.942000374</v>
      </c>
      <c r="L25" s="43"/>
      <c r="N25" s="43"/>
    </row>
    <row r="26" spans="1:14" ht="13" x14ac:dyDescent="0.3">
      <c r="A26" s="37">
        <f t="shared" ref="A26:A27" si="0">A25+1</f>
        <v>16</v>
      </c>
      <c r="C26" s="42" t="s">
        <v>64</v>
      </c>
      <c r="H26" s="34" t="s">
        <v>327</v>
      </c>
      <c r="J26" s="43">
        <v>-192258245.62261316</v>
      </c>
      <c r="L26" s="43"/>
      <c r="N26" s="43"/>
    </row>
    <row r="27" spans="1:14" ht="13" x14ac:dyDescent="0.3">
      <c r="A27" s="37">
        <f t="shared" si="0"/>
        <v>17</v>
      </c>
      <c r="C27" s="42" t="s">
        <v>65</v>
      </c>
      <c r="F27" s="34" t="s">
        <v>47</v>
      </c>
      <c r="H27" s="42" t="s">
        <v>328</v>
      </c>
      <c r="J27" s="43">
        <v>0</v>
      </c>
      <c r="L27" s="43"/>
      <c r="N27" s="43"/>
    </row>
    <row r="28" spans="1:14" ht="13" x14ac:dyDescent="0.3">
      <c r="A28" s="37"/>
      <c r="C28" s="42"/>
      <c r="L28" s="43"/>
      <c r="N28" s="43"/>
    </row>
    <row r="29" spans="1:14" ht="13" x14ac:dyDescent="0.3">
      <c r="A29" s="37">
        <f>A27+1</f>
        <v>18</v>
      </c>
      <c r="C29" s="34" t="s">
        <v>66</v>
      </c>
      <c r="H29" s="34" t="str">
        <f>"L"&amp;A6&amp;"+L"&amp;A7&amp;"+L"&amp;A8&amp;"+L"&amp;A9&amp;"+L"&amp;A15&amp;"+L"&amp;A21&amp;"+"</f>
        <v>L1+L2+L3+L4+L8+L12+</v>
      </c>
      <c r="J29" s="46">
        <f>J6+ J7+J8+J9+J15+J21+J23+J24+J25+J26+J27</f>
        <v>6087664857.2506371</v>
      </c>
      <c r="L29" s="43"/>
      <c r="N29" s="43"/>
    </row>
    <row r="30" spans="1:14" ht="13" x14ac:dyDescent="0.3">
      <c r="A30" s="37"/>
      <c r="H30" s="34" t="str">
        <f>"L"&amp;A23&amp;"+L"&amp;A24&amp;"+L"&amp;A25&amp;"+L"&amp;A26&amp;"+L"&amp;A27&amp;""</f>
        <v>L13+L14+L15+L16+L17</v>
      </c>
      <c r="J30" s="43"/>
      <c r="L30" s="43"/>
      <c r="N30" s="43"/>
    </row>
    <row r="31" spans="1:14" ht="13" x14ac:dyDescent="0.3">
      <c r="A31" s="37"/>
      <c r="B31" s="33" t="s">
        <v>67</v>
      </c>
      <c r="J31" s="43"/>
      <c r="L31" s="43"/>
      <c r="N31" s="43"/>
    </row>
    <row r="32" spans="1:14" ht="13" x14ac:dyDescent="0.3">
      <c r="A32" s="38" t="s">
        <v>39</v>
      </c>
      <c r="C32" s="33"/>
      <c r="J32" s="43"/>
      <c r="L32" s="43"/>
      <c r="N32" s="43"/>
    </row>
    <row r="33" spans="1:14" ht="13" x14ac:dyDescent="0.3">
      <c r="A33" s="37">
        <f>A29+1</f>
        <v>19</v>
      </c>
      <c r="C33" s="34" t="s">
        <v>68</v>
      </c>
      <c r="G33" s="34" t="s">
        <v>69</v>
      </c>
      <c r="H33" s="34" t="str">
        <f>"Instruction 1, Line "&amp;B98&amp;""</f>
        <v>Instruction 1, Line j</v>
      </c>
      <c r="J33" s="51">
        <f>E98</f>
        <v>7.7411713785852182E-2</v>
      </c>
      <c r="L33" s="51"/>
      <c r="M33" s="51"/>
      <c r="N33" s="51"/>
    </row>
    <row r="34" spans="1:14" ht="13" x14ac:dyDescent="0.3">
      <c r="A34" s="37">
        <f>A33+1</f>
        <v>20</v>
      </c>
      <c r="C34" s="34" t="s">
        <v>70</v>
      </c>
      <c r="H34" s="34" t="str">
        <f>"Line "&amp;A29&amp;" * Line "&amp;A33&amp;""</f>
        <v>Line 18 * Line 19</v>
      </c>
      <c r="J34" s="46">
        <f>J29*J33</f>
        <v>471256569.55367702</v>
      </c>
      <c r="L34" s="43"/>
      <c r="N34" s="43"/>
    </row>
    <row r="35" spans="1:14" ht="13" x14ac:dyDescent="0.3">
      <c r="A35" s="37"/>
      <c r="B35" s="39"/>
      <c r="L35" s="43"/>
      <c r="N35" s="43"/>
    </row>
    <row r="36" spans="1:14" ht="13" x14ac:dyDescent="0.3">
      <c r="A36" s="37"/>
      <c r="B36" s="33" t="s">
        <v>71</v>
      </c>
      <c r="L36" s="43"/>
      <c r="N36" s="43"/>
    </row>
    <row r="37" spans="1:14" ht="13" x14ac:dyDescent="0.3">
      <c r="A37" s="37"/>
      <c r="B37" s="39"/>
      <c r="L37" s="43"/>
      <c r="N37" s="43"/>
    </row>
    <row r="38" spans="1:14" ht="13" x14ac:dyDescent="0.3">
      <c r="A38" s="37">
        <f>A34+1</f>
        <v>21</v>
      </c>
      <c r="C38" s="34" t="s">
        <v>72</v>
      </c>
      <c r="J38" s="46">
        <f>(((J29*J42) + J45) *(J43/(1-J43)))+(J44/(1-J43))</f>
        <v>98292666.977059871</v>
      </c>
      <c r="L38" s="43"/>
      <c r="N38" s="43"/>
    </row>
    <row r="39" spans="1:14" ht="13" x14ac:dyDescent="0.3">
      <c r="A39" s="37"/>
      <c r="L39" s="43"/>
      <c r="N39" s="43"/>
    </row>
    <row r="40" spans="1:14" ht="13" x14ac:dyDescent="0.3">
      <c r="A40" s="37"/>
      <c r="D40" s="34" t="s">
        <v>73</v>
      </c>
      <c r="L40" s="43"/>
      <c r="N40" s="43"/>
    </row>
    <row r="41" spans="1:14" ht="13" x14ac:dyDescent="0.3">
      <c r="A41" s="37">
        <f>A38+1</f>
        <v>22</v>
      </c>
      <c r="D41" s="39" t="s">
        <v>74</v>
      </c>
      <c r="H41" s="34" t="str">
        <f>"Line "&amp;A29&amp;""</f>
        <v>Line 18</v>
      </c>
      <c r="J41" s="46">
        <f>J29</f>
        <v>6087664857.2506371</v>
      </c>
      <c r="L41" s="43"/>
      <c r="N41" s="43"/>
    </row>
    <row r="42" spans="1:14" ht="13" x14ac:dyDescent="0.3">
      <c r="A42" s="37">
        <f>A41+1</f>
        <v>23</v>
      </c>
      <c r="D42" s="39" t="s">
        <v>75</v>
      </c>
      <c r="G42" s="34" t="s">
        <v>76</v>
      </c>
      <c r="H42" s="34" t="str">
        <f>"Instruction 1, Line "&amp;B103&amp;""</f>
        <v>Instruction 1, Line k</v>
      </c>
      <c r="J42" s="51">
        <f>E103</f>
        <v>5.6784747193324485E-2</v>
      </c>
      <c r="L42" s="51"/>
      <c r="M42" s="51"/>
      <c r="N42" s="51"/>
    </row>
    <row r="43" spans="1:14" ht="13" x14ac:dyDescent="0.3">
      <c r="A43" s="37">
        <f>A42+1</f>
        <v>24</v>
      </c>
      <c r="D43" s="39" t="s">
        <v>77</v>
      </c>
      <c r="H43" s="34" t="s">
        <v>308</v>
      </c>
      <c r="J43" s="51">
        <v>0.27983599999999997</v>
      </c>
      <c r="L43" s="51"/>
      <c r="M43" s="51"/>
      <c r="N43" s="51"/>
    </row>
    <row r="44" spans="1:14" ht="13" x14ac:dyDescent="0.3">
      <c r="A44" s="37">
        <f>A43+1</f>
        <v>25</v>
      </c>
      <c r="D44" s="39" t="s">
        <v>78</v>
      </c>
      <c r="H44" s="34" t="s">
        <v>309</v>
      </c>
      <c r="J44" s="43">
        <v>-27044842</v>
      </c>
      <c r="L44" s="43"/>
      <c r="N44" s="43"/>
    </row>
    <row r="45" spans="1:14" ht="13" x14ac:dyDescent="0.3">
      <c r="A45" s="37">
        <f>A44+1</f>
        <v>26</v>
      </c>
      <c r="D45" s="39" t="s">
        <v>79</v>
      </c>
      <c r="H45" s="34" t="s">
        <v>310</v>
      </c>
      <c r="J45" s="43">
        <v>3917123</v>
      </c>
      <c r="L45" s="43"/>
      <c r="N45" s="43"/>
    </row>
    <row r="46" spans="1:14" ht="13" x14ac:dyDescent="0.3">
      <c r="A46" s="37"/>
      <c r="B46" s="39"/>
      <c r="L46" s="43"/>
      <c r="N46" s="43"/>
    </row>
    <row r="47" spans="1:14" ht="13" x14ac:dyDescent="0.3">
      <c r="A47" s="37"/>
      <c r="B47" s="33" t="s">
        <v>80</v>
      </c>
      <c r="L47" s="43"/>
      <c r="N47" s="43"/>
    </row>
    <row r="48" spans="1:14" ht="13" x14ac:dyDescent="0.3">
      <c r="A48" s="37">
        <f>A45+1</f>
        <v>27</v>
      </c>
      <c r="B48" s="39"/>
      <c r="C48" s="34" t="s">
        <v>81</v>
      </c>
      <c r="H48" s="34" t="s">
        <v>311</v>
      </c>
      <c r="J48" s="43">
        <v>110879588.38578117</v>
      </c>
      <c r="L48" s="43"/>
      <c r="N48" s="43"/>
    </row>
    <row r="49" spans="1:14" ht="13" x14ac:dyDescent="0.3">
      <c r="A49" s="37">
        <f t="shared" ref="A49:A59" si="1">A48+1</f>
        <v>28</v>
      </c>
      <c r="B49" s="39"/>
      <c r="C49" s="34" t="s">
        <v>82</v>
      </c>
      <c r="H49" s="34" t="s">
        <v>312</v>
      </c>
      <c r="J49" s="46">
        <v>87576188.191866413</v>
      </c>
      <c r="L49" s="43"/>
      <c r="N49" s="43"/>
    </row>
    <row r="50" spans="1:14" ht="13" x14ac:dyDescent="0.3">
      <c r="A50" s="37">
        <f>A49+1</f>
        <v>29</v>
      </c>
      <c r="B50" s="39"/>
      <c r="C50" s="34" t="s">
        <v>83</v>
      </c>
      <c r="H50" s="34" t="s">
        <v>313</v>
      </c>
      <c r="J50" s="43">
        <v>4075483.5901751588</v>
      </c>
      <c r="L50" s="43"/>
      <c r="N50" s="43"/>
    </row>
    <row r="51" spans="1:14" ht="13" x14ac:dyDescent="0.3">
      <c r="A51" s="37">
        <f t="shared" si="1"/>
        <v>30</v>
      </c>
      <c r="B51" s="39"/>
      <c r="C51" s="34" t="s">
        <v>84</v>
      </c>
      <c r="H51" s="34" t="s">
        <v>314</v>
      </c>
      <c r="J51" s="43">
        <v>255151988.45508885</v>
      </c>
      <c r="L51" s="43"/>
      <c r="N51" s="43"/>
    </row>
    <row r="52" spans="1:14" ht="13" x14ac:dyDescent="0.3">
      <c r="A52" s="37">
        <f t="shared" si="1"/>
        <v>31</v>
      </c>
      <c r="B52" s="39"/>
      <c r="C52" s="34" t="s">
        <v>85</v>
      </c>
      <c r="H52" s="34" t="s">
        <v>315</v>
      </c>
      <c r="J52" s="43">
        <v>0</v>
      </c>
      <c r="L52" s="43"/>
      <c r="N52" s="43"/>
    </row>
    <row r="53" spans="1:14" ht="13" x14ac:dyDescent="0.3">
      <c r="A53" s="37">
        <f t="shared" si="1"/>
        <v>32</v>
      </c>
      <c r="B53" s="39"/>
      <c r="C53" s="34" t="s">
        <v>86</v>
      </c>
      <c r="H53" s="34" t="s">
        <v>316</v>
      </c>
      <c r="J53" s="43">
        <v>66056888.527829707</v>
      </c>
      <c r="L53" s="43"/>
      <c r="N53" s="43"/>
    </row>
    <row r="54" spans="1:14" ht="13" x14ac:dyDescent="0.3">
      <c r="A54" s="37">
        <f t="shared" si="1"/>
        <v>33</v>
      </c>
      <c r="B54" s="39"/>
      <c r="C54" s="34" t="s">
        <v>87</v>
      </c>
      <c r="H54" s="34" t="s">
        <v>317</v>
      </c>
      <c r="J54" s="43">
        <v>-54094032.244774804</v>
      </c>
      <c r="L54" s="43"/>
      <c r="N54" s="43"/>
    </row>
    <row r="55" spans="1:14" ht="13" x14ac:dyDescent="0.3">
      <c r="A55" s="37">
        <f t="shared" si="1"/>
        <v>34</v>
      </c>
      <c r="B55" s="39"/>
      <c r="C55" s="34" t="s">
        <v>88</v>
      </c>
      <c r="H55" s="34" t="str">
        <f>"Line "&amp;A34&amp;""</f>
        <v>Line 20</v>
      </c>
      <c r="J55" s="46">
        <f>J34</f>
        <v>471256569.55367702</v>
      </c>
      <c r="L55" s="43"/>
      <c r="N55" s="43"/>
    </row>
    <row r="56" spans="1:14" ht="13" x14ac:dyDescent="0.3">
      <c r="A56" s="37">
        <f t="shared" si="1"/>
        <v>35</v>
      </c>
      <c r="B56" s="39"/>
      <c r="C56" s="34" t="s">
        <v>89</v>
      </c>
      <c r="H56" s="34" t="str">
        <f>"Line "&amp;A38&amp;""</f>
        <v>Line 21</v>
      </c>
      <c r="J56" s="46">
        <f>J38</f>
        <v>98292666.977059871</v>
      </c>
      <c r="L56" s="43"/>
      <c r="N56" s="43"/>
    </row>
    <row r="57" spans="1:14" ht="13" x14ac:dyDescent="0.3">
      <c r="A57" s="37">
        <f t="shared" si="1"/>
        <v>36</v>
      </c>
      <c r="B57" s="39"/>
      <c r="C57" s="34" t="s">
        <v>90</v>
      </c>
      <c r="H57" s="34" t="s">
        <v>318</v>
      </c>
      <c r="J57" s="43">
        <v>0</v>
      </c>
      <c r="L57" s="43"/>
      <c r="N57" s="43"/>
    </row>
    <row r="58" spans="1:14" ht="13" x14ac:dyDescent="0.3">
      <c r="A58" s="37">
        <f t="shared" si="1"/>
        <v>37</v>
      </c>
      <c r="B58" s="39"/>
      <c r="C58" s="52" t="s">
        <v>91</v>
      </c>
      <c r="D58" s="52"/>
      <c r="H58" s="34" t="s">
        <v>319</v>
      </c>
      <c r="J58" s="49">
        <v>0</v>
      </c>
      <c r="L58" s="43"/>
      <c r="N58" s="43"/>
    </row>
    <row r="59" spans="1:14" ht="13" x14ac:dyDescent="0.3">
      <c r="A59" s="37">
        <f t="shared" si="1"/>
        <v>38</v>
      </c>
      <c r="B59" s="39"/>
      <c r="C59" s="34" t="s">
        <v>92</v>
      </c>
      <c r="H59" s="34" t="str">
        <f>"Sum Line "&amp;A48&amp;" to Line "&amp;A58&amp;""</f>
        <v>Sum Line 27 to Line 37</v>
      </c>
      <c r="J59" s="46">
        <f>SUM(J48:J58)</f>
        <v>1039195341.4367033</v>
      </c>
      <c r="L59" s="43"/>
      <c r="N59" s="43"/>
    </row>
    <row r="60" spans="1:14" ht="13" x14ac:dyDescent="0.3">
      <c r="A60" s="37"/>
      <c r="B60" s="39"/>
      <c r="J60" s="43"/>
      <c r="L60" s="43"/>
      <c r="N60" s="43"/>
    </row>
    <row r="61" spans="1:14" ht="12.75" customHeight="1" x14ac:dyDescent="0.3">
      <c r="A61" s="37">
        <f>A59+1</f>
        <v>39</v>
      </c>
      <c r="B61" s="39"/>
      <c r="C61" s="34" t="s">
        <v>93</v>
      </c>
      <c r="H61" s="34" t="s">
        <v>329</v>
      </c>
      <c r="J61" s="43">
        <v>26714525.602631234</v>
      </c>
      <c r="L61" s="43"/>
      <c r="N61" s="43"/>
    </row>
    <row r="62" spans="1:14" ht="12.75" customHeight="1" x14ac:dyDescent="0.3">
      <c r="A62" s="37" t="s">
        <v>148</v>
      </c>
      <c r="B62" s="39"/>
      <c r="C62" s="34" t="s">
        <v>149</v>
      </c>
      <c r="H62" s="34" t="s">
        <v>150</v>
      </c>
      <c r="J62" s="43">
        <f>-J61</f>
        <v>-26714525.602631234</v>
      </c>
      <c r="L62" s="43"/>
      <c r="N62" s="43"/>
    </row>
    <row r="63" spans="1:14" ht="13" x14ac:dyDescent="0.3">
      <c r="A63" s="37"/>
      <c r="B63" s="39"/>
      <c r="J63" s="43"/>
      <c r="L63" s="43"/>
      <c r="N63" s="43"/>
    </row>
    <row r="64" spans="1:14" ht="13" x14ac:dyDescent="0.3">
      <c r="A64" s="37">
        <f>A61+1</f>
        <v>40</v>
      </c>
      <c r="B64" s="39"/>
      <c r="C64" s="34" t="s">
        <v>94</v>
      </c>
      <c r="H64" s="34" t="str">
        <f>"Sum of Lines "&amp;A59&amp;" to "&amp;A62&amp;""</f>
        <v>Sum of Lines 38 to 39a</v>
      </c>
      <c r="J64" s="46">
        <f>J59+J61+J62</f>
        <v>1039195341.4367033</v>
      </c>
      <c r="L64" s="43"/>
      <c r="N64" s="43"/>
    </row>
    <row r="65" spans="1:16" ht="13" x14ac:dyDescent="0.3">
      <c r="A65" s="37"/>
      <c r="B65" s="39"/>
      <c r="J65" s="43"/>
    </row>
    <row r="66" spans="1:16" ht="13" x14ac:dyDescent="0.3">
      <c r="A66" s="37"/>
      <c r="B66" s="35" t="s">
        <v>95</v>
      </c>
      <c r="J66" s="43"/>
      <c r="N66" s="37"/>
    </row>
    <row r="67" spans="1:16" ht="13.5" thickBot="1" x14ac:dyDescent="0.35">
      <c r="A67" s="38" t="s">
        <v>39</v>
      </c>
      <c r="B67" s="42"/>
      <c r="G67" s="40" t="s">
        <v>96</v>
      </c>
      <c r="N67" s="41"/>
    </row>
    <row r="68" spans="1:16" ht="13" x14ac:dyDescent="0.3">
      <c r="A68" s="37">
        <f>A64+1</f>
        <v>41</v>
      </c>
      <c r="B68" s="42"/>
      <c r="D68" s="53" t="s">
        <v>97</v>
      </c>
      <c r="E68" s="46">
        <f>J64</f>
        <v>1039195341.4367033</v>
      </c>
      <c r="G68" s="34" t="str">
        <f>"Line "&amp;A64&amp;""</f>
        <v>Line 40</v>
      </c>
      <c r="J68" s="54" t="s">
        <v>98</v>
      </c>
      <c r="N68" s="43"/>
    </row>
    <row r="69" spans="1:16" ht="13" x14ac:dyDescent="0.3">
      <c r="A69" s="37">
        <f>A68+1</f>
        <v>42</v>
      </c>
      <c r="B69" s="42"/>
      <c r="D69" s="53" t="s">
        <v>99</v>
      </c>
      <c r="E69" s="55">
        <v>9.2480778683301876E-3</v>
      </c>
      <c r="G69" s="34" t="s">
        <v>330</v>
      </c>
      <c r="J69" s="56" t="s">
        <v>166</v>
      </c>
      <c r="N69" s="51"/>
    </row>
    <row r="70" spans="1:16" ht="13" x14ac:dyDescent="0.3">
      <c r="A70" s="37">
        <f>A69+1</f>
        <v>43</v>
      </c>
      <c r="B70" s="42"/>
      <c r="D70" s="53" t="s">
        <v>100</v>
      </c>
      <c r="E70" s="46">
        <f>E68*E69</f>
        <v>9610559.4380126093</v>
      </c>
      <c r="G70" s="34" t="str">
        <f>"Line "&amp;A68&amp;" * Line "&amp;A69&amp;""</f>
        <v>Line 41 * Line 42</v>
      </c>
      <c r="J70" s="57">
        <f>E73</f>
        <v>1051023551.6159867</v>
      </c>
      <c r="N70" s="43"/>
    </row>
    <row r="71" spans="1:16" ht="25.5" customHeight="1" x14ac:dyDescent="0.3">
      <c r="A71" s="37">
        <f>A70+1</f>
        <v>44</v>
      </c>
      <c r="B71" s="42"/>
      <c r="D71" s="53" t="s">
        <v>101</v>
      </c>
      <c r="E71" s="55">
        <v>2.1340075853350199E-3</v>
      </c>
      <c r="G71" s="34" t="s">
        <v>330</v>
      </c>
      <c r="J71" s="58">
        <v>1050055253.6036466</v>
      </c>
      <c r="K71" s="460" t="s">
        <v>340</v>
      </c>
      <c r="L71" s="461"/>
      <c r="M71" s="461"/>
      <c r="N71" s="461"/>
    </row>
    <row r="72" spans="1:16" ht="13.5" thickBot="1" x14ac:dyDescent="0.35">
      <c r="A72" s="37">
        <f>A71+1</f>
        <v>45</v>
      </c>
      <c r="B72" s="42"/>
      <c r="D72" s="53" t="s">
        <v>102</v>
      </c>
      <c r="E72" s="46">
        <f>E68*E71</f>
        <v>2217650.741270741</v>
      </c>
      <c r="G72" s="34" t="str">
        <f>"Line "&amp;A68&amp;" * Line "&amp;A71&amp;""</f>
        <v>Line 41 * Line 44</v>
      </c>
      <c r="J72" s="59">
        <f>J70-J71</f>
        <v>968298.01234006882</v>
      </c>
      <c r="K72" s="80"/>
      <c r="L72" s="81"/>
      <c r="N72" s="43"/>
    </row>
    <row r="73" spans="1:16" ht="13" x14ac:dyDescent="0.3">
      <c r="A73" s="37">
        <f>A72+1</f>
        <v>46</v>
      </c>
      <c r="B73" s="42"/>
      <c r="D73" s="53" t="s">
        <v>103</v>
      </c>
      <c r="E73" s="46">
        <f>E68+E70+E72</f>
        <v>1051023551.6159867</v>
      </c>
      <c r="G73" s="34" t="str">
        <f>"L "&amp;A68&amp;" + L "&amp;A70&amp;" + L "&amp;A72&amp;""</f>
        <v>L 41 + L 43 + L 45</v>
      </c>
      <c r="L73" s="43"/>
      <c r="N73" s="43"/>
    </row>
    <row r="74" spans="1:16" ht="13" x14ac:dyDescent="0.3">
      <c r="B74" s="35" t="s">
        <v>104</v>
      </c>
      <c r="D74" s="53"/>
      <c r="E74" s="43"/>
      <c r="H74" s="60"/>
      <c r="L74" s="43"/>
    </row>
    <row r="75" spans="1:16" ht="33" customHeight="1" x14ac:dyDescent="0.3">
      <c r="A75" s="37"/>
      <c r="B75" s="34" t="s">
        <v>145</v>
      </c>
      <c r="C75" s="35"/>
      <c r="D75" s="53"/>
      <c r="E75" s="43"/>
      <c r="L75" s="91">
        <v>975511.16557061672</v>
      </c>
      <c r="M75" s="465" t="s">
        <v>341</v>
      </c>
      <c r="N75" s="465"/>
    </row>
    <row r="76" spans="1:16" ht="30.5" customHeight="1" x14ac:dyDescent="0.3">
      <c r="A76" s="37"/>
      <c r="B76" s="34" t="s">
        <v>146</v>
      </c>
      <c r="C76" s="35"/>
      <c r="D76" s="53"/>
      <c r="E76" s="43"/>
      <c r="L76" s="137">
        <v>-7213.153230547905</v>
      </c>
      <c r="M76" s="463" t="s">
        <v>342</v>
      </c>
      <c r="N76" s="463"/>
    </row>
    <row r="77" spans="1:16" ht="13" x14ac:dyDescent="0.3">
      <c r="A77" s="37"/>
      <c r="B77" s="42" t="s">
        <v>105</v>
      </c>
      <c r="D77" s="53"/>
      <c r="E77" s="43"/>
      <c r="L77" s="92">
        <f>SUM(L74:L76)</f>
        <v>968298.01234006882</v>
      </c>
      <c r="M77" s="34" t="s">
        <v>170</v>
      </c>
    </row>
    <row r="78" spans="1:16" ht="13" x14ac:dyDescent="0.3">
      <c r="A78" s="37"/>
      <c r="B78" s="42" t="s">
        <v>106</v>
      </c>
      <c r="D78" s="53"/>
      <c r="E78" s="43"/>
      <c r="L78" s="49"/>
      <c r="M78" s="44"/>
      <c r="N78" s="44"/>
    </row>
    <row r="79" spans="1:16" ht="13" x14ac:dyDescent="0.3">
      <c r="A79" s="37"/>
      <c r="L79" s="43"/>
    </row>
    <row r="80" spans="1:16" ht="13" x14ac:dyDescent="0.3">
      <c r="A80" s="37"/>
      <c r="B80" s="34" t="s">
        <v>107</v>
      </c>
      <c r="L80" s="157">
        <f>50/365</f>
        <v>0.13698630136986301</v>
      </c>
      <c r="M80" s="158" t="s">
        <v>296</v>
      </c>
      <c r="N80" s="158"/>
      <c r="O80"/>
      <c r="P80"/>
    </row>
    <row r="81" spans="1:16" ht="13" customHeight="1" x14ac:dyDescent="0.3">
      <c r="A81" s="37"/>
      <c r="C81" s="34" t="s">
        <v>108</v>
      </c>
      <c r="L81" s="43">
        <f>L75*L80</f>
        <v>133631.66651652282</v>
      </c>
      <c r="M81" s="466" t="s">
        <v>341</v>
      </c>
      <c r="N81" s="466"/>
      <c r="O81" s="466"/>
      <c r="P81"/>
    </row>
    <row r="82" spans="1:16" ht="30.5" customHeight="1" x14ac:dyDescent="0.3">
      <c r="A82" s="37"/>
      <c r="J82" s="37" t="s">
        <v>109</v>
      </c>
      <c r="L82" s="49">
        <f>L76*L80</f>
        <v>-988.10318226683626</v>
      </c>
      <c r="M82" s="463" t="s">
        <v>342</v>
      </c>
      <c r="N82" s="463"/>
      <c r="O82"/>
      <c r="P82"/>
    </row>
    <row r="83" spans="1:16" ht="13" customHeight="1" x14ac:dyDescent="0.3">
      <c r="A83" s="37"/>
      <c r="E83" s="41" t="s">
        <v>110</v>
      </c>
      <c r="F83" s="40" t="s">
        <v>96</v>
      </c>
      <c r="G83" s="41" t="s">
        <v>111</v>
      </c>
      <c r="H83" s="41" t="s">
        <v>112</v>
      </c>
      <c r="J83" s="41" t="s">
        <v>113</v>
      </c>
      <c r="L83" s="160">
        <f>SUM(L81:L82)</f>
        <v>132643.56333425597</v>
      </c>
      <c r="M83" s="158" t="s">
        <v>170</v>
      </c>
      <c r="N83" s="158"/>
      <c r="O83"/>
      <c r="P83"/>
    </row>
    <row r="84" spans="1:16" ht="13" x14ac:dyDescent="0.3">
      <c r="B84" s="61" t="s">
        <v>114</v>
      </c>
      <c r="C84" s="34" t="s">
        <v>115</v>
      </c>
      <c r="E84" s="170">
        <v>0.10299999999999999</v>
      </c>
      <c r="F84" s="34" t="s">
        <v>118</v>
      </c>
      <c r="G84" s="79">
        <v>43781</v>
      </c>
      <c r="H84" s="79">
        <v>43830</v>
      </c>
      <c r="J84" s="171">
        <v>50</v>
      </c>
    </row>
    <row r="85" spans="1:16" ht="13" customHeight="1" x14ac:dyDescent="0.3">
      <c r="B85" s="61" t="s">
        <v>116</v>
      </c>
      <c r="C85" s="34" t="s">
        <v>117</v>
      </c>
      <c r="E85" s="170">
        <v>0.112</v>
      </c>
      <c r="F85" s="34" t="s">
        <v>147</v>
      </c>
      <c r="G85" s="79">
        <v>43466</v>
      </c>
      <c r="H85" s="79">
        <v>43780</v>
      </c>
      <c r="J85" s="171">
        <v>315</v>
      </c>
      <c r="L85" s="43"/>
    </row>
    <row r="86" spans="1:16" ht="13" x14ac:dyDescent="0.3">
      <c r="B86" s="61" t="s">
        <v>119</v>
      </c>
      <c r="E86" s="64"/>
      <c r="G86" s="65"/>
      <c r="H86" s="65"/>
      <c r="I86" s="53" t="s">
        <v>120</v>
      </c>
      <c r="J86" s="67">
        <f>SUM(J84:J85)</f>
        <v>365</v>
      </c>
    </row>
    <row r="87" spans="1:16" ht="13" x14ac:dyDescent="0.3">
      <c r="B87" s="61" t="s">
        <v>121</v>
      </c>
      <c r="C87" s="34" t="s">
        <v>122</v>
      </c>
      <c r="E87" s="62">
        <f>((E84*J84) + (E85* J85)) / J86</f>
        <v>0.11076712328767123</v>
      </c>
      <c r="F87" s="34" t="s">
        <v>123</v>
      </c>
    </row>
    <row r="88" spans="1:16" ht="13" x14ac:dyDescent="0.3">
      <c r="A88" s="37"/>
    </row>
    <row r="89" spans="1:16" ht="13" x14ac:dyDescent="0.3">
      <c r="A89" s="37"/>
      <c r="B89" s="34" t="s">
        <v>124</v>
      </c>
    </row>
    <row r="90" spans="1:16" ht="13" x14ac:dyDescent="0.3">
      <c r="A90" s="37"/>
      <c r="E90" s="40" t="s">
        <v>96</v>
      </c>
    </row>
    <row r="91" spans="1:16" ht="13" x14ac:dyDescent="0.3">
      <c r="B91" s="61" t="s">
        <v>125</v>
      </c>
      <c r="C91" s="34" t="s">
        <v>126</v>
      </c>
      <c r="E91" s="172" t="s">
        <v>167</v>
      </c>
      <c r="F91" s="63"/>
      <c r="G91" s="63"/>
      <c r="H91" s="63"/>
      <c r="I91" s="63"/>
      <c r="J91" s="63"/>
    </row>
    <row r="92" spans="1:16" ht="13" x14ac:dyDescent="0.3">
      <c r="B92" s="61" t="s">
        <v>127</v>
      </c>
      <c r="C92" s="34" t="s">
        <v>128</v>
      </c>
      <c r="E92" s="172" t="s">
        <v>168</v>
      </c>
      <c r="F92" s="63"/>
      <c r="G92" s="63"/>
      <c r="H92" s="63"/>
      <c r="I92" s="63"/>
      <c r="J92" s="63"/>
    </row>
    <row r="93" spans="1:16" x14ac:dyDescent="0.25">
      <c r="E93" s="65"/>
    </row>
    <row r="94" spans="1:16" ht="13" x14ac:dyDescent="0.3">
      <c r="E94" s="41" t="s">
        <v>110</v>
      </c>
      <c r="F94" s="40" t="s">
        <v>96</v>
      </c>
    </row>
    <row r="95" spans="1:16" ht="13" x14ac:dyDescent="0.3">
      <c r="B95" s="61" t="s">
        <v>129</v>
      </c>
      <c r="C95" s="34" t="s">
        <v>130</v>
      </c>
      <c r="E95" s="173">
        <v>2.0626966592527701E-2</v>
      </c>
      <c r="F95" s="34" t="s">
        <v>320</v>
      </c>
    </row>
    <row r="96" spans="1:16" ht="13" x14ac:dyDescent="0.3">
      <c r="B96" s="61" t="s">
        <v>131</v>
      </c>
      <c r="C96" s="34" t="s">
        <v>132</v>
      </c>
      <c r="E96" s="173">
        <v>4.1703636316806555E-3</v>
      </c>
      <c r="F96" s="34" t="s">
        <v>321</v>
      </c>
    </row>
    <row r="97" spans="1:10" ht="13" x14ac:dyDescent="0.3">
      <c r="B97" s="61" t="s">
        <v>133</v>
      </c>
      <c r="C97" s="34" t="s">
        <v>134</v>
      </c>
      <c r="E97" s="174">
        <v>5.2614383561643829E-2</v>
      </c>
      <c r="F97" s="34" t="s">
        <v>322</v>
      </c>
    </row>
    <row r="98" spans="1:10" ht="13" x14ac:dyDescent="0.3">
      <c r="B98" s="37" t="s">
        <v>135</v>
      </c>
      <c r="C98" s="39" t="s">
        <v>68</v>
      </c>
      <c r="E98" s="173">
        <f>SUM(E95:E97)</f>
        <v>7.7411713785852182E-2</v>
      </c>
      <c r="F98" s="43" t="str">
        <f>"Sum of Lines "&amp;B95&amp;" to "&amp;B97&amp;""</f>
        <v>Sum of Lines g to i</v>
      </c>
      <c r="G98" s="67"/>
      <c r="J98" s="68"/>
    </row>
    <row r="99" spans="1:10" ht="13" x14ac:dyDescent="0.3">
      <c r="A99" s="37"/>
      <c r="C99" s="69"/>
      <c r="D99" s="70"/>
      <c r="E99" s="43"/>
      <c r="F99" s="43"/>
      <c r="G99" s="67"/>
      <c r="H99" s="43"/>
      <c r="J99" s="68"/>
    </row>
    <row r="100" spans="1:10" ht="13" x14ac:dyDescent="0.3">
      <c r="A100" s="37"/>
      <c r="B100" s="34" t="s">
        <v>136</v>
      </c>
    </row>
    <row r="101" spans="1:10" ht="13" x14ac:dyDescent="0.3">
      <c r="A101" s="37"/>
    </row>
    <row r="102" spans="1:10" ht="13" x14ac:dyDescent="0.3">
      <c r="A102" s="37"/>
      <c r="E102" s="41" t="s">
        <v>110</v>
      </c>
      <c r="F102" s="40" t="s">
        <v>96</v>
      </c>
    </row>
    <row r="103" spans="1:10" ht="13" x14ac:dyDescent="0.3">
      <c r="B103" s="61" t="s">
        <v>137</v>
      </c>
      <c r="E103" s="173">
        <f>E96+E97</f>
        <v>5.6784747193324485E-2</v>
      </c>
      <c r="F103" s="43" t="str">
        <f>"Sum of Lines "&amp;B96&amp;" to "&amp;B97&amp;""</f>
        <v>Sum of Lines h to i</v>
      </c>
    </row>
    <row r="104" spans="1:10" ht="13" x14ac:dyDescent="0.3">
      <c r="A104" s="37"/>
      <c r="E104" s="51"/>
      <c r="F104" s="43"/>
    </row>
    <row r="105" spans="1:10" ht="13" x14ac:dyDescent="0.3">
      <c r="A105" s="37"/>
      <c r="B105" s="38" t="s">
        <v>152</v>
      </c>
      <c r="E105" s="67"/>
      <c r="F105" s="67"/>
      <c r="G105" s="67"/>
      <c r="H105" s="43"/>
    </row>
    <row r="106" spans="1:10" ht="13" x14ac:dyDescent="0.3">
      <c r="A106" s="37"/>
      <c r="B106" s="34" t="s">
        <v>153</v>
      </c>
    </row>
    <row r="107" spans="1:10" ht="13" x14ac:dyDescent="0.3">
      <c r="A107" s="37"/>
      <c r="B107" s="39" t="s">
        <v>169</v>
      </c>
      <c r="D107" s="37"/>
      <c r="E107" s="37"/>
      <c r="F107" s="37"/>
      <c r="G107" s="37"/>
      <c r="H107" s="37"/>
    </row>
    <row r="108" spans="1:10" ht="13" x14ac:dyDescent="0.3">
      <c r="A108" s="37"/>
      <c r="B108" s="42"/>
      <c r="D108" s="37"/>
      <c r="E108" s="37"/>
      <c r="F108" s="37"/>
      <c r="G108" s="37"/>
      <c r="H108" s="37"/>
    </row>
    <row r="109" spans="1:10" ht="13" x14ac:dyDescent="0.3">
      <c r="A109" s="37"/>
      <c r="C109" s="71"/>
      <c r="D109" s="71"/>
      <c r="E109" s="41"/>
      <c r="F109" s="41"/>
      <c r="G109" s="41"/>
      <c r="H109" s="41"/>
    </row>
    <row r="110" spans="1:10" ht="13" x14ac:dyDescent="0.3">
      <c r="A110" s="37"/>
    </row>
    <row r="111" spans="1:10" ht="13" x14ac:dyDescent="0.3">
      <c r="A111" s="37"/>
    </row>
    <row r="112" spans="1:10" ht="13" x14ac:dyDescent="0.3">
      <c r="A112" s="37"/>
    </row>
    <row r="113" spans="1:10" ht="13" x14ac:dyDescent="0.3">
      <c r="A113" s="37"/>
      <c r="C113" s="69"/>
      <c r="E113" s="43"/>
      <c r="F113" s="43"/>
      <c r="H113" s="43"/>
      <c r="J113" s="68"/>
    </row>
    <row r="114" spans="1:10" ht="13" x14ac:dyDescent="0.3">
      <c r="A114" s="37"/>
      <c r="C114" s="69"/>
      <c r="E114" s="43"/>
      <c r="F114" s="43"/>
      <c r="H114" s="43"/>
      <c r="J114" s="68"/>
    </row>
    <row r="115" spans="1:10" ht="13" x14ac:dyDescent="0.3">
      <c r="A115" s="38"/>
      <c r="C115" s="69"/>
      <c r="E115" s="43"/>
      <c r="F115" s="43"/>
      <c r="H115" s="43"/>
      <c r="J115" s="68"/>
    </row>
    <row r="116" spans="1:10" ht="13" x14ac:dyDescent="0.3">
      <c r="A116" s="37"/>
      <c r="D116" s="72"/>
      <c r="E116" s="43"/>
      <c r="F116" s="43"/>
      <c r="H116" s="43"/>
      <c r="J116" s="68"/>
    </row>
    <row r="117" spans="1:10" ht="13" x14ac:dyDescent="0.3">
      <c r="A117" s="37"/>
      <c r="C117" s="69"/>
      <c r="D117" s="53"/>
      <c r="E117" s="49"/>
      <c r="F117" s="43"/>
      <c r="H117" s="43"/>
      <c r="J117" s="68"/>
    </row>
    <row r="118" spans="1:10" ht="13" x14ac:dyDescent="0.3">
      <c r="A118" s="37"/>
      <c r="C118" s="69"/>
      <c r="D118" s="53"/>
      <c r="E118" s="43"/>
      <c r="F118" s="43"/>
      <c r="H118" s="43"/>
      <c r="J118" s="68"/>
    </row>
    <row r="119" spans="1:10" ht="13" x14ac:dyDescent="0.3">
      <c r="A119" s="37"/>
    </row>
    <row r="120" spans="1:10" ht="13" x14ac:dyDescent="0.3">
      <c r="A120" s="37"/>
      <c r="B120" s="33"/>
    </row>
    <row r="121" spans="1:10" ht="13" x14ac:dyDescent="0.3">
      <c r="A121" s="37"/>
    </row>
    <row r="122" spans="1:10" ht="13" x14ac:dyDescent="0.3">
      <c r="A122" s="37"/>
    </row>
    <row r="123" spans="1:10" ht="13" x14ac:dyDescent="0.3">
      <c r="A123" s="37"/>
      <c r="F123" s="37"/>
    </row>
    <row r="124" spans="1:10" ht="13" x14ac:dyDescent="0.3">
      <c r="A124" s="37"/>
      <c r="F124" s="37"/>
    </row>
    <row r="125" spans="1:10" ht="13" x14ac:dyDescent="0.3">
      <c r="A125" s="37"/>
      <c r="D125" s="37"/>
      <c r="E125" s="37"/>
      <c r="F125" s="37"/>
      <c r="H125" s="37"/>
    </row>
    <row r="126" spans="1:10" ht="13" x14ac:dyDescent="0.3">
      <c r="A126" s="37"/>
      <c r="D126" s="37"/>
      <c r="E126" s="37"/>
      <c r="F126" s="37"/>
      <c r="G126" s="37"/>
      <c r="H126" s="61"/>
    </row>
    <row r="127" spans="1:10" ht="13" x14ac:dyDescent="0.3">
      <c r="A127" s="38"/>
      <c r="C127" s="71"/>
      <c r="D127" s="71"/>
      <c r="E127" s="41"/>
      <c r="F127" s="73"/>
      <c r="G127" s="41"/>
      <c r="H127" s="61"/>
    </row>
    <row r="128" spans="1:10" ht="13" x14ac:dyDescent="0.3">
      <c r="A128" s="37"/>
      <c r="C128" s="69"/>
      <c r="D128" s="70"/>
      <c r="E128" s="43"/>
      <c r="F128" s="43"/>
      <c r="G128" s="62"/>
      <c r="H128" s="43"/>
    </row>
    <row r="129" spans="1:8" ht="13" x14ac:dyDescent="0.3">
      <c r="A129" s="37"/>
      <c r="C129" s="69"/>
      <c r="D129" s="70"/>
      <c r="E129" s="43"/>
      <c r="F129" s="43"/>
      <c r="G129" s="62"/>
      <c r="H129" s="43"/>
    </row>
    <row r="130" spans="1:8" ht="13" x14ac:dyDescent="0.3">
      <c r="A130" s="37"/>
      <c r="C130" s="69"/>
      <c r="D130" s="70"/>
      <c r="E130" s="43"/>
      <c r="F130" s="43"/>
      <c r="G130" s="62"/>
      <c r="H130" s="43"/>
    </row>
    <row r="131" spans="1:8" ht="13" x14ac:dyDescent="0.3">
      <c r="A131" s="37"/>
      <c r="C131" s="69"/>
      <c r="D131" s="70"/>
      <c r="E131" s="43"/>
      <c r="F131" s="43"/>
      <c r="G131" s="62"/>
      <c r="H131" s="43"/>
    </row>
    <row r="132" spans="1:8" ht="13" x14ac:dyDescent="0.3">
      <c r="A132" s="37"/>
      <c r="C132" s="69"/>
      <c r="D132" s="70"/>
      <c r="E132" s="43"/>
      <c r="F132" s="43"/>
      <c r="G132" s="62"/>
      <c r="H132" s="43"/>
    </row>
    <row r="133" spans="1:8" ht="13" x14ac:dyDescent="0.3">
      <c r="A133" s="37"/>
      <c r="C133" s="69"/>
      <c r="D133" s="70"/>
      <c r="E133" s="43"/>
      <c r="F133" s="43"/>
      <c r="G133" s="62"/>
      <c r="H133" s="43"/>
    </row>
    <row r="134" spans="1:8" ht="13" x14ac:dyDescent="0.3">
      <c r="A134" s="37"/>
      <c r="C134" s="69"/>
      <c r="D134" s="70"/>
      <c r="E134" s="43"/>
      <c r="F134" s="43"/>
      <c r="G134" s="62"/>
      <c r="H134" s="43"/>
    </row>
    <row r="135" spans="1:8" ht="13" x14ac:dyDescent="0.3">
      <c r="A135" s="37"/>
      <c r="C135" s="69"/>
      <c r="D135" s="70"/>
      <c r="E135" s="43"/>
      <c r="F135" s="43"/>
      <c r="G135" s="62"/>
      <c r="H135" s="43"/>
    </row>
    <row r="136" spans="1:8" ht="13" x14ac:dyDescent="0.3">
      <c r="A136" s="37"/>
      <c r="C136" s="69"/>
      <c r="D136" s="70"/>
      <c r="E136" s="43"/>
      <c r="F136" s="43"/>
      <c r="G136" s="62"/>
      <c r="H136" s="43"/>
    </row>
    <row r="137" spans="1:8" ht="13" x14ac:dyDescent="0.3">
      <c r="A137" s="37"/>
      <c r="C137" s="69"/>
      <c r="D137" s="70"/>
      <c r="E137" s="43"/>
      <c r="F137" s="43"/>
      <c r="G137" s="62"/>
      <c r="H137" s="43"/>
    </row>
    <row r="138" spans="1:8" ht="13" x14ac:dyDescent="0.3">
      <c r="A138" s="37"/>
      <c r="C138" s="69"/>
      <c r="D138" s="70"/>
      <c r="E138" s="43"/>
      <c r="F138" s="43"/>
      <c r="G138" s="62"/>
      <c r="H138" s="43"/>
    </row>
    <row r="139" spans="1:8" ht="13" x14ac:dyDescent="0.3">
      <c r="A139" s="37"/>
      <c r="C139" s="69"/>
      <c r="D139" s="70"/>
      <c r="E139" s="43"/>
      <c r="F139" s="43"/>
      <c r="G139" s="62"/>
      <c r="H139" s="49"/>
    </row>
    <row r="140" spans="1:8" ht="13" x14ac:dyDescent="0.3">
      <c r="A140" s="37"/>
      <c r="H140" s="43"/>
    </row>
    <row r="141" spans="1:8" ht="13" x14ac:dyDescent="0.3">
      <c r="A141" s="37"/>
      <c r="C141" s="69"/>
      <c r="D141" s="70"/>
      <c r="F141" s="74"/>
      <c r="G141" s="62"/>
      <c r="H141" s="74"/>
    </row>
    <row r="142" spans="1:8" ht="13" x14ac:dyDescent="0.3">
      <c r="A142" s="37"/>
      <c r="B142" s="33"/>
      <c r="C142" s="69"/>
      <c r="D142" s="70"/>
      <c r="F142" s="74"/>
      <c r="G142" s="62"/>
      <c r="H142" s="74"/>
    </row>
    <row r="143" spans="1:8" ht="13" x14ac:dyDescent="0.3">
      <c r="A143" s="38"/>
      <c r="B143" s="33"/>
      <c r="C143" s="69"/>
      <c r="D143" s="70"/>
      <c r="F143" s="74"/>
      <c r="G143" s="62"/>
      <c r="H143" s="74"/>
    </row>
    <row r="144" spans="1:8" ht="13" x14ac:dyDescent="0.3">
      <c r="A144" s="37"/>
      <c r="C144" s="69"/>
      <c r="D144" s="75"/>
      <c r="E144" s="43"/>
      <c r="F144" s="76"/>
      <c r="G144" s="62"/>
      <c r="H144" s="74"/>
    </row>
    <row r="145" spans="1:8" ht="13" x14ac:dyDescent="0.3">
      <c r="A145" s="37"/>
      <c r="C145" s="69"/>
      <c r="D145" s="53"/>
      <c r="E145" s="43"/>
      <c r="F145" s="76"/>
      <c r="G145" s="62"/>
      <c r="H145" s="74"/>
    </row>
    <row r="146" spans="1:8" ht="13" x14ac:dyDescent="0.3">
      <c r="A146" s="37"/>
      <c r="C146" s="69"/>
      <c r="D146" s="53"/>
      <c r="E146" s="49"/>
      <c r="F146" s="76"/>
      <c r="G146" s="62"/>
      <c r="H146" s="74"/>
    </row>
    <row r="147" spans="1:8" ht="13" x14ac:dyDescent="0.3">
      <c r="A147" s="37"/>
      <c r="C147" s="69"/>
      <c r="D147" s="75"/>
      <c r="E147" s="43"/>
      <c r="F147" s="74"/>
      <c r="G147" s="62"/>
      <c r="H147" s="74"/>
    </row>
    <row r="148" spans="1:8" ht="13" x14ac:dyDescent="0.3">
      <c r="A148" s="37"/>
      <c r="C148" s="69"/>
      <c r="D148" s="70"/>
      <c r="F148" s="74"/>
      <c r="G148" s="62"/>
      <c r="H148" s="74"/>
    </row>
    <row r="149" spans="1:8" ht="13" x14ac:dyDescent="0.3">
      <c r="A149" s="37"/>
    </row>
    <row r="150" spans="1:8" ht="13" x14ac:dyDescent="0.3">
      <c r="A150" s="37"/>
    </row>
    <row r="151" spans="1:8" ht="13" x14ac:dyDescent="0.3">
      <c r="A151" s="37"/>
    </row>
    <row r="152" spans="1:8" ht="13" x14ac:dyDescent="0.3">
      <c r="A152" s="37"/>
      <c r="B152" s="33"/>
    </row>
    <row r="153" spans="1:8" ht="13" x14ac:dyDescent="0.3">
      <c r="A153" s="37"/>
    </row>
    <row r="154" spans="1:8" ht="13" x14ac:dyDescent="0.3">
      <c r="A154" s="37"/>
    </row>
    <row r="155" spans="1:8" ht="13" x14ac:dyDescent="0.3">
      <c r="A155" s="37"/>
    </row>
    <row r="156" spans="1:8" ht="13" x14ac:dyDescent="0.3">
      <c r="A156" s="37"/>
    </row>
    <row r="157" spans="1:8" ht="13" x14ac:dyDescent="0.3">
      <c r="A157" s="37"/>
      <c r="B157" s="33"/>
    </row>
    <row r="158" spans="1:8" ht="13" x14ac:dyDescent="0.3">
      <c r="A158" s="37"/>
    </row>
    <row r="159" spans="1:8" ht="13" x14ac:dyDescent="0.3">
      <c r="A159" s="38"/>
      <c r="C159" s="71"/>
      <c r="D159" s="41"/>
    </row>
    <row r="160" spans="1:8" ht="13" x14ac:dyDescent="0.3">
      <c r="A160" s="37"/>
      <c r="C160" s="69"/>
      <c r="D160" s="77"/>
      <c r="F160" s="51"/>
    </row>
    <row r="161" spans="1:6" ht="13" x14ac:dyDescent="0.3">
      <c r="A161" s="37"/>
      <c r="C161" s="69"/>
      <c r="D161" s="77"/>
      <c r="F161" s="51"/>
    </row>
    <row r="162" spans="1:6" ht="13" x14ac:dyDescent="0.3">
      <c r="A162" s="37"/>
      <c r="C162" s="69"/>
      <c r="D162" s="77"/>
      <c r="F162" s="51"/>
    </row>
    <row r="163" spans="1:6" ht="13" x14ac:dyDescent="0.3">
      <c r="A163" s="37"/>
      <c r="C163" s="69"/>
      <c r="D163" s="77"/>
      <c r="F163" s="51"/>
    </row>
    <row r="164" spans="1:6" ht="13" x14ac:dyDescent="0.3">
      <c r="A164" s="37"/>
      <c r="C164" s="69"/>
      <c r="D164" s="77"/>
      <c r="F164" s="51"/>
    </row>
    <row r="165" spans="1:6" ht="13" x14ac:dyDescent="0.3">
      <c r="A165" s="37"/>
      <c r="C165" s="69"/>
      <c r="D165" s="77"/>
      <c r="F165" s="51"/>
    </row>
    <row r="166" spans="1:6" ht="13" x14ac:dyDescent="0.3">
      <c r="A166" s="37"/>
      <c r="C166" s="69"/>
      <c r="D166" s="77"/>
      <c r="F166" s="51"/>
    </row>
    <row r="167" spans="1:6" ht="13" x14ac:dyDescent="0.3">
      <c r="A167" s="37"/>
      <c r="C167" s="69"/>
      <c r="D167" s="77"/>
      <c r="F167" s="51"/>
    </row>
    <row r="168" spans="1:6" ht="13" x14ac:dyDescent="0.3">
      <c r="A168" s="37"/>
      <c r="C168" s="69"/>
      <c r="D168" s="77"/>
      <c r="F168" s="51"/>
    </row>
    <row r="169" spans="1:6" ht="13" x14ac:dyDescent="0.3">
      <c r="A169" s="37"/>
      <c r="C169" s="69"/>
      <c r="D169" s="77"/>
      <c r="F169" s="51"/>
    </row>
    <row r="170" spans="1:6" ht="13" x14ac:dyDescent="0.3">
      <c r="A170" s="37"/>
      <c r="C170" s="69"/>
      <c r="D170" s="77"/>
      <c r="F170" s="51"/>
    </row>
    <row r="171" spans="1:6" ht="13" x14ac:dyDescent="0.3">
      <c r="A171" s="37"/>
      <c r="C171" s="69"/>
      <c r="D171" s="78"/>
      <c r="F171" s="66"/>
    </row>
    <row r="172" spans="1:6" ht="13" x14ac:dyDescent="0.3">
      <c r="A172" s="37"/>
      <c r="C172" s="72"/>
      <c r="D172" s="77"/>
    </row>
  </sheetData>
  <mergeCells count="5">
    <mergeCell ref="K71:N71"/>
    <mergeCell ref="M81:O81"/>
    <mergeCell ref="M75:N75"/>
    <mergeCell ref="M76:N76"/>
    <mergeCell ref="M82:N82"/>
  </mergeCells>
  <pageMargins left="0.75" right="0.75" top="1" bottom="1" header="0.5" footer="0.5"/>
  <pageSetup scale="74" orientation="landscape" cellComments="asDisplayed" r:id="rId1"/>
  <headerFooter alignWithMargins="0">
    <oddHeader>&amp;CSchedule 4
True Up TRR
(Revised 2019 
TO2021 True Up TRR)&amp;RTO2023 Draft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73590-0C44-4A50-8CE0-8B0AFADB892A}">
  <sheetPr>
    <tabColor rgb="FFCCFFCC"/>
  </sheetPr>
  <dimension ref="A1:X110"/>
  <sheetViews>
    <sheetView topLeftCell="A19" zoomScaleNormal="100" workbookViewId="0">
      <selection activeCell="L24" sqref="L24"/>
    </sheetView>
  </sheetViews>
  <sheetFormatPr defaultRowHeight="12.5" x14ac:dyDescent="0.25"/>
  <cols>
    <col min="1" max="1" width="4.54296875" style="34" customWidth="1"/>
    <col min="2" max="2" width="2.54296875" style="34" customWidth="1"/>
    <col min="3" max="3" width="8.54296875" style="34" customWidth="1"/>
    <col min="4" max="4" width="32.54296875" style="34" customWidth="1"/>
    <col min="5" max="5" width="14.54296875" style="34" customWidth="1"/>
    <col min="6" max="6" width="15.54296875" style="34" customWidth="1"/>
    <col min="7" max="8" width="14.54296875" style="34" customWidth="1"/>
    <col min="9" max="9" width="20" style="34" customWidth="1"/>
    <col min="10" max="10" width="15.54296875" style="34" customWidth="1"/>
    <col min="11" max="11" width="11" style="34" bestFit="1" customWidth="1"/>
    <col min="12" max="16384" width="8.7265625" style="34"/>
  </cols>
  <sheetData>
    <row r="1" spans="1:24" ht="13" x14ac:dyDescent="0.3">
      <c r="A1" s="33" t="s">
        <v>171</v>
      </c>
      <c r="F1" s="138" t="s">
        <v>172</v>
      </c>
      <c r="G1" s="63"/>
      <c r="H1" s="67"/>
      <c r="I1" s="67"/>
    </row>
    <row r="2" spans="1:24" ht="13" x14ac:dyDescent="0.3">
      <c r="E2" s="73" t="s">
        <v>173</v>
      </c>
      <c r="F2" s="73" t="s">
        <v>174</v>
      </c>
      <c r="G2" s="73" t="s">
        <v>175</v>
      </c>
      <c r="H2" s="73" t="s">
        <v>176</v>
      </c>
      <c r="I2" s="67"/>
    </row>
    <row r="3" spans="1:24" x14ac:dyDescent="0.25">
      <c r="G3" s="67" t="s">
        <v>177</v>
      </c>
    </row>
    <row r="4" spans="1:24" ht="13" x14ac:dyDescent="0.3">
      <c r="E4" s="37" t="s">
        <v>178</v>
      </c>
      <c r="F4" s="131" t="s">
        <v>179</v>
      </c>
      <c r="G4" s="37" t="s">
        <v>180</v>
      </c>
      <c r="I4" s="37"/>
    </row>
    <row r="5" spans="1:24" ht="13" x14ac:dyDescent="0.3">
      <c r="A5" s="38" t="s">
        <v>39</v>
      </c>
      <c r="B5" s="41"/>
      <c r="C5" s="41" t="s">
        <v>181</v>
      </c>
      <c r="D5" s="41" t="s">
        <v>31</v>
      </c>
      <c r="E5" s="41" t="s">
        <v>32</v>
      </c>
      <c r="F5" s="71" t="s">
        <v>33</v>
      </c>
      <c r="G5" s="41" t="s">
        <v>182</v>
      </c>
      <c r="H5" s="41" t="s">
        <v>82</v>
      </c>
      <c r="I5" s="41" t="s">
        <v>42</v>
      </c>
      <c r="K5" s="41"/>
      <c r="L5" s="41"/>
      <c r="M5" s="41"/>
      <c r="N5" s="41"/>
      <c r="O5" s="41"/>
      <c r="P5" s="41"/>
      <c r="Q5" s="41"/>
      <c r="R5" s="41"/>
      <c r="S5" s="41"/>
      <c r="T5" s="41"/>
      <c r="U5" s="41"/>
      <c r="V5" s="41"/>
      <c r="W5" s="41"/>
      <c r="X5" s="41"/>
    </row>
    <row r="6" spans="1:24" ht="13" x14ac:dyDescent="0.3">
      <c r="A6" s="37">
        <v>1</v>
      </c>
      <c r="C6" s="67">
        <v>920</v>
      </c>
      <c r="D6" s="34" t="s">
        <v>183</v>
      </c>
      <c r="E6" s="139">
        <v>413850310</v>
      </c>
      <c r="F6" s="67" t="s">
        <v>184</v>
      </c>
      <c r="G6" s="46">
        <f>D37</f>
        <v>130478539.62525931</v>
      </c>
      <c r="H6" s="46">
        <f t="shared" ref="H6:H19" si="0">E6-G6</f>
        <v>283371770.37474072</v>
      </c>
    </row>
    <row r="7" spans="1:24" ht="13" x14ac:dyDescent="0.3">
      <c r="A7" s="37">
        <f>A6+1</f>
        <v>2</v>
      </c>
      <c r="C7" s="67">
        <v>921</v>
      </c>
      <c r="D7" s="34" t="s">
        <v>185</v>
      </c>
      <c r="E7" s="139">
        <v>250234425</v>
      </c>
      <c r="F7" s="67" t="s">
        <v>186</v>
      </c>
      <c r="G7" s="46">
        <f t="shared" ref="G7:G19" si="1">D38</f>
        <v>2352483.834740696</v>
      </c>
      <c r="H7" s="46">
        <f t="shared" si="0"/>
        <v>247881941.1652593</v>
      </c>
    </row>
    <row r="8" spans="1:24" ht="13" x14ac:dyDescent="0.3">
      <c r="A8" s="37">
        <f>A7+1</f>
        <v>3</v>
      </c>
      <c r="C8" s="67">
        <v>922</v>
      </c>
      <c r="D8" s="34" t="s">
        <v>187</v>
      </c>
      <c r="E8" s="139">
        <v>-225318190</v>
      </c>
      <c r="F8" s="67" t="s">
        <v>188</v>
      </c>
      <c r="G8" s="43">
        <f t="shared" si="1"/>
        <v>-77722052.712449998</v>
      </c>
      <c r="H8" s="43">
        <f t="shared" si="0"/>
        <v>-147596137.28755</v>
      </c>
      <c r="I8" s="67" t="s">
        <v>189</v>
      </c>
    </row>
    <row r="9" spans="1:24" ht="13" x14ac:dyDescent="0.3">
      <c r="A9" s="37">
        <f t="shared" ref="A9:A20" si="2">A8+1</f>
        <v>4</v>
      </c>
      <c r="B9" s="37"/>
      <c r="C9" s="67">
        <v>923</v>
      </c>
      <c r="D9" s="34" t="s">
        <v>190</v>
      </c>
      <c r="E9" s="139">
        <v>59887693</v>
      </c>
      <c r="F9" s="67" t="s">
        <v>191</v>
      </c>
      <c r="G9" s="46">
        <f t="shared" si="1"/>
        <v>8991127.0778677836</v>
      </c>
      <c r="H9" s="46">
        <f t="shared" si="0"/>
        <v>50896565.922132216</v>
      </c>
    </row>
    <row r="10" spans="1:24" ht="13" x14ac:dyDescent="0.3">
      <c r="A10" s="37">
        <f t="shared" si="2"/>
        <v>5</v>
      </c>
      <c r="B10" s="37"/>
      <c r="C10" s="67">
        <v>924</v>
      </c>
      <c r="D10" s="34" t="s">
        <v>192</v>
      </c>
      <c r="E10" s="139">
        <v>15607270</v>
      </c>
      <c r="F10" s="67" t="s">
        <v>193</v>
      </c>
      <c r="G10" s="43">
        <f t="shared" si="1"/>
        <v>0</v>
      </c>
      <c r="H10" s="43">
        <f t="shared" si="0"/>
        <v>15607270</v>
      </c>
    </row>
    <row r="11" spans="1:24" ht="13" x14ac:dyDescent="0.3">
      <c r="A11" s="37">
        <f t="shared" si="2"/>
        <v>6</v>
      </c>
      <c r="B11" s="37"/>
      <c r="C11" s="67">
        <v>925</v>
      </c>
      <c r="D11" s="34" t="s">
        <v>194</v>
      </c>
      <c r="E11" s="139">
        <v>902073996</v>
      </c>
      <c r="F11" s="67" t="s">
        <v>195</v>
      </c>
      <c r="G11" s="43">
        <f t="shared" si="1"/>
        <v>170732327.52000001</v>
      </c>
      <c r="H11" s="43">
        <f t="shared" si="0"/>
        <v>731341668.48000002</v>
      </c>
    </row>
    <row r="12" spans="1:24" ht="13" x14ac:dyDescent="0.3">
      <c r="A12" s="37">
        <f t="shared" si="2"/>
        <v>7</v>
      </c>
      <c r="B12" s="37"/>
      <c r="C12" s="67">
        <v>926</v>
      </c>
      <c r="D12" s="34" t="s">
        <v>196</v>
      </c>
      <c r="E12" s="139">
        <v>82906034</v>
      </c>
      <c r="F12" s="67" t="s">
        <v>197</v>
      </c>
      <c r="G12" s="43">
        <f t="shared" si="1"/>
        <v>2802913.9770550355</v>
      </c>
      <c r="H12" s="43">
        <f t="shared" si="0"/>
        <v>80103120.022944957</v>
      </c>
    </row>
    <row r="13" spans="1:24" ht="13" x14ac:dyDescent="0.3">
      <c r="A13" s="37">
        <f t="shared" si="2"/>
        <v>8</v>
      </c>
      <c r="B13" s="37"/>
      <c r="C13" s="67">
        <v>927</v>
      </c>
      <c r="D13" s="34" t="s">
        <v>198</v>
      </c>
      <c r="E13" s="139">
        <v>104335318</v>
      </c>
      <c r="F13" s="67" t="s">
        <v>199</v>
      </c>
      <c r="G13" s="43">
        <f t="shared" si="1"/>
        <v>104335318</v>
      </c>
      <c r="H13" s="43">
        <f t="shared" si="0"/>
        <v>0</v>
      </c>
    </row>
    <row r="14" spans="1:24" ht="13" x14ac:dyDescent="0.3">
      <c r="A14" s="37">
        <f t="shared" si="2"/>
        <v>9</v>
      </c>
      <c r="B14" s="37"/>
      <c r="C14" s="67">
        <v>928</v>
      </c>
      <c r="D14" s="34" t="s">
        <v>200</v>
      </c>
      <c r="E14" s="139">
        <v>11713250</v>
      </c>
      <c r="F14" s="67" t="s">
        <v>201</v>
      </c>
      <c r="G14" s="43">
        <f t="shared" si="1"/>
        <v>9979027.6099999994</v>
      </c>
      <c r="H14" s="43">
        <f t="shared" si="0"/>
        <v>1734222.3900000006</v>
      </c>
    </row>
    <row r="15" spans="1:24" ht="13" x14ac:dyDescent="0.3">
      <c r="A15" s="37">
        <f t="shared" si="2"/>
        <v>10</v>
      </c>
      <c r="B15" s="37"/>
      <c r="C15" s="67">
        <v>929</v>
      </c>
      <c r="D15" s="34" t="s">
        <v>202</v>
      </c>
      <c r="E15" s="139">
        <v>0</v>
      </c>
      <c r="F15" s="67" t="s">
        <v>203</v>
      </c>
      <c r="G15" s="43">
        <f t="shared" si="1"/>
        <v>0</v>
      </c>
      <c r="H15" s="43">
        <f t="shared" si="0"/>
        <v>0</v>
      </c>
    </row>
    <row r="16" spans="1:24" ht="13" x14ac:dyDescent="0.3">
      <c r="A16" s="37">
        <f t="shared" si="2"/>
        <v>11</v>
      </c>
      <c r="B16" s="37"/>
      <c r="C16" s="67">
        <v>930.1</v>
      </c>
      <c r="D16" s="34" t="s">
        <v>204</v>
      </c>
      <c r="E16" s="139">
        <v>11245961</v>
      </c>
      <c r="F16" s="67" t="s">
        <v>205</v>
      </c>
      <c r="G16" s="46">
        <f t="shared" si="1"/>
        <v>0</v>
      </c>
      <c r="H16" s="46">
        <f t="shared" si="0"/>
        <v>11245961</v>
      </c>
    </row>
    <row r="17" spans="1:8" ht="13" x14ac:dyDescent="0.3">
      <c r="A17" s="37">
        <f t="shared" si="2"/>
        <v>12</v>
      </c>
      <c r="B17" s="37"/>
      <c r="C17" s="67">
        <v>930.2</v>
      </c>
      <c r="D17" s="34" t="s">
        <v>206</v>
      </c>
      <c r="E17" s="139">
        <v>14071912</v>
      </c>
      <c r="F17" s="67" t="s">
        <v>207</v>
      </c>
      <c r="G17" s="43">
        <f t="shared" si="1"/>
        <v>5999239.1899999976</v>
      </c>
      <c r="H17" s="43">
        <f t="shared" si="0"/>
        <v>8072672.8100000024</v>
      </c>
    </row>
    <row r="18" spans="1:8" ht="13" x14ac:dyDescent="0.3">
      <c r="A18" s="37">
        <f t="shared" si="2"/>
        <v>13</v>
      </c>
      <c r="B18" s="37"/>
      <c r="C18" s="67">
        <v>931</v>
      </c>
      <c r="D18" s="34" t="s">
        <v>208</v>
      </c>
      <c r="E18" s="139">
        <v>8581490</v>
      </c>
      <c r="F18" s="67" t="s">
        <v>209</v>
      </c>
      <c r="G18" s="43">
        <f t="shared" si="1"/>
        <v>12016812.699999999</v>
      </c>
      <c r="H18" s="43">
        <f t="shared" si="0"/>
        <v>-3435322.6999999993</v>
      </c>
    </row>
    <row r="19" spans="1:8" ht="13" x14ac:dyDescent="0.3">
      <c r="A19" s="37">
        <f t="shared" si="2"/>
        <v>14</v>
      </c>
      <c r="B19" s="37"/>
      <c r="C19" s="67">
        <v>935</v>
      </c>
      <c r="D19" s="34" t="s">
        <v>210</v>
      </c>
      <c r="E19" s="140">
        <v>26158179</v>
      </c>
      <c r="F19" s="67" t="s">
        <v>211</v>
      </c>
      <c r="G19" s="46">
        <f t="shared" si="1"/>
        <v>769627.75</v>
      </c>
      <c r="H19" s="45">
        <f t="shared" si="0"/>
        <v>25388551.25</v>
      </c>
    </row>
    <row r="20" spans="1:8" ht="13" x14ac:dyDescent="0.3">
      <c r="A20" s="37">
        <f t="shared" si="2"/>
        <v>15</v>
      </c>
      <c r="E20" s="43">
        <f>SUM(E6:E19)</f>
        <v>1675347648</v>
      </c>
      <c r="G20" s="53" t="s">
        <v>212</v>
      </c>
      <c r="H20" s="46">
        <f>SUM(H6:H19)</f>
        <v>1304612283.4275272</v>
      </c>
    </row>
    <row r="22" spans="1:8" ht="13" x14ac:dyDescent="0.3">
      <c r="F22" s="41" t="s">
        <v>32</v>
      </c>
      <c r="G22" s="41" t="s">
        <v>33</v>
      </c>
    </row>
    <row r="23" spans="1:8" ht="13" x14ac:dyDescent="0.3">
      <c r="A23" s="37">
        <f>A20+1</f>
        <v>16</v>
      </c>
      <c r="E23" s="53" t="s">
        <v>213</v>
      </c>
      <c r="F23" s="46">
        <f>H20</f>
        <v>1304612283.4275272</v>
      </c>
      <c r="G23" s="39" t="str">
        <f>"Line "&amp;A20&amp;""</f>
        <v>Line 15</v>
      </c>
    </row>
    <row r="24" spans="1:8" ht="13" x14ac:dyDescent="0.3">
      <c r="A24" s="37">
        <f t="shared" ref="A24:A30" si="3">A23+1</f>
        <v>17</v>
      </c>
      <c r="E24" s="53" t="s">
        <v>214</v>
      </c>
      <c r="F24" s="49">
        <f>E10</f>
        <v>15607270</v>
      </c>
      <c r="G24" s="39" t="str">
        <f>"Line "&amp;A10&amp;""</f>
        <v>Line 5</v>
      </c>
    </row>
    <row r="25" spans="1:8" ht="13" x14ac:dyDescent="0.3">
      <c r="A25" s="37">
        <f t="shared" si="3"/>
        <v>18</v>
      </c>
      <c r="E25" s="53" t="s">
        <v>215</v>
      </c>
      <c r="F25" s="46">
        <f>F23-F24</f>
        <v>1289005013.4275272</v>
      </c>
      <c r="G25" s="39" t="str">
        <f>"Line "&amp;A23&amp;" - Line "&amp;A24&amp;""</f>
        <v>Line 16 - Line 17</v>
      </c>
    </row>
    <row r="26" spans="1:8" ht="13" x14ac:dyDescent="0.3">
      <c r="A26" s="37">
        <f t="shared" si="3"/>
        <v>19</v>
      </c>
      <c r="E26" s="53" t="s">
        <v>216</v>
      </c>
      <c r="F26" s="66">
        <v>6.5680595610890333E-2</v>
      </c>
      <c r="G26" s="39" t="s">
        <v>369</v>
      </c>
    </row>
    <row r="27" spans="1:8" ht="13" x14ac:dyDescent="0.3">
      <c r="A27" s="37">
        <f t="shared" si="3"/>
        <v>20</v>
      </c>
      <c r="E27" s="53" t="s">
        <v>218</v>
      </c>
      <c r="F27" s="46">
        <f>F25*F26</f>
        <v>84662617.027343675</v>
      </c>
      <c r="G27" s="39" t="str">
        <f>"Line "&amp;A25&amp;" * Line "&amp;A26&amp;""</f>
        <v>Line 18 * Line 19</v>
      </c>
    </row>
    <row r="28" spans="1:8" ht="13" x14ac:dyDescent="0.3">
      <c r="A28" s="37">
        <f t="shared" si="3"/>
        <v>21</v>
      </c>
      <c r="E28" s="53" t="s">
        <v>219</v>
      </c>
      <c r="F28" s="51">
        <v>0.18668038449535004</v>
      </c>
      <c r="G28" s="39" t="s">
        <v>370</v>
      </c>
    </row>
    <row r="29" spans="1:8" ht="13" x14ac:dyDescent="0.3">
      <c r="A29" s="37">
        <f t="shared" si="3"/>
        <v>22</v>
      </c>
      <c r="E29" s="53" t="s">
        <v>221</v>
      </c>
      <c r="F29" s="49">
        <f>H10*F28</f>
        <v>2913571.1645227419</v>
      </c>
      <c r="G29" s="39" t="str">
        <f>"Line "&amp;A10&amp;" Col 4 * Line "&amp;A28&amp;""</f>
        <v>Line 5 Col 4 * Line 21</v>
      </c>
    </row>
    <row r="30" spans="1:8" ht="13" x14ac:dyDescent="0.3">
      <c r="A30" s="37">
        <f t="shared" si="3"/>
        <v>23</v>
      </c>
      <c r="E30" s="53" t="s">
        <v>222</v>
      </c>
      <c r="F30" s="46">
        <f>F27+F29</f>
        <v>87576188.191866413</v>
      </c>
      <c r="G30" s="39" t="str">
        <f>"Line "&amp;A27&amp;" + Line "&amp;A29&amp;""</f>
        <v>Line 20 + Line 22</v>
      </c>
    </row>
    <row r="32" spans="1:8" ht="13" x14ac:dyDescent="0.3">
      <c r="B32" s="33" t="s">
        <v>223</v>
      </c>
      <c r="E32" s="73" t="s">
        <v>173</v>
      </c>
      <c r="F32" s="73" t="s">
        <v>174</v>
      </c>
      <c r="G32" s="73" t="s">
        <v>175</v>
      </c>
      <c r="H32" s="73" t="s">
        <v>176</v>
      </c>
    </row>
    <row r="33" spans="1:11" ht="13" x14ac:dyDescent="0.3">
      <c r="B33" s="33"/>
      <c r="C33" s="175" t="s">
        <v>286</v>
      </c>
      <c r="D33" s="176" t="s">
        <v>287</v>
      </c>
      <c r="E33" s="37" t="s">
        <v>224</v>
      </c>
      <c r="F33" s="73"/>
      <c r="G33" s="73"/>
      <c r="H33" s="73"/>
    </row>
    <row r="34" spans="1:11" ht="13" x14ac:dyDescent="0.3">
      <c r="E34" s="37" t="s">
        <v>225</v>
      </c>
    </row>
    <row r="35" spans="1:11" ht="13" x14ac:dyDescent="0.3">
      <c r="D35" s="37" t="s">
        <v>226</v>
      </c>
      <c r="E35" s="37" t="s">
        <v>227</v>
      </c>
      <c r="F35" s="37" t="s">
        <v>228</v>
      </c>
      <c r="G35" s="37"/>
      <c r="H35" s="37"/>
    </row>
    <row r="36" spans="1:11" ht="13.5" thickBot="1" x14ac:dyDescent="0.35">
      <c r="C36" s="41" t="s">
        <v>181</v>
      </c>
      <c r="D36" s="73" t="s">
        <v>229</v>
      </c>
      <c r="E36" s="41" t="s">
        <v>230</v>
      </c>
      <c r="F36" s="41" t="s">
        <v>231</v>
      </c>
      <c r="G36" s="41" t="s">
        <v>232</v>
      </c>
      <c r="H36" s="41" t="s">
        <v>233</v>
      </c>
      <c r="I36" s="41" t="s">
        <v>42</v>
      </c>
    </row>
    <row r="37" spans="1:11" ht="13.5" thickBot="1" x14ac:dyDescent="0.35">
      <c r="A37" s="37">
        <f>A30+1</f>
        <v>24</v>
      </c>
      <c r="C37" s="67">
        <v>920</v>
      </c>
      <c r="D37" s="141">
        <f>SUM(E37:H37)</f>
        <v>130478539.62525931</v>
      </c>
      <c r="E37" s="142">
        <v>-12904549.374740697</v>
      </c>
      <c r="F37" s="143"/>
      <c r="G37" s="43">
        <f>G58</f>
        <v>143383089</v>
      </c>
      <c r="H37" s="143"/>
      <c r="I37" s="39" t="s">
        <v>234</v>
      </c>
    </row>
    <row r="38" spans="1:11" ht="13.5" thickBot="1" x14ac:dyDescent="0.35">
      <c r="A38" s="37">
        <f>A37+1</f>
        <v>25</v>
      </c>
      <c r="C38" s="67">
        <v>921</v>
      </c>
      <c r="D38" s="141">
        <f t="shared" ref="D38:D50" si="4">SUM(E38:H38)</f>
        <v>2352483.834740696</v>
      </c>
      <c r="E38" s="142">
        <v>2352483.834740696</v>
      </c>
      <c r="F38" s="143"/>
      <c r="G38" s="143">
        <v>0</v>
      </c>
      <c r="H38" s="143"/>
      <c r="I38" s="39"/>
    </row>
    <row r="39" spans="1:11" ht="13.5" thickBot="1" x14ac:dyDescent="0.35">
      <c r="A39" s="37">
        <f t="shared" ref="A39:A50" si="5">A38+1</f>
        <v>26</v>
      </c>
      <c r="C39" s="67">
        <v>922</v>
      </c>
      <c r="D39" s="144">
        <f t="shared" si="4"/>
        <v>-77722052.712449998</v>
      </c>
      <c r="E39" s="143">
        <v>-10359095.712450001</v>
      </c>
      <c r="F39" s="143"/>
      <c r="G39" s="143">
        <v>-67362957</v>
      </c>
      <c r="H39" s="143"/>
      <c r="I39" s="39"/>
    </row>
    <row r="40" spans="1:11" ht="13.5" thickBot="1" x14ac:dyDescent="0.35">
      <c r="A40" s="37">
        <f t="shared" si="5"/>
        <v>27</v>
      </c>
      <c r="C40" s="67">
        <v>923</v>
      </c>
      <c r="D40" s="141">
        <f t="shared" si="4"/>
        <v>8991127.0778677836</v>
      </c>
      <c r="E40" s="142">
        <v>8991127.0778677836</v>
      </c>
      <c r="F40" s="143"/>
      <c r="G40" s="143">
        <v>0</v>
      </c>
      <c r="H40" s="143"/>
      <c r="I40" s="39"/>
      <c r="J40" s="41"/>
      <c r="K40" s="41"/>
    </row>
    <row r="41" spans="1:11" ht="13" x14ac:dyDescent="0.3">
      <c r="A41" s="37">
        <f t="shared" si="5"/>
        <v>28</v>
      </c>
      <c r="C41" s="67">
        <v>924</v>
      </c>
      <c r="D41" s="144">
        <f t="shared" si="4"/>
        <v>0</v>
      </c>
      <c r="E41" s="143">
        <v>0</v>
      </c>
      <c r="F41" s="143"/>
      <c r="G41" s="143">
        <v>0</v>
      </c>
      <c r="H41" s="143"/>
      <c r="I41" s="39"/>
      <c r="K41" s="43"/>
    </row>
    <row r="42" spans="1:11" ht="13" x14ac:dyDescent="0.3">
      <c r="A42" s="37">
        <f t="shared" si="5"/>
        <v>29</v>
      </c>
      <c r="C42" s="67">
        <v>925</v>
      </c>
      <c r="D42" s="144">
        <f t="shared" si="4"/>
        <v>170732327.52000001</v>
      </c>
      <c r="E42" s="143">
        <v>170732327.52000001</v>
      </c>
      <c r="F42" s="143"/>
      <c r="G42" s="143">
        <v>0</v>
      </c>
      <c r="H42" s="143"/>
      <c r="I42" s="39" t="s">
        <v>288</v>
      </c>
      <c r="K42" s="43"/>
    </row>
    <row r="43" spans="1:11" ht="13" x14ac:dyDescent="0.3">
      <c r="A43" s="37">
        <f t="shared" si="5"/>
        <v>30</v>
      </c>
      <c r="C43" s="67">
        <v>926</v>
      </c>
      <c r="D43" s="144">
        <f t="shared" si="4"/>
        <v>2802913.9770550355</v>
      </c>
      <c r="E43" s="143">
        <v>14692913.977055036</v>
      </c>
      <c r="F43" s="143"/>
      <c r="G43" s="143">
        <v>0</v>
      </c>
      <c r="H43" s="43">
        <f>E71</f>
        <v>-11890000</v>
      </c>
      <c r="I43" s="39" t="s">
        <v>235</v>
      </c>
      <c r="K43" s="43"/>
    </row>
    <row r="44" spans="1:11" ht="13" x14ac:dyDescent="0.3">
      <c r="A44" s="37">
        <f t="shared" si="5"/>
        <v>31</v>
      </c>
      <c r="C44" s="67">
        <v>927</v>
      </c>
      <c r="D44" s="144">
        <f t="shared" si="4"/>
        <v>104335318</v>
      </c>
      <c r="E44" s="43">
        <v>0</v>
      </c>
      <c r="F44" s="43">
        <f>E13</f>
        <v>104335318</v>
      </c>
      <c r="G44" s="43">
        <v>0</v>
      </c>
      <c r="H44" s="43">
        <v>0</v>
      </c>
      <c r="I44" s="39" t="s">
        <v>236</v>
      </c>
      <c r="K44" s="43"/>
    </row>
    <row r="45" spans="1:11" ht="13" x14ac:dyDescent="0.3">
      <c r="A45" s="37">
        <f t="shared" si="5"/>
        <v>32</v>
      </c>
      <c r="C45" s="67">
        <v>928</v>
      </c>
      <c r="D45" s="144">
        <f t="shared" si="4"/>
        <v>9979027.6099999994</v>
      </c>
      <c r="E45" s="143">
        <v>9979027.6099999994</v>
      </c>
      <c r="F45" s="143"/>
      <c r="G45" s="143">
        <v>0</v>
      </c>
      <c r="H45" s="143"/>
      <c r="I45" s="39"/>
      <c r="K45" s="43"/>
    </row>
    <row r="46" spans="1:11" ht="13.5" thickBot="1" x14ac:dyDescent="0.35">
      <c r="A46" s="37">
        <f t="shared" si="5"/>
        <v>33</v>
      </c>
      <c r="C46" s="67">
        <v>929</v>
      </c>
      <c r="D46" s="144">
        <f t="shared" si="4"/>
        <v>0</v>
      </c>
      <c r="E46" s="143">
        <v>0</v>
      </c>
      <c r="F46" s="143"/>
      <c r="G46" s="143">
        <v>0</v>
      </c>
      <c r="H46" s="143"/>
      <c r="I46" s="39"/>
      <c r="K46" s="43"/>
    </row>
    <row r="47" spans="1:11" ht="13.5" thickBot="1" x14ac:dyDescent="0.35">
      <c r="A47" s="37">
        <f t="shared" si="5"/>
        <v>34</v>
      </c>
      <c r="C47" s="67">
        <v>930.1</v>
      </c>
      <c r="D47" s="141">
        <f t="shared" si="4"/>
        <v>0</v>
      </c>
      <c r="E47" s="142">
        <v>0</v>
      </c>
      <c r="F47" s="143"/>
      <c r="G47" s="143">
        <v>0</v>
      </c>
      <c r="H47" s="143"/>
      <c r="I47" s="39"/>
      <c r="K47" s="43"/>
    </row>
    <row r="48" spans="1:11" ht="13" x14ac:dyDescent="0.3">
      <c r="A48" s="37">
        <f t="shared" si="5"/>
        <v>35</v>
      </c>
      <c r="C48" s="67">
        <v>930.2</v>
      </c>
      <c r="D48" s="144">
        <f t="shared" si="4"/>
        <v>5999239.1899999976</v>
      </c>
      <c r="E48" s="143">
        <v>5999239.1899999976</v>
      </c>
      <c r="F48" s="143"/>
      <c r="G48" s="143">
        <v>0</v>
      </c>
      <c r="H48" s="143"/>
      <c r="I48" s="39"/>
      <c r="J48" s="43"/>
    </row>
    <row r="49" spans="1:10" ht="13.5" thickBot="1" x14ac:dyDescent="0.35">
      <c r="A49" s="37">
        <f t="shared" si="5"/>
        <v>36</v>
      </c>
      <c r="C49" s="67">
        <v>931</v>
      </c>
      <c r="D49" s="144">
        <f t="shared" si="4"/>
        <v>12016812.699999999</v>
      </c>
      <c r="E49" s="143">
        <v>12016812.699999999</v>
      </c>
      <c r="F49" s="143"/>
      <c r="G49" s="143">
        <v>0</v>
      </c>
      <c r="H49" s="143"/>
      <c r="I49" s="39"/>
      <c r="J49" s="43"/>
    </row>
    <row r="50" spans="1:10" ht="13.5" thickBot="1" x14ac:dyDescent="0.35">
      <c r="A50" s="37">
        <f t="shared" si="5"/>
        <v>37</v>
      </c>
      <c r="C50" s="67">
        <v>935</v>
      </c>
      <c r="D50" s="141">
        <f t="shared" si="4"/>
        <v>769627.75</v>
      </c>
      <c r="E50" s="142">
        <v>769627.75</v>
      </c>
      <c r="F50" s="143"/>
      <c r="G50" s="143">
        <v>0</v>
      </c>
      <c r="H50" s="143"/>
      <c r="I50" s="39"/>
    </row>
    <row r="51" spans="1:10" ht="13" x14ac:dyDescent="0.3">
      <c r="A51" s="37"/>
      <c r="C51" s="67"/>
      <c r="D51" s="144"/>
      <c r="E51" s="43"/>
      <c r="F51" s="43"/>
      <c r="G51" s="43"/>
      <c r="H51" s="43"/>
      <c r="I51" s="39"/>
    </row>
    <row r="52" spans="1:10" ht="13" x14ac:dyDescent="0.3">
      <c r="B52" s="33" t="s">
        <v>237</v>
      </c>
    </row>
    <row r="53" spans="1:10" ht="13" x14ac:dyDescent="0.3">
      <c r="B53" s="33"/>
      <c r="C53" s="34" t="s">
        <v>238</v>
      </c>
      <c r="G53" s="37"/>
      <c r="H53" s="37"/>
    </row>
    <row r="54" spans="1:10" ht="13" x14ac:dyDescent="0.3">
      <c r="B54" s="33"/>
      <c r="C54" s="60" t="s">
        <v>239</v>
      </c>
      <c r="D54" s="60"/>
      <c r="E54" s="60"/>
      <c r="G54" s="37"/>
      <c r="H54" s="37"/>
    </row>
    <row r="55" spans="1:10" ht="13" x14ac:dyDescent="0.3">
      <c r="B55" s="33"/>
      <c r="C55" s="175" t="s">
        <v>286</v>
      </c>
      <c r="D55" s="176" t="s">
        <v>287</v>
      </c>
      <c r="G55" s="41" t="s">
        <v>32</v>
      </c>
      <c r="H55" s="41" t="s">
        <v>33</v>
      </c>
    </row>
    <row r="56" spans="1:10" ht="13" x14ac:dyDescent="0.3">
      <c r="A56" s="37"/>
      <c r="B56" s="37" t="s">
        <v>114</v>
      </c>
      <c r="C56" s="177"/>
      <c r="F56" s="53" t="s">
        <v>240</v>
      </c>
      <c r="G56" s="143">
        <v>148050456</v>
      </c>
      <c r="H56" s="39" t="s">
        <v>241</v>
      </c>
    </row>
    <row r="57" spans="1:10" ht="13" x14ac:dyDescent="0.3">
      <c r="A57" s="37"/>
      <c r="B57" s="37" t="s">
        <v>116</v>
      </c>
      <c r="F57" s="53" t="s">
        <v>242</v>
      </c>
      <c r="G57" s="49">
        <f>E61</f>
        <v>4667367</v>
      </c>
      <c r="H57" s="39" t="str">
        <f>"Note 2, "&amp;B61&amp;""</f>
        <v>Note 2, d</v>
      </c>
    </row>
    <row r="58" spans="1:10" ht="13" x14ac:dyDescent="0.3">
      <c r="A58" s="37"/>
      <c r="B58" s="37" t="s">
        <v>119</v>
      </c>
      <c r="F58" s="53" t="s">
        <v>243</v>
      </c>
      <c r="G58" s="43">
        <f>G56-G57</f>
        <v>143383089</v>
      </c>
    </row>
    <row r="59" spans="1:10" ht="13" x14ac:dyDescent="0.3">
      <c r="A59" s="37"/>
      <c r="C59" s="60" t="s">
        <v>244</v>
      </c>
      <c r="D59" s="60"/>
      <c r="E59" s="60"/>
      <c r="G59" s="43"/>
    </row>
    <row r="60" spans="1:10" ht="13" x14ac:dyDescent="0.3">
      <c r="A60" s="37"/>
      <c r="D60" s="40" t="s">
        <v>245</v>
      </c>
      <c r="E60" s="41" t="s">
        <v>32</v>
      </c>
      <c r="F60" s="41" t="s">
        <v>33</v>
      </c>
      <c r="G60" s="43"/>
    </row>
    <row r="61" spans="1:10" ht="13" x14ac:dyDescent="0.3">
      <c r="A61" s="37"/>
      <c r="B61" s="37" t="s">
        <v>121</v>
      </c>
      <c r="D61" s="34" t="s">
        <v>246</v>
      </c>
      <c r="E61" s="132">
        <v>4667367</v>
      </c>
      <c r="F61" s="39" t="s">
        <v>247</v>
      </c>
      <c r="G61" s="43"/>
    </row>
    <row r="62" spans="1:10" ht="13" x14ac:dyDescent="0.3">
      <c r="A62" s="37"/>
      <c r="B62" s="37" t="s">
        <v>125</v>
      </c>
      <c r="D62" s="34" t="s">
        <v>248</v>
      </c>
      <c r="E62" s="132">
        <v>2525320</v>
      </c>
      <c r="F62" s="39" t="s">
        <v>247</v>
      </c>
      <c r="G62" s="43"/>
      <c r="I62" s="133"/>
    </row>
    <row r="63" spans="1:10" ht="13" x14ac:dyDescent="0.3">
      <c r="A63" s="37"/>
      <c r="B63" s="37" t="s">
        <v>127</v>
      </c>
      <c r="D63" s="34" t="s">
        <v>249</v>
      </c>
      <c r="E63" s="134">
        <v>4239356</v>
      </c>
      <c r="F63" s="39" t="s">
        <v>247</v>
      </c>
      <c r="G63" s="43"/>
      <c r="I63" s="43"/>
    </row>
    <row r="64" spans="1:10" ht="13" x14ac:dyDescent="0.3">
      <c r="A64" s="37"/>
      <c r="B64" s="37" t="s">
        <v>129</v>
      </c>
      <c r="D64" s="53" t="s">
        <v>250</v>
      </c>
      <c r="E64" s="43">
        <f>SUM(E61:E63)</f>
        <v>11432043</v>
      </c>
      <c r="F64" s="39" t="str">
        <f>"Sum of "&amp;B61&amp;" to "&amp;B63&amp;""</f>
        <v>Sum of d to f</v>
      </c>
      <c r="G64" s="43"/>
    </row>
    <row r="66" spans="1:7" ht="13" x14ac:dyDescent="0.3">
      <c r="B66" s="33" t="s">
        <v>251</v>
      </c>
    </row>
    <row r="67" spans="1:7" ht="13" x14ac:dyDescent="0.3">
      <c r="E67" s="41" t="s">
        <v>32</v>
      </c>
      <c r="F67" s="40" t="s">
        <v>252</v>
      </c>
    </row>
    <row r="68" spans="1:7" ht="13" x14ac:dyDescent="0.3">
      <c r="A68" s="37"/>
      <c r="B68" s="37" t="s">
        <v>114</v>
      </c>
      <c r="D68" s="53" t="s">
        <v>253</v>
      </c>
      <c r="E68" s="145">
        <v>6329000</v>
      </c>
      <c r="F68" s="39" t="s">
        <v>254</v>
      </c>
    </row>
    <row r="69" spans="1:7" ht="13" x14ac:dyDescent="0.3">
      <c r="A69" s="37"/>
      <c r="B69" s="37" t="s">
        <v>116</v>
      </c>
      <c r="D69" s="53" t="s">
        <v>255</v>
      </c>
      <c r="E69" s="146">
        <v>18219000</v>
      </c>
      <c r="F69" s="39" t="s">
        <v>256</v>
      </c>
    </row>
    <row r="70" spans="1:7" ht="13" x14ac:dyDescent="0.3">
      <c r="A70" s="37"/>
      <c r="B70" s="37" t="s">
        <v>119</v>
      </c>
      <c r="D70" s="53" t="s">
        <v>257</v>
      </c>
      <c r="E70" s="147">
        <v>6329000</v>
      </c>
      <c r="F70" s="39" t="s">
        <v>241</v>
      </c>
    </row>
    <row r="71" spans="1:7" ht="13" x14ac:dyDescent="0.3">
      <c r="A71" s="37"/>
      <c r="B71" s="37" t="s">
        <v>121</v>
      </c>
      <c r="D71" s="53" t="s">
        <v>258</v>
      </c>
      <c r="E71" s="43">
        <f>E70-E69</f>
        <v>-11890000</v>
      </c>
      <c r="F71" s="39" t="str">
        <f>""&amp;B70&amp;" - "&amp;B69&amp;""</f>
        <v>c - b</v>
      </c>
    </row>
    <row r="72" spans="1:7" ht="13" x14ac:dyDescent="0.3">
      <c r="A72" s="37"/>
      <c r="B72" s="33" t="s">
        <v>259</v>
      </c>
      <c r="D72" s="53"/>
      <c r="E72" s="43"/>
      <c r="F72" s="39"/>
    </row>
    <row r="73" spans="1:7" ht="13" x14ac:dyDescent="0.3">
      <c r="A73" s="37"/>
      <c r="B73" s="33"/>
      <c r="C73" s="34" t="str">
        <f>"Amount in Line "&amp;A44&amp;", column 2 equals amount in Line "&amp;A13&amp;", column 1 because all Franchise Requirements Expenses are excluded"</f>
        <v>Amount in Line 31, column 2 equals amount in Line 8, column 1 because all Franchise Requirements Expenses are excluded</v>
      </c>
      <c r="D73" s="53"/>
      <c r="E73" s="43"/>
      <c r="F73" s="39"/>
    </row>
    <row r="74" spans="1:7" ht="13" x14ac:dyDescent="0.3">
      <c r="A74" s="37"/>
      <c r="B74" s="33"/>
      <c r="C74" s="34" t="s">
        <v>260</v>
      </c>
      <c r="D74" s="53"/>
      <c r="E74" s="43"/>
      <c r="F74" s="39"/>
    </row>
    <row r="76" spans="1:7" ht="13" x14ac:dyDescent="0.3">
      <c r="B76" s="33" t="s">
        <v>104</v>
      </c>
    </row>
    <row r="77" spans="1:7" x14ac:dyDescent="0.25">
      <c r="C77" s="34" t="str">
        <f>"1) Enter amounts of A&amp;G expenses from FERC Form 1 in Lines "&amp;A6&amp;" to "&amp;A19&amp;"."</f>
        <v>1) Enter amounts of A&amp;G expenses from FERC Form 1 in Lines 1 to 14.</v>
      </c>
    </row>
    <row r="78" spans="1:7" x14ac:dyDescent="0.25">
      <c r="C78" s="34" t="s">
        <v>261</v>
      </c>
      <c r="G78" s="34" t="str">
        <f>"Column 3, Line "&amp;A37&amp;""</f>
        <v>Column 3, Line 24</v>
      </c>
    </row>
    <row r="79" spans="1:7" x14ac:dyDescent="0.25">
      <c r="C79" s="39" t="str">
        <f>"is calculated in Note 2.  The PBOPs exclusion in Column 4, Line "&amp;A43&amp;" is calculated in Note 3."</f>
        <v>is calculated in Note 2.  The PBOPs exclusion in Column 4, Line 30 is calculated in Note 3.</v>
      </c>
    </row>
    <row r="80" spans="1:7" x14ac:dyDescent="0.25">
      <c r="C80" s="39" t="s">
        <v>262</v>
      </c>
    </row>
    <row r="81" spans="3:7" x14ac:dyDescent="0.25">
      <c r="C81" s="39" t="s">
        <v>263</v>
      </c>
      <c r="D81" s="53"/>
      <c r="E81" s="43"/>
      <c r="F81" s="39"/>
    </row>
    <row r="82" spans="3:7" x14ac:dyDescent="0.25">
      <c r="C82" s="39" t="s">
        <v>264</v>
      </c>
      <c r="D82" s="53"/>
      <c r="E82" s="43"/>
      <c r="F82" s="39"/>
    </row>
    <row r="83" spans="3:7" x14ac:dyDescent="0.25">
      <c r="C83" s="39" t="s">
        <v>265</v>
      </c>
    </row>
    <row r="84" spans="3:7" x14ac:dyDescent="0.25">
      <c r="C84" s="39" t="s">
        <v>266</v>
      </c>
    </row>
    <row r="85" spans="3:7" x14ac:dyDescent="0.25">
      <c r="C85" s="39" t="s">
        <v>267</v>
      </c>
    </row>
    <row r="86" spans="3:7" x14ac:dyDescent="0.25">
      <c r="C86" s="39" t="s">
        <v>268</v>
      </c>
    </row>
    <row r="87" spans="3:7" x14ac:dyDescent="0.25">
      <c r="C87" s="39" t="s">
        <v>269</v>
      </c>
    </row>
    <row r="88" spans="3:7" x14ac:dyDescent="0.25">
      <c r="C88" s="39" t="s">
        <v>270</v>
      </c>
      <c r="E88" s="148"/>
      <c r="F88" s="148"/>
      <c r="G88" s="148"/>
    </row>
    <row r="89" spans="3:7" x14ac:dyDescent="0.25">
      <c r="C89" s="149" t="s">
        <v>271</v>
      </c>
      <c r="E89" s="148"/>
      <c r="F89" s="148"/>
      <c r="G89" s="148"/>
    </row>
    <row r="90" spans="3:7" x14ac:dyDescent="0.25">
      <c r="C90" s="149" t="s">
        <v>272</v>
      </c>
      <c r="E90" s="148"/>
      <c r="F90" s="148"/>
      <c r="G90" s="148"/>
    </row>
    <row r="91" spans="3:7" x14ac:dyDescent="0.25">
      <c r="C91" s="149" t="s">
        <v>273</v>
      </c>
      <c r="E91" s="148"/>
      <c r="F91" s="148"/>
      <c r="G91" s="148"/>
    </row>
    <row r="92" spans="3:7" hidden="1" x14ac:dyDescent="0.25">
      <c r="C92" s="39" t="s">
        <v>274</v>
      </c>
      <c r="E92" s="148"/>
      <c r="F92" s="148"/>
      <c r="G92" s="148"/>
    </row>
    <row r="93" spans="3:7" hidden="1" x14ac:dyDescent="0.25">
      <c r="C93" s="149" t="s">
        <v>275</v>
      </c>
      <c r="E93" s="148"/>
      <c r="F93" s="148"/>
      <c r="G93" s="148"/>
    </row>
    <row r="94" spans="3:7" hidden="1" x14ac:dyDescent="0.25">
      <c r="C94" s="149" t="s">
        <v>276</v>
      </c>
      <c r="E94" s="148"/>
      <c r="F94" s="148"/>
      <c r="G94" s="148"/>
    </row>
    <row r="95" spans="3:7" hidden="1" x14ac:dyDescent="0.25">
      <c r="C95" s="149" t="s">
        <v>277</v>
      </c>
      <c r="E95" s="148"/>
      <c r="F95" s="148"/>
      <c r="G95" s="148"/>
    </row>
    <row r="96" spans="3:7" hidden="1" x14ac:dyDescent="0.25">
      <c r="C96" s="149" t="s">
        <v>278</v>
      </c>
      <c r="E96" s="148"/>
      <c r="F96" s="148"/>
      <c r="G96" s="148"/>
    </row>
    <row r="97" spans="3:10" ht="13" hidden="1" x14ac:dyDescent="0.3">
      <c r="C97" s="69" t="s">
        <v>279</v>
      </c>
      <c r="D97" s="60"/>
      <c r="E97" s="60"/>
      <c r="F97" s="60"/>
      <c r="G97" s="60"/>
      <c r="H97" s="60"/>
      <c r="I97" s="60"/>
      <c r="J97" s="60"/>
    </row>
    <row r="98" spans="3:10" hidden="1" x14ac:dyDescent="0.25">
      <c r="C98" s="34" t="s">
        <v>280</v>
      </c>
    </row>
    <row r="99" spans="3:10" hidden="1" x14ac:dyDescent="0.25">
      <c r="C99" s="69" t="s">
        <v>281</v>
      </c>
      <c r="D99" s="60"/>
      <c r="E99" s="60"/>
      <c r="F99" s="60"/>
      <c r="G99" s="60"/>
      <c r="H99" s="60"/>
      <c r="I99" s="60"/>
    </row>
    <row r="100" spans="3:10" hidden="1" x14ac:dyDescent="0.25">
      <c r="C100" s="34" t="str">
        <f>"4) Determine the PBOPs exclusion.  The authorized amount of PBOPs expense (line "&amp;B68&amp;") may only be revised"</f>
        <v>4) Determine the PBOPs exclusion.  The authorized amount of PBOPs expense (line a) may only be revised</v>
      </c>
    </row>
    <row r="101" spans="3:10" hidden="1" x14ac:dyDescent="0.25">
      <c r="C101" s="34" t="s">
        <v>282</v>
      </c>
    </row>
    <row r="102" spans="3:10" hidden="1" x14ac:dyDescent="0.25">
      <c r="C102" s="34" t="s">
        <v>283</v>
      </c>
    </row>
    <row r="103" spans="3:10" hidden="1" x14ac:dyDescent="0.25">
      <c r="C103" s="34" t="s">
        <v>284</v>
      </c>
      <c r="I103" s="63" t="s">
        <v>289</v>
      </c>
      <c r="J103" s="63"/>
    </row>
    <row r="104" spans="3:10" hidden="1" x14ac:dyDescent="0.25">
      <c r="C104" s="34" t="s">
        <v>285</v>
      </c>
    </row>
    <row r="105" spans="3:10" x14ac:dyDescent="0.25">
      <c r="C105" s="34" t="s">
        <v>290</v>
      </c>
    </row>
    <row r="106" spans="3:10" x14ac:dyDescent="0.25">
      <c r="C106" s="34" t="s">
        <v>291</v>
      </c>
    </row>
    <row r="107" spans="3:10" x14ac:dyDescent="0.25">
      <c r="C107" s="34" t="s">
        <v>292</v>
      </c>
    </row>
    <row r="108" spans="3:10" x14ac:dyDescent="0.25">
      <c r="C108" s="34" t="s">
        <v>293</v>
      </c>
    </row>
    <row r="109" spans="3:10" x14ac:dyDescent="0.25">
      <c r="C109" s="34" t="s">
        <v>294</v>
      </c>
    </row>
    <row r="110" spans="3:10" hidden="1" x14ac:dyDescent="0.25">
      <c r="C110" s="178"/>
    </row>
  </sheetData>
  <pageMargins left="0.75" right="0.75" top="1" bottom="1" header="0.5" footer="0.5"/>
  <pageSetup scale="68" orientation="landscape" cellComments="asDisplayed" r:id="rId1"/>
  <headerFooter alignWithMargins="0">
    <oddHeader>&amp;CSchedule 20
Administrative and General Expenses
(Revised 2019 
TO2021 True Up TRR)&amp;RTO2023 Draft Annual Update
Attachment 4
WP-Schedule 3-One Time Adj Prior Period
Page &amp;P of &amp;N</oddHeader>
    <oddFooter>&amp;R&amp;A</oddFooter>
  </headerFooter>
  <rowBreaks count="2" manualBreakCount="2">
    <brk id="51" max="10" man="1"/>
    <brk id="75"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dimension ref="A2:H19"/>
  <sheetViews>
    <sheetView zoomScaleNormal="100" workbookViewId="0">
      <selection activeCell="D18" sqref="D18"/>
    </sheetView>
  </sheetViews>
  <sheetFormatPr defaultColWidth="9.1796875" defaultRowHeight="14.5" x14ac:dyDescent="0.35"/>
  <cols>
    <col min="1" max="2" width="9.1796875" style="29"/>
    <col min="3" max="3" width="18.54296875" style="29" customWidth="1"/>
    <col min="4" max="4" width="14.26953125" style="29" bestFit="1" customWidth="1"/>
    <col min="5" max="5" width="12.54296875" style="29" customWidth="1"/>
    <col min="6" max="6" width="12" style="29" customWidth="1"/>
    <col min="7" max="7" width="13.81640625" style="29" customWidth="1"/>
    <col min="8" max="16384" width="9.1796875" style="29"/>
  </cols>
  <sheetData>
    <row r="2" spans="1:8" ht="21" customHeight="1" x14ac:dyDescent="0.35"/>
    <row r="3" spans="1:8" ht="15" customHeight="1" x14ac:dyDescent="0.35">
      <c r="A3" s="468" t="s">
        <v>346</v>
      </c>
      <c r="B3" s="468"/>
      <c r="C3" s="468"/>
      <c r="D3" s="468"/>
      <c r="E3" s="468"/>
      <c r="F3" s="468"/>
      <c r="G3" s="468"/>
    </row>
    <row r="4" spans="1:8" ht="15" customHeight="1" x14ac:dyDescent="0.35">
      <c r="A4" s="468"/>
      <c r="B4" s="468"/>
      <c r="C4" s="468"/>
      <c r="D4" s="468"/>
      <c r="E4" s="468"/>
      <c r="F4" s="468"/>
      <c r="G4" s="468"/>
    </row>
    <row r="5" spans="1:8" x14ac:dyDescent="0.35">
      <c r="A5" s="469" t="s">
        <v>31</v>
      </c>
      <c r="B5" s="469"/>
      <c r="C5" s="469"/>
      <c r="D5" s="90" t="s">
        <v>32</v>
      </c>
      <c r="E5" s="470" t="s">
        <v>33</v>
      </c>
      <c r="F5" s="470"/>
      <c r="G5" s="470"/>
      <c r="H5" s="30"/>
    </row>
    <row r="6" spans="1:8" ht="49.5" customHeight="1" x14ac:dyDescent="0.35">
      <c r="A6" s="471" t="s">
        <v>357</v>
      </c>
      <c r="B6" s="472"/>
      <c r="C6" s="473"/>
      <c r="D6" s="31">
        <f>'WP-2020 Sch4-TUTRR'!E73</f>
        <v>1237122830.6833048</v>
      </c>
      <c r="E6" s="442" t="s">
        <v>374</v>
      </c>
      <c r="F6" s="442"/>
      <c r="G6" s="442"/>
    </row>
    <row r="7" spans="1:8" ht="50.25" customHeight="1" x14ac:dyDescent="0.35">
      <c r="A7" s="471" t="s">
        <v>358</v>
      </c>
      <c r="B7" s="477"/>
      <c r="C7" s="478"/>
      <c r="D7" s="31">
        <f>'WP-2020 Sch4-TUTRR'!J71</f>
        <v>1233563218.0008955</v>
      </c>
      <c r="E7" s="479" t="s">
        <v>348</v>
      </c>
      <c r="F7" s="480"/>
      <c r="G7" s="480"/>
    </row>
    <row r="8" spans="1:8" x14ac:dyDescent="0.35">
      <c r="A8" s="474" t="s">
        <v>34</v>
      </c>
      <c r="B8" s="474"/>
      <c r="C8" s="475"/>
      <c r="D8" s="32">
        <f>D6-D7</f>
        <v>3559612.6824092865</v>
      </c>
      <c r="E8" s="476"/>
      <c r="F8" s="476"/>
      <c r="G8" s="476"/>
    </row>
    <row r="11" spans="1:8" x14ac:dyDescent="0.35">
      <c r="A11" s="136" t="s">
        <v>141</v>
      </c>
    </row>
    <row r="12" spans="1:8" ht="14.5" customHeight="1" x14ac:dyDescent="0.35">
      <c r="A12" s="467" t="s">
        <v>375</v>
      </c>
      <c r="B12" s="445"/>
      <c r="C12" s="445"/>
      <c r="D12" s="445"/>
      <c r="E12" s="445"/>
      <c r="F12" s="445"/>
      <c r="G12" s="445"/>
      <c r="H12" s="225"/>
    </row>
    <row r="13" spans="1:8" ht="28" customHeight="1" x14ac:dyDescent="0.35">
      <c r="A13" s="443" t="s">
        <v>376</v>
      </c>
      <c r="B13" s="444"/>
      <c r="C13" s="444"/>
      <c r="D13" s="444"/>
      <c r="E13" s="444"/>
      <c r="F13" s="444"/>
      <c r="G13" s="444"/>
      <c r="H13" s="135"/>
    </row>
    <row r="14" spans="1:8" x14ac:dyDescent="0.35">
      <c r="A14" s="421" t="s">
        <v>970</v>
      </c>
      <c r="B14" s="422"/>
      <c r="C14" s="422"/>
      <c r="D14" s="422"/>
      <c r="E14" s="422"/>
      <c r="F14" s="422"/>
      <c r="G14" s="422"/>
      <c r="H14" s="181"/>
    </row>
    <row r="15" spans="1:8" x14ac:dyDescent="0.35">
      <c r="A15" s="421" t="s">
        <v>971</v>
      </c>
      <c r="B15" s="422"/>
      <c r="C15" s="422"/>
      <c r="D15" s="422"/>
      <c r="E15" s="422"/>
      <c r="F15" s="422"/>
      <c r="G15" s="422"/>
      <c r="H15" s="30"/>
    </row>
    <row r="18" spans="1:1" x14ac:dyDescent="0.35">
      <c r="A18" s="395"/>
    </row>
    <row r="19" spans="1:1" x14ac:dyDescent="0.35">
      <c r="A19" s="395"/>
    </row>
  </sheetData>
  <mergeCells count="13">
    <mergeCell ref="A15:G15"/>
    <mergeCell ref="A12:G12"/>
    <mergeCell ref="A14:G14"/>
    <mergeCell ref="A3:G4"/>
    <mergeCell ref="A5:C5"/>
    <mergeCell ref="E5:G5"/>
    <mergeCell ref="A6:C6"/>
    <mergeCell ref="A8:C8"/>
    <mergeCell ref="E8:G8"/>
    <mergeCell ref="E6:G6"/>
    <mergeCell ref="A13:G13"/>
    <mergeCell ref="A7:C7"/>
    <mergeCell ref="E7:G7"/>
  </mergeCells>
  <phoneticPr fontId="69" type="noConversion"/>
  <pageMargins left="0.7" right="0.7" top="0.75" bottom="0.75" header="0.3" footer="0.3"/>
  <pageSetup orientation="portrait" r:id="rId1"/>
  <headerFooter>
    <oddHeader>&amp;RTO2023 Draft Annual Update
Attachment 4
WP-Schedule 3-One Time Adj Prior Period
Page &amp;P of &amp;N</oddHeader>
    <oddFooter>&amp;R&amp;A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7DCAB-1D46-408D-9D74-73B560C23B32}">
  <dimension ref="A1:P172"/>
  <sheetViews>
    <sheetView topLeftCell="A7" zoomScaleNormal="100" workbookViewId="0"/>
  </sheetViews>
  <sheetFormatPr defaultRowHeight="12.5" x14ac:dyDescent="0.25"/>
  <cols>
    <col min="1" max="2" width="4.54296875" style="34" customWidth="1"/>
    <col min="3" max="3" width="18.54296875" style="34" customWidth="1"/>
    <col min="4" max="4" width="10.453125" style="34" bestFit="1" customWidth="1"/>
    <col min="5" max="7" width="15.54296875" style="34" customWidth="1"/>
    <col min="8" max="8" width="24.54296875" style="34" customWidth="1"/>
    <col min="9" max="9" width="4.54296875" style="34" customWidth="1"/>
    <col min="10" max="10" width="15.54296875" style="34" customWidth="1"/>
    <col min="11" max="11" width="2.54296875" style="34" customWidth="1"/>
    <col min="12" max="12" width="14.453125" style="34" customWidth="1"/>
    <col min="13" max="13" width="4.453125" style="34" customWidth="1"/>
    <col min="14" max="14" width="15.453125" style="34" customWidth="1"/>
    <col min="15" max="16" width="8.7265625" style="34"/>
    <col min="17" max="17" width="3.54296875" style="34" customWidth="1"/>
    <col min="18" max="16384" width="8.7265625" style="34"/>
  </cols>
  <sheetData>
    <row r="1" spans="1:14" ht="13" x14ac:dyDescent="0.3">
      <c r="A1" s="33" t="s">
        <v>35</v>
      </c>
    </row>
    <row r="3" spans="1:14" ht="13" x14ac:dyDescent="0.3">
      <c r="B3" s="35" t="s">
        <v>36</v>
      </c>
      <c r="L3" s="37"/>
    </row>
    <row r="4" spans="1:14" ht="13" x14ac:dyDescent="0.3">
      <c r="B4" s="36"/>
      <c r="F4" s="37" t="s">
        <v>37</v>
      </c>
      <c r="G4" s="37"/>
      <c r="H4" s="37" t="s">
        <v>38</v>
      </c>
      <c r="L4" s="37"/>
      <c r="N4" s="37"/>
    </row>
    <row r="5" spans="1:14" ht="13" x14ac:dyDescent="0.3">
      <c r="A5" s="38" t="s">
        <v>39</v>
      </c>
      <c r="B5" s="39"/>
      <c r="C5" s="40" t="s">
        <v>40</v>
      </c>
      <c r="F5" s="41" t="s">
        <v>41</v>
      </c>
      <c r="G5" s="41" t="s">
        <v>42</v>
      </c>
      <c r="H5" s="41" t="s">
        <v>43</v>
      </c>
      <c r="J5" s="41" t="s">
        <v>32</v>
      </c>
      <c r="L5" s="41"/>
      <c r="N5" s="41"/>
    </row>
    <row r="6" spans="1:14" ht="13" x14ac:dyDescent="0.3">
      <c r="A6" s="37">
        <v>1</v>
      </c>
      <c r="C6" s="42" t="s">
        <v>44</v>
      </c>
      <c r="F6" s="34" t="s">
        <v>45</v>
      </c>
      <c r="H6" s="42" t="s">
        <v>301</v>
      </c>
      <c r="J6" s="43">
        <v>9465884220.0723038</v>
      </c>
      <c r="L6" s="43"/>
      <c r="N6" s="43"/>
    </row>
    <row r="7" spans="1:14" ht="13" x14ac:dyDescent="0.3">
      <c r="A7" s="37">
        <f>A6+1</f>
        <v>2</v>
      </c>
      <c r="C7" s="42" t="s">
        <v>46</v>
      </c>
      <c r="F7" s="34" t="s">
        <v>47</v>
      </c>
      <c r="H7" s="42" t="s">
        <v>302</v>
      </c>
      <c r="J7" s="43">
        <v>332996256.84061587</v>
      </c>
      <c r="L7" s="43"/>
      <c r="N7" s="43"/>
    </row>
    <row r="8" spans="1:14" ht="13" x14ac:dyDescent="0.3">
      <c r="A8" s="37">
        <f>A7+1</f>
        <v>3</v>
      </c>
      <c r="C8" s="42" t="s">
        <v>48</v>
      </c>
      <c r="F8" s="34" t="s">
        <v>47</v>
      </c>
      <c r="H8" s="34" t="s">
        <v>303</v>
      </c>
      <c r="J8" s="43">
        <v>9942155</v>
      </c>
      <c r="L8" s="43"/>
      <c r="N8" s="43"/>
    </row>
    <row r="9" spans="1:14" ht="13" x14ac:dyDescent="0.3">
      <c r="A9" s="37">
        <f>A8+1</f>
        <v>4</v>
      </c>
      <c r="C9" s="42" t="s">
        <v>49</v>
      </c>
      <c r="F9" s="34" t="s">
        <v>47</v>
      </c>
      <c r="H9" s="34" t="s">
        <v>304</v>
      </c>
      <c r="J9" s="43">
        <v>0</v>
      </c>
      <c r="L9" s="43"/>
      <c r="N9" s="43"/>
    </row>
    <row r="10" spans="1:14" ht="13" x14ac:dyDescent="0.3">
      <c r="A10" s="37"/>
      <c r="C10" s="42"/>
      <c r="J10" s="43"/>
      <c r="L10" s="43"/>
      <c r="N10" s="43"/>
    </row>
    <row r="11" spans="1:14" ht="13" x14ac:dyDescent="0.3">
      <c r="A11" s="37"/>
      <c r="C11" s="44" t="s">
        <v>50</v>
      </c>
      <c r="J11" s="43"/>
      <c r="L11" s="43"/>
      <c r="N11" s="43"/>
    </row>
    <row r="12" spans="1:14" ht="13" x14ac:dyDescent="0.3">
      <c r="A12" s="37">
        <f>A9+1</f>
        <v>5</v>
      </c>
      <c r="C12" s="39" t="s">
        <v>51</v>
      </c>
      <c r="F12" s="34" t="s">
        <v>45</v>
      </c>
      <c r="H12" s="42" t="s">
        <v>305</v>
      </c>
      <c r="J12" s="43">
        <v>26347686.132242225</v>
      </c>
      <c r="L12" s="43"/>
      <c r="N12" s="43"/>
    </row>
    <row r="13" spans="1:14" ht="13" x14ac:dyDescent="0.3">
      <c r="A13" s="37">
        <f>A12+1</f>
        <v>6</v>
      </c>
      <c r="C13" s="39" t="s">
        <v>52</v>
      </c>
      <c r="F13" s="34" t="s">
        <v>45</v>
      </c>
      <c r="H13" s="42" t="s">
        <v>306</v>
      </c>
      <c r="J13" s="43">
        <v>17295289.478393741</v>
      </c>
      <c r="L13" s="43"/>
      <c r="N13" s="43"/>
    </row>
    <row r="14" spans="1:14" ht="13" x14ac:dyDescent="0.3">
      <c r="A14" s="37">
        <f>A13+1</f>
        <v>7</v>
      </c>
      <c r="C14" s="39" t="s">
        <v>53</v>
      </c>
      <c r="F14" s="34" t="s">
        <v>144</v>
      </c>
      <c r="H14" s="34" t="s">
        <v>307</v>
      </c>
      <c r="J14" s="45">
        <v>38005256.852626793</v>
      </c>
      <c r="L14" s="49"/>
      <c r="N14" s="49"/>
    </row>
    <row r="15" spans="1:14" ht="13" x14ac:dyDescent="0.3">
      <c r="A15" s="37">
        <f>A14+1</f>
        <v>8</v>
      </c>
      <c r="C15" s="39" t="s">
        <v>54</v>
      </c>
      <c r="H15" s="34" t="str">
        <f>"Line "&amp;A12&amp;" + Line "&amp;A13&amp;" + Line "&amp;A14&amp;""</f>
        <v>Line 5 + Line 6 + Line 7</v>
      </c>
      <c r="J15" s="46">
        <f>SUM(J12:J14)</f>
        <v>81648232.463262767</v>
      </c>
      <c r="L15" s="43"/>
      <c r="N15" s="43"/>
    </row>
    <row r="16" spans="1:14" ht="13" x14ac:dyDescent="0.3">
      <c r="A16" s="37"/>
      <c r="C16" s="39"/>
      <c r="J16" s="43"/>
      <c r="L16" s="43"/>
      <c r="N16" s="43"/>
    </row>
    <row r="17" spans="1:14" ht="13" x14ac:dyDescent="0.3">
      <c r="A17" s="37"/>
      <c r="C17" s="47" t="s">
        <v>55</v>
      </c>
      <c r="J17" s="43"/>
      <c r="L17" s="43"/>
      <c r="N17" s="43"/>
    </row>
    <row r="18" spans="1:14" ht="13" x14ac:dyDescent="0.3">
      <c r="A18" s="37">
        <f>A15+1</f>
        <v>9</v>
      </c>
      <c r="C18" s="39" t="s">
        <v>56</v>
      </c>
      <c r="F18" s="34" t="s">
        <v>45</v>
      </c>
      <c r="G18" s="34" t="s">
        <v>57</v>
      </c>
      <c r="H18" s="42" t="s">
        <v>323</v>
      </c>
      <c r="J18" s="43">
        <v>-1985745438.4659734</v>
      </c>
      <c r="L18" s="43"/>
      <c r="N18" s="43"/>
    </row>
    <row r="19" spans="1:14" ht="13" x14ac:dyDescent="0.3">
      <c r="A19" s="37">
        <f>A18+1</f>
        <v>10</v>
      </c>
      <c r="C19" s="39" t="s">
        <v>58</v>
      </c>
      <c r="F19" s="34" t="s">
        <v>47</v>
      </c>
      <c r="G19" s="34" t="s">
        <v>57</v>
      </c>
      <c r="H19" s="42" t="s">
        <v>324</v>
      </c>
      <c r="J19" s="43">
        <v>0</v>
      </c>
      <c r="L19" s="43"/>
      <c r="N19" s="43"/>
    </row>
    <row r="20" spans="1:14" ht="13" x14ac:dyDescent="0.3">
      <c r="A20" s="37">
        <f>A19+1</f>
        <v>11</v>
      </c>
      <c r="C20" s="39" t="s">
        <v>59</v>
      </c>
      <c r="D20" s="48"/>
      <c r="F20" s="34" t="s">
        <v>47</v>
      </c>
      <c r="G20" s="34" t="s">
        <v>57</v>
      </c>
      <c r="H20" s="42" t="s">
        <v>325</v>
      </c>
      <c r="J20" s="49">
        <v>-123470471.96471</v>
      </c>
      <c r="L20" s="49"/>
      <c r="N20" s="49"/>
    </row>
    <row r="21" spans="1:14" ht="13" x14ac:dyDescent="0.3">
      <c r="A21" s="37">
        <f>A20+1</f>
        <v>12</v>
      </c>
      <c r="C21" s="50" t="s">
        <v>60</v>
      </c>
      <c r="D21" s="48"/>
      <c r="H21" s="34" t="str">
        <f>"Line "&amp;A18&amp;" + Line "&amp;A19&amp;" + Line "&amp;A20&amp;""</f>
        <v>Line 9 + Line 10 + Line 11</v>
      </c>
      <c r="J21" s="43">
        <f>SUM(J18:J20)</f>
        <v>-2109215910.4306834</v>
      </c>
      <c r="L21" s="43"/>
      <c r="N21" s="43"/>
    </row>
    <row r="22" spans="1:14" ht="13" x14ac:dyDescent="0.3">
      <c r="A22" s="37"/>
      <c r="J22" s="43"/>
      <c r="L22" s="43"/>
      <c r="N22" s="43"/>
    </row>
    <row r="23" spans="1:14" ht="13" x14ac:dyDescent="0.3">
      <c r="A23" s="37">
        <f>A21+1</f>
        <v>13</v>
      </c>
      <c r="C23" s="42" t="s">
        <v>61</v>
      </c>
      <c r="F23" s="42" t="s">
        <v>47</v>
      </c>
      <c r="H23" s="42" t="s">
        <v>367</v>
      </c>
      <c r="J23" s="43">
        <v>-1575979468.9464378</v>
      </c>
      <c r="L23" s="43"/>
      <c r="N23" s="43"/>
    </row>
    <row r="24" spans="1:14" ht="13" x14ac:dyDescent="0.3">
      <c r="A24" s="37">
        <f>A23+1</f>
        <v>14</v>
      </c>
      <c r="C24" s="42" t="s">
        <v>62</v>
      </c>
      <c r="F24" s="34" t="s">
        <v>45</v>
      </c>
      <c r="H24" s="42" t="s">
        <v>368</v>
      </c>
      <c r="J24" s="43">
        <v>792332585.2238462</v>
      </c>
      <c r="L24" s="43"/>
      <c r="N24" s="43"/>
    </row>
    <row r="25" spans="1:14" ht="13" x14ac:dyDescent="0.3">
      <c r="A25" s="37">
        <f>A24+1</f>
        <v>15</v>
      </c>
      <c r="C25" s="42" t="s">
        <v>63</v>
      </c>
      <c r="F25" s="34" t="s">
        <v>47</v>
      </c>
      <c r="G25" s="34" t="s">
        <v>57</v>
      </c>
      <c r="H25" s="42" t="s">
        <v>326</v>
      </c>
      <c r="J25" s="43">
        <v>-27970499.5</v>
      </c>
      <c r="L25" s="43"/>
      <c r="N25" s="43"/>
    </row>
    <row r="26" spans="1:14" ht="13" x14ac:dyDescent="0.3">
      <c r="A26" s="37">
        <f t="shared" ref="A26:A27" si="0">A25+1</f>
        <v>16</v>
      </c>
      <c r="C26" s="42" t="s">
        <v>64</v>
      </c>
      <c r="H26" s="34" t="s">
        <v>327</v>
      </c>
      <c r="J26" s="43">
        <v>-241192828.59585106</v>
      </c>
      <c r="L26" s="43"/>
      <c r="N26" s="43"/>
    </row>
    <row r="27" spans="1:14" ht="13" x14ac:dyDescent="0.3">
      <c r="A27" s="37">
        <f t="shared" si="0"/>
        <v>17</v>
      </c>
      <c r="C27" s="42" t="s">
        <v>65</v>
      </c>
      <c r="F27" s="34" t="s">
        <v>47</v>
      </c>
      <c r="H27" s="42" t="s">
        <v>328</v>
      </c>
      <c r="J27" s="43">
        <v>0</v>
      </c>
      <c r="L27" s="43"/>
      <c r="N27" s="43"/>
    </row>
    <row r="28" spans="1:14" ht="13" x14ac:dyDescent="0.3">
      <c r="A28" s="37"/>
      <c r="C28" s="42"/>
      <c r="N28" s="43"/>
    </row>
    <row r="29" spans="1:14" ht="13" x14ac:dyDescent="0.3">
      <c r="A29" s="37">
        <f>A27+1</f>
        <v>18</v>
      </c>
      <c r="C29" s="34" t="s">
        <v>66</v>
      </c>
      <c r="H29" s="34" t="str">
        <f>"L"&amp;A6&amp;"+L"&amp;A7&amp;"+L"&amp;A8&amp;"+L"&amp;A9&amp;"+L"&amp;A15&amp;"+L"&amp;A21&amp;"+"</f>
        <v>L1+L2+L3+L4+L8+L12+</v>
      </c>
      <c r="J29" s="46">
        <f>J6+ J7+J8+J9+J15+J21+J23+J24+J25+J26+J27</f>
        <v>6728444742.1270571</v>
      </c>
      <c r="L29" s="43"/>
      <c r="N29" s="43"/>
    </row>
    <row r="30" spans="1:14" ht="13" x14ac:dyDescent="0.3">
      <c r="A30" s="37"/>
      <c r="H30" s="34" t="str">
        <f>"L"&amp;A23&amp;"+L"&amp;A24&amp;"+L"&amp;A25&amp;"+L"&amp;A26&amp;"+L"&amp;A27&amp;""</f>
        <v>L13+L14+L15+L16+L17</v>
      </c>
      <c r="J30" s="43"/>
      <c r="L30" s="43"/>
      <c r="N30" s="43"/>
    </row>
    <row r="31" spans="1:14" ht="13" x14ac:dyDescent="0.3">
      <c r="A31" s="37"/>
      <c r="B31" s="33" t="s">
        <v>67</v>
      </c>
      <c r="J31" s="43"/>
      <c r="L31" s="43"/>
      <c r="N31" s="43"/>
    </row>
    <row r="32" spans="1:14" ht="13" x14ac:dyDescent="0.3">
      <c r="A32" s="38" t="s">
        <v>39</v>
      </c>
      <c r="C32" s="33"/>
      <c r="J32" s="43"/>
      <c r="L32" s="43"/>
      <c r="N32" s="43"/>
    </row>
    <row r="33" spans="1:14" ht="13" x14ac:dyDescent="0.3">
      <c r="A33" s="37">
        <f>A29+1</f>
        <v>19</v>
      </c>
      <c r="C33" s="34" t="s">
        <v>68</v>
      </c>
      <c r="G33" s="34" t="s">
        <v>69</v>
      </c>
      <c r="H33" s="34" t="str">
        <f>"Instruction 1, Line "&amp;B98&amp;""</f>
        <v>Instruction 1, Line j</v>
      </c>
      <c r="J33" s="51">
        <f>E98</f>
        <v>7.3079585284127238E-2</v>
      </c>
      <c r="L33" s="51"/>
      <c r="M33" s="51"/>
      <c r="N33" s="43"/>
    </row>
    <row r="34" spans="1:14" ht="13" x14ac:dyDescent="0.3">
      <c r="A34" s="37">
        <f>A33+1</f>
        <v>20</v>
      </c>
      <c r="C34" s="34" t="s">
        <v>70</v>
      </c>
      <c r="H34" s="34" t="str">
        <f>"Line "&amp;A29&amp;" * Line "&amp;A33&amp;""</f>
        <v>Line 18 * Line 19</v>
      </c>
      <c r="J34" s="46">
        <f>J29*J33</f>
        <v>491711951.36181176</v>
      </c>
      <c r="L34" s="43"/>
      <c r="N34" s="43"/>
    </row>
    <row r="35" spans="1:14" ht="13" x14ac:dyDescent="0.3">
      <c r="A35" s="37"/>
      <c r="B35" s="39"/>
      <c r="N35" s="43"/>
    </row>
    <row r="36" spans="1:14" ht="13" x14ac:dyDescent="0.3">
      <c r="A36" s="37"/>
      <c r="B36" s="33" t="s">
        <v>71</v>
      </c>
      <c r="N36" s="43"/>
    </row>
    <row r="37" spans="1:14" ht="13" x14ac:dyDescent="0.3">
      <c r="A37" s="37"/>
      <c r="B37" s="39"/>
      <c r="N37" s="43"/>
    </row>
    <row r="38" spans="1:14" ht="13" x14ac:dyDescent="0.3">
      <c r="A38" s="37">
        <f>A34+1</f>
        <v>21</v>
      </c>
      <c r="C38" s="34" t="s">
        <v>72</v>
      </c>
      <c r="J38" s="46">
        <f>(((J29*J42) + J45) *(J43/(1-J43)))+(J44/(1-J43))</f>
        <v>115795801.0115958</v>
      </c>
      <c r="L38" s="43"/>
      <c r="N38" s="43"/>
    </row>
    <row r="39" spans="1:14" ht="13" x14ac:dyDescent="0.3">
      <c r="A39" s="37"/>
      <c r="N39" s="43"/>
    </row>
    <row r="40" spans="1:14" ht="13" x14ac:dyDescent="0.3">
      <c r="A40" s="37"/>
      <c r="D40" s="34" t="s">
        <v>73</v>
      </c>
      <c r="N40" s="43"/>
    </row>
    <row r="41" spans="1:14" ht="13" x14ac:dyDescent="0.3">
      <c r="A41" s="37">
        <f>A38+1</f>
        <v>22</v>
      </c>
      <c r="D41" s="39" t="s">
        <v>74</v>
      </c>
      <c r="H41" s="34" t="str">
        <f>"Line "&amp;A29&amp;""</f>
        <v>Line 18</v>
      </c>
      <c r="J41" s="46">
        <f>J29</f>
        <v>6728444742.1270571</v>
      </c>
      <c r="L41" s="43"/>
      <c r="N41" s="43"/>
    </row>
    <row r="42" spans="1:14" ht="13" x14ac:dyDescent="0.3">
      <c r="A42" s="37">
        <f>A41+1</f>
        <v>23</v>
      </c>
      <c r="D42" s="39" t="s">
        <v>75</v>
      </c>
      <c r="G42" s="34" t="s">
        <v>76</v>
      </c>
      <c r="H42" s="34" t="str">
        <f>"Instruction 1, Line "&amp;B103&amp;""</f>
        <v>Instruction 1, Line k</v>
      </c>
      <c r="J42" s="51">
        <f>E103</f>
        <v>5.2391182605339905E-2</v>
      </c>
      <c r="L42" s="51"/>
      <c r="M42" s="51"/>
      <c r="N42" s="43"/>
    </row>
    <row r="43" spans="1:14" ht="13" x14ac:dyDescent="0.3">
      <c r="A43" s="37">
        <f>A42+1</f>
        <v>24</v>
      </c>
      <c r="D43" s="39" t="s">
        <v>77</v>
      </c>
      <c r="H43" s="34" t="s">
        <v>308</v>
      </c>
      <c r="J43" s="51">
        <v>0.27983599999999997</v>
      </c>
      <c r="L43" s="51"/>
      <c r="M43" s="51"/>
      <c r="N43" s="43"/>
    </row>
    <row r="44" spans="1:14" ht="13" x14ac:dyDescent="0.3">
      <c r="A44" s="37">
        <f>A43+1</f>
        <v>25</v>
      </c>
      <c r="D44" s="39" t="s">
        <v>78</v>
      </c>
      <c r="H44" s="34" t="s">
        <v>309</v>
      </c>
      <c r="J44" s="43">
        <v>-16481293</v>
      </c>
      <c r="L44" s="43"/>
      <c r="N44" s="43"/>
    </row>
    <row r="45" spans="1:14" ht="13" x14ac:dyDescent="0.3">
      <c r="A45" s="37">
        <f>A44+1</f>
        <v>26</v>
      </c>
      <c r="D45" s="39" t="s">
        <v>79</v>
      </c>
      <c r="H45" s="34" t="s">
        <v>310</v>
      </c>
      <c r="J45" s="43">
        <v>4388079</v>
      </c>
      <c r="L45" s="43"/>
      <c r="N45" s="43"/>
    </row>
    <row r="46" spans="1:14" ht="13" x14ac:dyDescent="0.3">
      <c r="A46" s="37"/>
      <c r="B46" s="39"/>
      <c r="N46" s="43"/>
    </row>
    <row r="47" spans="1:14" ht="13" x14ac:dyDescent="0.3">
      <c r="A47" s="37"/>
      <c r="B47" s="33" t="s">
        <v>80</v>
      </c>
      <c r="N47" s="43"/>
    </row>
    <row r="48" spans="1:14" ht="13" x14ac:dyDescent="0.3">
      <c r="A48" s="37">
        <f>A45+1</f>
        <v>27</v>
      </c>
      <c r="B48" s="39"/>
      <c r="C48" s="34" t="s">
        <v>81</v>
      </c>
      <c r="H48" s="34" t="s">
        <v>311</v>
      </c>
      <c r="J48" s="43">
        <v>126658024.02530475</v>
      </c>
      <c r="L48" s="43"/>
      <c r="N48" s="43"/>
    </row>
    <row r="49" spans="1:14" ht="13" x14ac:dyDescent="0.3">
      <c r="A49" s="37">
        <f t="shared" ref="A49:A59" si="1">A48+1</f>
        <v>28</v>
      </c>
      <c r="B49" s="39"/>
      <c r="C49" s="34" t="s">
        <v>82</v>
      </c>
      <c r="H49" s="34" t="s">
        <v>312</v>
      </c>
      <c r="J49" s="46">
        <v>177384030.79570961</v>
      </c>
      <c r="L49" s="43"/>
      <c r="N49" s="43"/>
    </row>
    <row r="50" spans="1:14" ht="13" x14ac:dyDescent="0.3">
      <c r="A50" s="37">
        <f>A49+1</f>
        <v>29</v>
      </c>
      <c r="B50" s="39"/>
      <c r="C50" s="34" t="s">
        <v>83</v>
      </c>
      <c r="H50" s="34" t="s">
        <v>313</v>
      </c>
      <c r="J50" s="43">
        <v>2371003</v>
      </c>
      <c r="L50" s="43"/>
      <c r="N50" s="43"/>
    </row>
    <row r="51" spans="1:14" ht="13" x14ac:dyDescent="0.3">
      <c r="A51" s="37">
        <f t="shared" si="1"/>
        <v>30</v>
      </c>
      <c r="B51" s="39"/>
      <c r="C51" s="34" t="s">
        <v>84</v>
      </c>
      <c r="H51" s="34" t="s">
        <v>314</v>
      </c>
      <c r="J51" s="43">
        <v>274400278.25405085</v>
      </c>
      <c r="L51" s="43"/>
      <c r="N51" s="43"/>
    </row>
    <row r="52" spans="1:14" ht="13" x14ac:dyDescent="0.3">
      <c r="A52" s="37">
        <f t="shared" si="1"/>
        <v>31</v>
      </c>
      <c r="B52" s="39"/>
      <c r="C52" s="34" t="s">
        <v>85</v>
      </c>
      <c r="H52" s="34" t="s">
        <v>315</v>
      </c>
      <c r="J52" s="43">
        <v>0</v>
      </c>
      <c r="L52" s="43"/>
      <c r="N52" s="43"/>
    </row>
    <row r="53" spans="1:14" ht="13" x14ac:dyDescent="0.3">
      <c r="A53" s="37">
        <f t="shared" si="1"/>
        <v>32</v>
      </c>
      <c r="B53" s="39"/>
      <c r="C53" s="34" t="s">
        <v>86</v>
      </c>
      <c r="H53" s="34" t="s">
        <v>316</v>
      </c>
      <c r="J53" s="43">
        <v>71871386.440174356</v>
      </c>
      <c r="L53" s="43"/>
      <c r="N53" s="43"/>
    </row>
    <row r="54" spans="1:14" ht="13" x14ac:dyDescent="0.3">
      <c r="A54" s="37">
        <f t="shared" si="1"/>
        <v>33</v>
      </c>
      <c r="B54" s="39"/>
      <c r="C54" s="34" t="s">
        <v>87</v>
      </c>
      <c r="H54" s="34" t="s">
        <v>317</v>
      </c>
      <c r="J54" s="46">
        <v>-48068461.467533454</v>
      </c>
      <c r="L54" s="43"/>
      <c r="N54" s="43"/>
    </row>
    <row r="55" spans="1:14" ht="13" x14ac:dyDescent="0.3">
      <c r="A55" s="37">
        <f t="shared" si="1"/>
        <v>34</v>
      </c>
      <c r="B55" s="39"/>
      <c r="C55" s="34" t="s">
        <v>88</v>
      </c>
      <c r="H55" s="34" t="str">
        <f>"Line "&amp;A34&amp;""</f>
        <v>Line 20</v>
      </c>
      <c r="J55" s="46">
        <f>J34</f>
        <v>491711951.36181176</v>
      </c>
      <c r="L55" s="43"/>
      <c r="N55" s="43"/>
    </row>
    <row r="56" spans="1:14" ht="13" x14ac:dyDescent="0.3">
      <c r="A56" s="37">
        <f t="shared" si="1"/>
        <v>35</v>
      </c>
      <c r="B56" s="39"/>
      <c r="C56" s="34" t="s">
        <v>89</v>
      </c>
      <c r="H56" s="34" t="str">
        <f>"Line "&amp;A38&amp;""</f>
        <v>Line 21</v>
      </c>
      <c r="J56" s="46">
        <f>J38</f>
        <v>115795801.0115958</v>
      </c>
      <c r="L56" s="43"/>
      <c r="N56" s="43"/>
    </row>
    <row r="57" spans="1:14" ht="13" x14ac:dyDescent="0.3">
      <c r="A57" s="37">
        <f t="shared" si="1"/>
        <v>36</v>
      </c>
      <c r="B57" s="39"/>
      <c r="C57" s="34" t="s">
        <v>90</v>
      </c>
      <c r="H57" s="34" t="s">
        <v>318</v>
      </c>
      <c r="J57" s="43">
        <v>0</v>
      </c>
      <c r="L57" s="43"/>
      <c r="N57" s="43"/>
    </row>
    <row r="58" spans="1:14" ht="13" x14ac:dyDescent="0.3">
      <c r="A58" s="37">
        <f t="shared" si="1"/>
        <v>37</v>
      </c>
      <c r="B58" s="39"/>
      <c r="C58" s="52" t="s">
        <v>91</v>
      </c>
      <c r="D58" s="52"/>
      <c r="H58" s="34" t="s">
        <v>319</v>
      </c>
      <c r="J58" s="49">
        <v>0</v>
      </c>
      <c r="L58" s="49"/>
      <c r="N58" s="49"/>
    </row>
    <row r="59" spans="1:14" ht="13" x14ac:dyDescent="0.3">
      <c r="A59" s="37">
        <f t="shared" si="1"/>
        <v>38</v>
      </c>
      <c r="B59" s="39"/>
      <c r="C59" s="34" t="s">
        <v>92</v>
      </c>
      <c r="H59" s="34" t="str">
        <f>"Sum Line "&amp;A48&amp;" to Line "&amp;A58&amp;""</f>
        <v>Sum Line 27 to Line 37</v>
      </c>
      <c r="J59" s="46">
        <f>SUM(J48:J58)</f>
        <v>1212124013.4211135</v>
      </c>
      <c r="L59" s="43"/>
      <c r="N59" s="43"/>
    </row>
    <row r="60" spans="1:14" ht="13" x14ac:dyDescent="0.3">
      <c r="A60" s="37"/>
      <c r="B60" s="39"/>
      <c r="J60" s="43"/>
      <c r="L60" s="43"/>
      <c r="N60" s="43"/>
    </row>
    <row r="61" spans="1:14" ht="12.75" customHeight="1" x14ac:dyDescent="0.3">
      <c r="A61" s="37">
        <f>A59+1</f>
        <v>39</v>
      </c>
      <c r="B61" s="39"/>
      <c r="C61" s="34" t="s">
        <v>93</v>
      </c>
      <c r="H61" s="34" t="s">
        <v>329</v>
      </c>
      <c r="J61" s="43">
        <v>25971819.935195774</v>
      </c>
      <c r="L61" s="43"/>
      <c r="N61" s="43"/>
    </row>
    <row r="62" spans="1:14" ht="12.75" customHeight="1" x14ac:dyDescent="0.3">
      <c r="A62" s="37" t="s">
        <v>148</v>
      </c>
      <c r="B62" s="39"/>
      <c r="C62" s="34" t="s">
        <v>149</v>
      </c>
      <c r="H62" s="34" t="s">
        <v>150</v>
      </c>
      <c r="J62" s="43">
        <f>-J61</f>
        <v>-25971819.935195774</v>
      </c>
      <c r="L62" s="43"/>
      <c r="N62" s="43"/>
    </row>
    <row r="63" spans="1:14" ht="13" x14ac:dyDescent="0.3">
      <c r="A63" s="37"/>
      <c r="B63" s="39"/>
      <c r="J63" s="43"/>
      <c r="L63" s="43"/>
      <c r="N63" s="43"/>
    </row>
    <row r="64" spans="1:14" ht="13" x14ac:dyDescent="0.3">
      <c r="A64" s="37">
        <f>A61+1</f>
        <v>40</v>
      </c>
      <c r="B64" s="39"/>
      <c r="C64" s="34" t="s">
        <v>94</v>
      </c>
      <c r="H64" s="34" t="str">
        <f>"Sum of Lines "&amp;A59&amp;" to "&amp;A62&amp;""</f>
        <v>Sum of Lines 38 to 39a</v>
      </c>
      <c r="J64" s="46">
        <f>J59+J61+J62</f>
        <v>1212124013.4211135</v>
      </c>
      <c r="L64" s="43"/>
      <c r="N64" s="43"/>
    </row>
    <row r="65" spans="1:16" ht="13" x14ac:dyDescent="0.3">
      <c r="A65" s="37"/>
      <c r="B65" s="39"/>
      <c r="J65" s="43"/>
    </row>
    <row r="66" spans="1:16" ht="13" x14ac:dyDescent="0.3">
      <c r="A66" s="37"/>
      <c r="B66" s="35" t="s">
        <v>95</v>
      </c>
      <c r="J66" s="43"/>
      <c r="N66" s="37"/>
      <c r="P66" s="179"/>
    </row>
    <row r="67" spans="1:16" ht="13.5" thickBot="1" x14ac:dyDescent="0.35">
      <c r="A67" s="38" t="s">
        <v>39</v>
      </c>
      <c r="B67" s="42"/>
      <c r="G67" s="40" t="s">
        <v>96</v>
      </c>
      <c r="N67" s="41"/>
    </row>
    <row r="68" spans="1:16" ht="13" x14ac:dyDescent="0.3">
      <c r="A68" s="37">
        <f>A64+1</f>
        <v>41</v>
      </c>
      <c r="B68" s="42"/>
      <c r="D68" s="53" t="s">
        <v>97</v>
      </c>
      <c r="E68" s="46">
        <f>J64</f>
        <v>1212124013.4211135</v>
      </c>
      <c r="G68" s="34" t="str">
        <f>"Line "&amp;A64&amp;""</f>
        <v>Line 40</v>
      </c>
      <c r="J68" s="54" t="s">
        <v>98</v>
      </c>
      <c r="N68" s="43"/>
    </row>
    <row r="69" spans="1:16" ht="13" x14ac:dyDescent="0.3">
      <c r="A69" s="37">
        <f>A68+1</f>
        <v>42</v>
      </c>
      <c r="B69" s="42"/>
      <c r="D69" s="53" t="s">
        <v>99</v>
      </c>
      <c r="E69" s="55">
        <v>9.2480778683301876E-3</v>
      </c>
      <c r="G69" s="34" t="s">
        <v>330</v>
      </c>
      <c r="J69" s="56" t="s">
        <v>347</v>
      </c>
      <c r="N69" s="51"/>
    </row>
    <row r="70" spans="1:16" ht="13" x14ac:dyDescent="0.3">
      <c r="A70" s="37">
        <f>A69+1</f>
        <v>43</v>
      </c>
      <c r="B70" s="42"/>
      <c r="D70" s="53" t="s">
        <v>100</v>
      </c>
      <c r="E70" s="46">
        <f>E68*E69</f>
        <v>11209817.262191363</v>
      </c>
      <c r="G70" s="34" t="str">
        <f>"Line "&amp;A68&amp;" * Line "&amp;A69&amp;""</f>
        <v>Line 41 * Line 42</v>
      </c>
      <c r="J70" s="57">
        <f>E73</f>
        <v>1237122830.6833048</v>
      </c>
      <c r="N70" s="43"/>
    </row>
    <row r="71" spans="1:16" ht="37.5" customHeight="1" x14ac:dyDescent="0.3">
      <c r="A71" s="37">
        <f>A70+1</f>
        <v>44</v>
      </c>
      <c r="B71" s="42"/>
      <c r="D71" s="53" t="s">
        <v>101</v>
      </c>
      <c r="E71" s="55">
        <v>1.1375898709474256E-2</v>
      </c>
      <c r="G71" s="34" t="s">
        <v>330</v>
      </c>
      <c r="J71" s="58">
        <v>1233563218.0008955</v>
      </c>
      <c r="K71" s="460" t="s">
        <v>348</v>
      </c>
      <c r="L71" s="461"/>
      <c r="M71" s="461"/>
      <c r="N71" s="51"/>
    </row>
    <row r="72" spans="1:16" ht="13.5" thickBot="1" x14ac:dyDescent="0.35">
      <c r="A72" s="37">
        <f>A71+1</f>
        <v>45</v>
      </c>
      <c r="B72" s="42"/>
      <c r="D72" s="53" t="s">
        <v>102</v>
      </c>
      <c r="E72" s="46">
        <f>E68*E71</f>
        <v>13789000</v>
      </c>
      <c r="G72" s="34" t="str">
        <f>"Line "&amp;A68&amp;" * Line "&amp;A71&amp;""</f>
        <v>Line 41 * Line 44</v>
      </c>
      <c r="J72" s="59">
        <f>J70-J71</f>
        <v>3559612.6824092865</v>
      </c>
      <c r="N72" s="43"/>
    </row>
    <row r="73" spans="1:16" ht="13" x14ac:dyDescent="0.3">
      <c r="A73" s="37">
        <f>A72+1</f>
        <v>46</v>
      </c>
      <c r="B73" s="42"/>
      <c r="D73" s="53" t="s">
        <v>103</v>
      </c>
      <c r="E73" s="46">
        <f>E68+E70+E72</f>
        <v>1237122830.6833048</v>
      </c>
      <c r="G73" s="34" t="str">
        <f>"L "&amp;A68&amp;" + L "&amp;A70&amp;" + L "&amp;A72&amp;""</f>
        <v>L 41 + L 43 + L 45</v>
      </c>
      <c r="L73" s="43"/>
      <c r="N73" s="43"/>
    </row>
    <row r="74" spans="1:16" ht="13" x14ac:dyDescent="0.3">
      <c r="B74" s="35" t="s">
        <v>104</v>
      </c>
      <c r="D74" s="53"/>
      <c r="E74" s="43"/>
      <c r="H74" s="60"/>
      <c r="L74" s="180">
        <v>3605737.8565547466</v>
      </c>
      <c r="M74" s="34" t="s">
        <v>341</v>
      </c>
    </row>
    <row r="75" spans="1:16" ht="24.5" customHeight="1" x14ac:dyDescent="0.3">
      <c r="A75" s="37"/>
      <c r="B75" s="34" t="s">
        <v>145</v>
      </c>
      <c r="C75" s="35"/>
      <c r="D75" s="53"/>
      <c r="E75" s="43"/>
      <c r="L75" s="91">
        <v>-5030.6104044914246</v>
      </c>
      <c r="M75" s="465" t="s">
        <v>349</v>
      </c>
      <c r="N75" s="465"/>
      <c r="O75" s="465"/>
      <c r="P75" s="465"/>
    </row>
    <row r="76" spans="1:16" ht="30.5" customHeight="1" x14ac:dyDescent="0.3">
      <c r="A76" s="37"/>
      <c r="B76" s="34" t="s">
        <v>146</v>
      </c>
      <c r="C76" s="35"/>
      <c r="D76" s="53"/>
      <c r="E76" s="43"/>
      <c r="L76" s="91">
        <v>-854.73677349090576</v>
      </c>
      <c r="M76" s="465" t="s">
        <v>350</v>
      </c>
      <c r="N76" s="465"/>
      <c r="O76" s="465"/>
      <c r="P76" s="465"/>
    </row>
    <row r="77" spans="1:16" ht="13" x14ac:dyDescent="0.3">
      <c r="A77" s="37"/>
      <c r="B77" s="42" t="s">
        <v>105</v>
      </c>
      <c r="D77" s="53"/>
      <c r="E77" s="43"/>
      <c r="L77" s="137">
        <v>-40239.826967477798</v>
      </c>
      <c r="M77" s="44" t="s">
        <v>351</v>
      </c>
    </row>
    <row r="78" spans="1:16" ht="13" x14ac:dyDescent="0.3">
      <c r="A78" s="37"/>
      <c r="B78" s="42" t="s">
        <v>106</v>
      </c>
      <c r="D78" s="53"/>
      <c r="E78" s="43"/>
      <c r="L78" s="91">
        <f>SUM(L74:L77)</f>
        <v>3559612.6824092865</v>
      </c>
      <c r="M78" s="34" t="s">
        <v>352</v>
      </c>
    </row>
    <row r="79" spans="1:16" ht="13" x14ac:dyDescent="0.3">
      <c r="A79" s="37"/>
      <c r="L79" s="92"/>
      <c r="O79" s="44"/>
    </row>
    <row r="80" spans="1:16" ht="13" x14ac:dyDescent="0.3">
      <c r="A80" s="37"/>
      <c r="B80" s="34" t="s">
        <v>107</v>
      </c>
      <c r="L80" s="49"/>
      <c r="M80" s="44"/>
      <c r="N80" s="44"/>
    </row>
    <row r="81" spans="1:12" ht="13" x14ac:dyDescent="0.3">
      <c r="A81" s="37"/>
      <c r="C81" s="34" t="s">
        <v>108</v>
      </c>
      <c r="L81" s="43"/>
    </row>
    <row r="82" spans="1:12" ht="13" x14ac:dyDescent="0.3">
      <c r="A82" s="37"/>
      <c r="J82" s="37" t="s">
        <v>109</v>
      </c>
    </row>
    <row r="83" spans="1:12" ht="13" x14ac:dyDescent="0.3">
      <c r="A83" s="37"/>
      <c r="E83" s="41" t="s">
        <v>110</v>
      </c>
      <c r="F83" s="40" t="s">
        <v>96</v>
      </c>
      <c r="G83" s="41" t="s">
        <v>111</v>
      </c>
      <c r="H83" s="41" t="s">
        <v>112</v>
      </c>
      <c r="J83" s="41" t="s">
        <v>113</v>
      </c>
    </row>
    <row r="84" spans="1:12" ht="13" x14ac:dyDescent="0.3">
      <c r="B84" s="61" t="s">
        <v>114</v>
      </c>
      <c r="C84" s="34" t="s">
        <v>115</v>
      </c>
      <c r="E84" s="170">
        <v>0.10299999999999999</v>
      </c>
      <c r="F84" s="34" t="s">
        <v>118</v>
      </c>
      <c r="G84" s="79">
        <v>43831</v>
      </c>
      <c r="H84" s="79">
        <v>44196</v>
      </c>
      <c r="J84" s="171">
        <v>365</v>
      </c>
    </row>
    <row r="85" spans="1:12" ht="13" x14ac:dyDescent="0.3">
      <c r="B85" s="61" t="s">
        <v>116</v>
      </c>
      <c r="C85" s="34" t="s">
        <v>117</v>
      </c>
      <c r="E85" s="170"/>
      <c r="F85" s="34" t="s">
        <v>147</v>
      </c>
      <c r="G85" s="79"/>
      <c r="H85" s="79"/>
      <c r="J85" s="171"/>
    </row>
    <row r="86" spans="1:12" ht="13" x14ac:dyDescent="0.3">
      <c r="B86" s="61" t="s">
        <v>119</v>
      </c>
      <c r="E86" s="64"/>
      <c r="G86" s="65"/>
      <c r="H86" s="65"/>
      <c r="I86" s="53" t="s">
        <v>120</v>
      </c>
      <c r="J86" s="67">
        <f>SUM(J84:J85)</f>
        <v>365</v>
      </c>
    </row>
    <row r="87" spans="1:12" ht="13" x14ac:dyDescent="0.3">
      <c r="B87" s="61" t="s">
        <v>121</v>
      </c>
      <c r="C87" s="34" t="s">
        <v>122</v>
      </c>
      <c r="E87" s="62">
        <f>((E84*J84) + (E85* J85)) / J86</f>
        <v>0.10299999999999999</v>
      </c>
      <c r="F87" s="34" t="s">
        <v>123</v>
      </c>
    </row>
    <row r="88" spans="1:12" ht="13" x14ac:dyDescent="0.3">
      <c r="A88" s="37"/>
    </row>
    <row r="89" spans="1:12" ht="13" x14ac:dyDescent="0.3">
      <c r="A89" s="37"/>
      <c r="B89" s="34" t="s">
        <v>124</v>
      </c>
    </row>
    <row r="90" spans="1:12" ht="13" x14ac:dyDescent="0.3">
      <c r="A90" s="37"/>
      <c r="E90" s="40" t="s">
        <v>96</v>
      </c>
    </row>
    <row r="91" spans="1:12" ht="13" x14ac:dyDescent="0.3">
      <c r="B91" s="61" t="s">
        <v>125</v>
      </c>
      <c r="C91" s="34" t="s">
        <v>126</v>
      </c>
      <c r="E91" s="172" t="s">
        <v>167</v>
      </c>
      <c r="F91" s="63"/>
      <c r="G91" s="63"/>
      <c r="H91" s="63"/>
      <c r="I91" s="63"/>
      <c r="J91" s="63"/>
    </row>
    <row r="92" spans="1:12" ht="13" x14ac:dyDescent="0.3">
      <c r="B92" s="61" t="s">
        <v>127</v>
      </c>
      <c r="C92" s="34" t="s">
        <v>128</v>
      </c>
      <c r="E92" s="172" t="s">
        <v>168</v>
      </c>
      <c r="F92" s="63"/>
      <c r="G92" s="63"/>
      <c r="H92" s="63"/>
      <c r="I92" s="63"/>
      <c r="J92" s="63"/>
    </row>
    <row r="93" spans="1:12" x14ac:dyDescent="0.25">
      <c r="E93" s="65"/>
    </row>
    <row r="94" spans="1:12" ht="13" x14ac:dyDescent="0.3">
      <c r="E94" s="41" t="s">
        <v>110</v>
      </c>
      <c r="F94" s="40" t="s">
        <v>96</v>
      </c>
    </row>
    <row r="95" spans="1:12" ht="13" x14ac:dyDescent="0.3">
      <c r="B95" s="61" t="s">
        <v>129</v>
      </c>
      <c r="C95" s="34" t="s">
        <v>130</v>
      </c>
      <c r="E95" s="173">
        <v>2.0688402678787333E-2</v>
      </c>
      <c r="F95" s="34" t="s">
        <v>320</v>
      </c>
    </row>
    <row r="96" spans="1:12" ht="13" x14ac:dyDescent="0.3">
      <c r="B96" s="61" t="s">
        <v>131</v>
      </c>
      <c r="C96" s="34" t="s">
        <v>132</v>
      </c>
      <c r="E96" s="173">
        <v>3.4661826053399079E-3</v>
      </c>
      <c r="F96" s="34" t="s">
        <v>321</v>
      </c>
    </row>
    <row r="97" spans="1:10" ht="13" x14ac:dyDescent="0.3">
      <c r="B97" s="61" t="s">
        <v>133</v>
      </c>
      <c r="C97" s="34" t="s">
        <v>134</v>
      </c>
      <c r="E97" s="174">
        <v>4.8924999999999996E-2</v>
      </c>
      <c r="F97" s="34" t="s">
        <v>322</v>
      </c>
    </row>
    <row r="98" spans="1:10" ht="13" x14ac:dyDescent="0.3">
      <c r="B98" s="37" t="s">
        <v>135</v>
      </c>
      <c r="C98" s="39" t="s">
        <v>68</v>
      </c>
      <c r="E98" s="173">
        <f>SUM(E95:E97)</f>
        <v>7.3079585284127238E-2</v>
      </c>
      <c r="F98" s="43" t="str">
        <f>"Sum of Lines "&amp;B95&amp;" to "&amp;B97&amp;""</f>
        <v>Sum of Lines g to i</v>
      </c>
      <c r="G98" s="67"/>
      <c r="J98" s="68"/>
    </row>
    <row r="99" spans="1:10" ht="13" x14ac:dyDescent="0.3">
      <c r="A99" s="37"/>
      <c r="C99" s="69"/>
      <c r="D99" s="70"/>
      <c r="E99" s="43"/>
      <c r="F99" s="43"/>
      <c r="G99" s="67"/>
      <c r="H99" s="43"/>
      <c r="J99" s="68"/>
    </row>
    <row r="100" spans="1:10" ht="13" x14ac:dyDescent="0.3">
      <c r="A100" s="37"/>
      <c r="B100" s="34" t="s">
        <v>136</v>
      </c>
    </row>
    <row r="101" spans="1:10" ht="13" x14ac:dyDescent="0.3">
      <c r="A101" s="37"/>
    </row>
    <row r="102" spans="1:10" ht="13" x14ac:dyDescent="0.3">
      <c r="A102" s="37"/>
      <c r="E102" s="41" t="s">
        <v>110</v>
      </c>
      <c r="F102" s="40" t="s">
        <v>96</v>
      </c>
    </row>
    <row r="103" spans="1:10" ht="13" x14ac:dyDescent="0.3">
      <c r="B103" s="61" t="s">
        <v>137</v>
      </c>
      <c r="E103" s="173">
        <f>E96+E97</f>
        <v>5.2391182605339905E-2</v>
      </c>
      <c r="F103" s="43" t="str">
        <f>"Sum of Lines "&amp;B96&amp;" to "&amp;B97&amp;""</f>
        <v>Sum of Lines h to i</v>
      </c>
    </row>
    <row r="104" spans="1:10" ht="13" x14ac:dyDescent="0.3">
      <c r="A104" s="37"/>
      <c r="E104" s="51"/>
      <c r="F104" s="43"/>
    </row>
    <row r="105" spans="1:10" ht="13" x14ac:dyDescent="0.3">
      <c r="A105" s="37"/>
      <c r="B105" s="38" t="s">
        <v>152</v>
      </c>
      <c r="E105" s="67"/>
      <c r="F105" s="67"/>
      <c r="G105" s="67"/>
      <c r="H105" s="43"/>
    </row>
    <row r="106" spans="1:10" ht="13" x14ac:dyDescent="0.3">
      <c r="A106" s="37"/>
      <c r="B106" s="34" t="s">
        <v>153</v>
      </c>
    </row>
    <row r="107" spans="1:10" ht="13" x14ac:dyDescent="0.3">
      <c r="A107" s="37"/>
      <c r="B107" s="39" t="s">
        <v>169</v>
      </c>
      <c r="D107" s="37"/>
      <c r="E107" s="37"/>
      <c r="F107" s="37"/>
      <c r="G107" s="37"/>
      <c r="H107" s="37"/>
    </row>
    <row r="108" spans="1:10" ht="13" x14ac:dyDescent="0.3">
      <c r="A108" s="37"/>
      <c r="B108" s="42"/>
      <c r="D108" s="37"/>
      <c r="E108" s="37"/>
      <c r="F108" s="37"/>
      <c r="G108" s="37"/>
      <c r="H108" s="37"/>
    </row>
    <row r="109" spans="1:10" ht="13" x14ac:dyDescent="0.3">
      <c r="A109" s="37"/>
      <c r="C109" s="71"/>
      <c r="D109" s="71"/>
      <c r="E109" s="41"/>
      <c r="F109" s="41"/>
      <c r="G109" s="41"/>
      <c r="H109" s="41"/>
    </row>
    <row r="110" spans="1:10" ht="13" x14ac:dyDescent="0.3">
      <c r="A110" s="37"/>
    </row>
    <row r="111" spans="1:10" ht="13" x14ac:dyDescent="0.3">
      <c r="A111" s="37"/>
    </row>
    <row r="112" spans="1:10" ht="13" x14ac:dyDescent="0.3">
      <c r="A112" s="37"/>
    </row>
    <row r="113" spans="1:10" ht="13" x14ac:dyDescent="0.3">
      <c r="A113" s="37"/>
      <c r="C113" s="69"/>
      <c r="E113" s="43"/>
      <c r="F113" s="43"/>
      <c r="H113" s="43"/>
      <c r="J113" s="68"/>
    </row>
    <row r="114" spans="1:10" ht="13" x14ac:dyDescent="0.3">
      <c r="A114" s="37"/>
      <c r="C114" s="69"/>
      <c r="E114" s="43"/>
      <c r="F114" s="43"/>
      <c r="H114" s="43"/>
      <c r="J114" s="68"/>
    </row>
    <row r="115" spans="1:10" ht="13" x14ac:dyDescent="0.3">
      <c r="A115" s="38"/>
      <c r="C115" s="69"/>
      <c r="E115" s="43"/>
      <c r="F115" s="43"/>
      <c r="H115" s="43"/>
      <c r="J115" s="68"/>
    </row>
    <row r="116" spans="1:10" ht="13" x14ac:dyDescent="0.3">
      <c r="A116" s="37"/>
      <c r="D116" s="72"/>
      <c r="E116" s="43"/>
      <c r="F116" s="43"/>
      <c r="H116" s="43"/>
      <c r="J116" s="68"/>
    </row>
    <row r="117" spans="1:10" ht="13" x14ac:dyDescent="0.3">
      <c r="A117" s="37"/>
      <c r="C117" s="69"/>
      <c r="D117" s="53"/>
      <c r="E117" s="49"/>
      <c r="F117" s="43"/>
      <c r="H117" s="43"/>
      <c r="J117" s="68"/>
    </row>
    <row r="118" spans="1:10" ht="13" x14ac:dyDescent="0.3">
      <c r="A118" s="37"/>
      <c r="C118" s="69"/>
      <c r="D118" s="53"/>
      <c r="E118" s="43"/>
      <c r="F118" s="43"/>
      <c r="H118" s="43"/>
      <c r="J118" s="68"/>
    </row>
    <row r="119" spans="1:10" ht="13" x14ac:dyDescent="0.3">
      <c r="A119" s="37"/>
    </row>
    <row r="120" spans="1:10" ht="13" x14ac:dyDescent="0.3">
      <c r="A120" s="37"/>
      <c r="B120" s="33"/>
    </row>
    <row r="121" spans="1:10" ht="13" x14ac:dyDescent="0.3">
      <c r="A121" s="37"/>
    </row>
    <row r="122" spans="1:10" ht="13" x14ac:dyDescent="0.3">
      <c r="A122" s="37"/>
    </row>
    <row r="123" spans="1:10" ht="13" x14ac:dyDescent="0.3">
      <c r="A123" s="37"/>
      <c r="F123" s="37"/>
    </row>
    <row r="124" spans="1:10" ht="13" x14ac:dyDescent="0.3">
      <c r="A124" s="37"/>
      <c r="F124" s="37"/>
    </row>
    <row r="125" spans="1:10" ht="13" x14ac:dyDescent="0.3">
      <c r="A125" s="37"/>
      <c r="D125" s="37"/>
      <c r="E125" s="37"/>
      <c r="F125" s="37"/>
      <c r="H125" s="37"/>
    </row>
    <row r="126" spans="1:10" ht="13" x14ac:dyDescent="0.3">
      <c r="A126" s="37"/>
      <c r="D126" s="37"/>
      <c r="E126" s="37"/>
      <c r="F126" s="37"/>
      <c r="G126" s="37"/>
      <c r="H126" s="61"/>
    </row>
    <row r="127" spans="1:10" ht="13" x14ac:dyDescent="0.3">
      <c r="A127" s="38"/>
      <c r="C127" s="71"/>
      <c r="D127" s="71"/>
      <c r="E127" s="41"/>
      <c r="F127" s="73"/>
      <c r="G127" s="41"/>
      <c r="H127" s="61"/>
    </row>
    <row r="128" spans="1:10" ht="13" x14ac:dyDescent="0.3">
      <c r="A128" s="37"/>
      <c r="C128" s="69"/>
      <c r="D128" s="70"/>
      <c r="E128" s="43"/>
      <c r="F128" s="43"/>
      <c r="G128" s="62"/>
      <c r="H128" s="43"/>
    </row>
    <row r="129" spans="1:8" ht="13" x14ac:dyDescent="0.3">
      <c r="A129" s="37"/>
      <c r="C129" s="69"/>
      <c r="D129" s="70"/>
      <c r="E129" s="43"/>
      <c r="F129" s="43"/>
      <c r="G129" s="62"/>
      <c r="H129" s="43"/>
    </row>
    <row r="130" spans="1:8" ht="13" x14ac:dyDescent="0.3">
      <c r="A130" s="37"/>
      <c r="C130" s="69"/>
      <c r="D130" s="70"/>
      <c r="E130" s="43"/>
      <c r="F130" s="43"/>
      <c r="G130" s="62"/>
      <c r="H130" s="43"/>
    </row>
    <row r="131" spans="1:8" ht="13" x14ac:dyDescent="0.3">
      <c r="A131" s="37"/>
      <c r="C131" s="69"/>
      <c r="D131" s="70"/>
      <c r="E131" s="43"/>
      <c r="F131" s="43"/>
      <c r="G131" s="62"/>
      <c r="H131" s="43"/>
    </row>
    <row r="132" spans="1:8" ht="13" x14ac:dyDescent="0.3">
      <c r="A132" s="37"/>
      <c r="C132" s="69"/>
      <c r="D132" s="70"/>
      <c r="E132" s="43"/>
      <c r="F132" s="43"/>
      <c r="G132" s="62"/>
      <c r="H132" s="43"/>
    </row>
    <row r="133" spans="1:8" ht="13" x14ac:dyDescent="0.3">
      <c r="A133" s="37"/>
      <c r="C133" s="69"/>
      <c r="D133" s="70"/>
      <c r="E133" s="43"/>
      <c r="F133" s="43"/>
      <c r="G133" s="62"/>
      <c r="H133" s="43"/>
    </row>
    <row r="134" spans="1:8" ht="13" x14ac:dyDescent="0.3">
      <c r="A134" s="37"/>
      <c r="C134" s="69"/>
      <c r="D134" s="70"/>
      <c r="E134" s="43"/>
      <c r="F134" s="43"/>
      <c r="G134" s="62"/>
      <c r="H134" s="43"/>
    </row>
    <row r="135" spans="1:8" ht="13" x14ac:dyDescent="0.3">
      <c r="A135" s="37"/>
      <c r="C135" s="69"/>
      <c r="D135" s="70"/>
      <c r="E135" s="43"/>
      <c r="F135" s="43"/>
      <c r="G135" s="62"/>
      <c r="H135" s="43"/>
    </row>
    <row r="136" spans="1:8" ht="13" x14ac:dyDescent="0.3">
      <c r="A136" s="37"/>
      <c r="C136" s="69"/>
      <c r="D136" s="70"/>
      <c r="E136" s="43"/>
      <c r="F136" s="43"/>
      <c r="G136" s="62"/>
      <c r="H136" s="43"/>
    </row>
    <row r="137" spans="1:8" ht="13" x14ac:dyDescent="0.3">
      <c r="A137" s="37"/>
      <c r="C137" s="69"/>
      <c r="D137" s="70"/>
      <c r="E137" s="43"/>
      <c r="F137" s="43"/>
      <c r="G137" s="62"/>
      <c r="H137" s="43"/>
    </row>
    <row r="138" spans="1:8" ht="13" x14ac:dyDescent="0.3">
      <c r="A138" s="37"/>
      <c r="C138" s="69"/>
      <c r="D138" s="70"/>
      <c r="E138" s="43"/>
      <c r="F138" s="43"/>
      <c r="G138" s="62"/>
      <c r="H138" s="43"/>
    </row>
    <row r="139" spans="1:8" ht="13" x14ac:dyDescent="0.3">
      <c r="A139" s="37"/>
      <c r="C139" s="69"/>
      <c r="D139" s="70"/>
      <c r="E139" s="43"/>
      <c r="F139" s="43"/>
      <c r="G139" s="62"/>
      <c r="H139" s="49"/>
    </row>
    <row r="140" spans="1:8" ht="13" x14ac:dyDescent="0.3">
      <c r="A140" s="37"/>
      <c r="H140" s="43"/>
    </row>
    <row r="141" spans="1:8" ht="13" x14ac:dyDescent="0.3">
      <c r="A141" s="37"/>
      <c r="C141" s="69"/>
      <c r="D141" s="70"/>
      <c r="F141" s="74"/>
      <c r="G141" s="62"/>
      <c r="H141" s="74"/>
    </row>
    <row r="142" spans="1:8" ht="13" x14ac:dyDescent="0.3">
      <c r="A142" s="37"/>
      <c r="B142" s="33"/>
      <c r="C142" s="69"/>
      <c r="D142" s="70"/>
      <c r="F142" s="74"/>
      <c r="G142" s="62"/>
      <c r="H142" s="74"/>
    </row>
    <row r="143" spans="1:8" ht="13" x14ac:dyDescent="0.3">
      <c r="A143" s="38"/>
      <c r="B143" s="33"/>
      <c r="C143" s="69"/>
      <c r="D143" s="70"/>
      <c r="F143" s="74"/>
      <c r="G143" s="62"/>
      <c r="H143" s="74"/>
    </row>
    <row r="144" spans="1:8" ht="13" x14ac:dyDescent="0.3">
      <c r="A144" s="37"/>
      <c r="C144" s="69"/>
      <c r="D144" s="75"/>
      <c r="E144" s="43"/>
      <c r="F144" s="76"/>
      <c r="G144" s="62"/>
      <c r="H144" s="74"/>
    </row>
    <row r="145" spans="1:8" ht="13" x14ac:dyDescent="0.3">
      <c r="A145" s="37"/>
      <c r="C145" s="69"/>
      <c r="D145" s="53"/>
      <c r="E145" s="43"/>
      <c r="F145" s="76"/>
      <c r="G145" s="62"/>
      <c r="H145" s="74"/>
    </row>
    <row r="146" spans="1:8" ht="13" x14ac:dyDescent="0.3">
      <c r="A146" s="37"/>
      <c r="C146" s="69"/>
      <c r="D146" s="53"/>
      <c r="E146" s="49"/>
      <c r="F146" s="76"/>
      <c r="G146" s="62"/>
      <c r="H146" s="74"/>
    </row>
    <row r="147" spans="1:8" ht="13" x14ac:dyDescent="0.3">
      <c r="A147" s="37"/>
      <c r="C147" s="69"/>
      <c r="D147" s="75"/>
      <c r="E147" s="43"/>
      <c r="F147" s="74"/>
      <c r="G147" s="62"/>
      <c r="H147" s="74"/>
    </row>
    <row r="148" spans="1:8" ht="13" x14ac:dyDescent="0.3">
      <c r="A148" s="37"/>
      <c r="C148" s="69"/>
      <c r="D148" s="70"/>
      <c r="F148" s="74"/>
      <c r="G148" s="62"/>
      <c r="H148" s="74"/>
    </row>
    <row r="149" spans="1:8" ht="13" x14ac:dyDescent="0.3">
      <c r="A149" s="37"/>
    </row>
    <row r="150" spans="1:8" ht="13" x14ac:dyDescent="0.3">
      <c r="A150" s="37"/>
    </row>
    <row r="151" spans="1:8" ht="13" x14ac:dyDescent="0.3">
      <c r="A151" s="37"/>
    </row>
    <row r="152" spans="1:8" ht="13" x14ac:dyDescent="0.3">
      <c r="A152" s="37"/>
      <c r="B152" s="33"/>
    </row>
    <row r="153" spans="1:8" ht="13" x14ac:dyDescent="0.3">
      <c r="A153" s="37"/>
    </row>
    <row r="154" spans="1:8" ht="13" x14ac:dyDescent="0.3">
      <c r="A154" s="37"/>
    </row>
    <row r="155" spans="1:8" ht="13" x14ac:dyDescent="0.3">
      <c r="A155" s="37"/>
    </row>
    <row r="156" spans="1:8" ht="13" x14ac:dyDescent="0.3">
      <c r="A156" s="37"/>
    </row>
    <row r="157" spans="1:8" ht="13" x14ac:dyDescent="0.3">
      <c r="A157" s="37"/>
      <c r="B157" s="33"/>
    </row>
    <row r="158" spans="1:8" ht="13" x14ac:dyDescent="0.3">
      <c r="A158" s="37"/>
    </row>
    <row r="159" spans="1:8" ht="13" x14ac:dyDescent="0.3">
      <c r="A159" s="38"/>
      <c r="C159" s="71"/>
      <c r="D159" s="41"/>
    </row>
    <row r="160" spans="1:8" ht="13" x14ac:dyDescent="0.3">
      <c r="A160" s="37"/>
      <c r="C160" s="69"/>
      <c r="D160" s="77"/>
      <c r="F160" s="51"/>
    </row>
    <row r="161" spans="1:6" ht="13" x14ac:dyDescent="0.3">
      <c r="A161" s="37"/>
      <c r="C161" s="69"/>
      <c r="D161" s="77"/>
      <c r="F161" s="51"/>
    </row>
    <row r="162" spans="1:6" ht="13" x14ac:dyDescent="0.3">
      <c r="A162" s="37"/>
      <c r="C162" s="69"/>
      <c r="D162" s="77"/>
      <c r="F162" s="51"/>
    </row>
    <row r="163" spans="1:6" ht="13" x14ac:dyDescent="0.3">
      <c r="A163" s="37"/>
      <c r="C163" s="69"/>
      <c r="D163" s="77"/>
      <c r="F163" s="51"/>
    </row>
    <row r="164" spans="1:6" ht="13" x14ac:dyDescent="0.3">
      <c r="A164" s="37"/>
      <c r="C164" s="69"/>
      <c r="D164" s="77"/>
      <c r="F164" s="51"/>
    </row>
    <row r="165" spans="1:6" ht="13" x14ac:dyDescent="0.3">
      <c r="A165" s="37"/>
      <c r="C165" s="69"/>
      <c r="D165" s="77"/>
      <c r="F165" s="51"/>
    </row>
    <row r="166" spans="1:6" ht="13" x14ac:dyDescent="0.3">
      <c r="A166" s="37"/>
      <c r="C166" s="69"/>
      <c r="D166" s="77"/>
      <c r="F166" s="51"/>
    </row>
    <row r="167" spans="1:6" ht="13" x14ac:dyDescent="0.3">
      <c r="A167" s="37"/>
      <c r="C167" s="69"/>
      <c r="D167" s="77"/>
      <c r="F167" s="51"/>
    </row>
    <row r="168" spans="1:6" ht="13" x14ac:dyDescent="0.3">
      <c r="A168" s="37"/>
      <c r="C168" s="69"/>
      <c r="D168" s="77"/>
      <c r="F168" s="51"/>
    </row>
    <row r="169" spans="1:6" ht="13" x14ac:dyDescent="0.3">
      <c r="A169" s="37"/>
      <c r="C169" s="69"/>
      <c r="D169" s="77"/>
      <c r="F169" s="51"/>
    </row>
    <row r="170" spans="1:6" ht="13" x14ac:dyDescent="0.3">
      <c r="A170" s="37"/>
      <c r="C170" s="69"/>
      <c r="D170" s="77"/>
      <c r="F170" s="51"/>
    </row>
    <row r="171" spans="1:6" ht="13" x14ac:dyDescent="0.3">
      <c r="A171" s="37"/>
      <c r="C171" s="69"/>
      <c r="D171" s="78"/>
      <c r="F171" s="66"/>
    </row>
    <row r="172" spans="1:6" ht="13" x14ac:dyDescent="0.3">
      <c r="A172" s="37"/>
      <c r="C172" s="72"/>
      <c r="D172" s="77"/>
    </row>
  </sheetData>
  <mergeCells count="3">
    <mergeCell ref="K71:M71"/>
    <mergeCell ref="M76:P76"/>
    <mergeCell ref="M75:P75"/>
  </mergeCells>
  <pageMargins left="0.75" right="0.75" top="1" bottom="1" header="0.5" footer="0.5"/>
  <pageSetup scale="64" orientation="landscape" cellComments="asDisplayed" r:id="rId1"/>
  <headerFooter alignWithMargins="0">
    <oddHeader>&amp;CSchedule 4
True Up TRR
(Revised 2020 True Up TRR)&amp;RTO2023 Draft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One Time Adj Explanation</vt:lpstr>
      <vt:lpstr>WP-Total Adj with Int</vt:lpstr>
      <vt:lpstr>WP-2019 True Up TRR Adj</vt:lpstr>
      <vt:lpstr>WP-2019 TO2018 Sch4-TUTRR</vt:lpstr>
      <vt:lpstr>WP-2019 TO2018 Sch20-AandG</vt:lpstr>
      <vt:lpstr>WP-2019 TO2021 Sch4-TUTRR</vt:lpstr>
      <vt:lpstr>WP-2019 TO2021 Sch20-AandG</vt:lpstr>
      <vt:lpstr>WP-2020 True Up TRR Adj</vt:lpstr>
      <vt:lpstr>WP-2020 Sch4-TUTRR</vt:lpstr>
      <vt:lpstr>WP-2020 Sch20-AandG</vt:lpstr>
      <vt:lpstr>WP-2020 Sch21-RevenueCredits</vt:lpstr>
      <vt:lpstr>WP-2020 Sch28-FFU</vt:lpstr>
      <vt:lpstr>'One Time Adj Explanation'!Print_Area</vt:lpstr>
      <vt:lpstr>'WP-2019 TO2018 Sch20-AandG'!Print_Area</vt:lpstr>
      <vt:lpstr>'WP-2019 TO2018 Sch4-TUTRR'!Print_Area</vt:lpstr>
      <vt:lpstr>'WP-2019 TO2021 Sch20-AandG'!Print_Area</vt:lpstr>
      <vt:lpstr>'WP-2019 TO2021 Sch4-TUTRR'!Print_Area</vt:lpstr>
      <vt:lpstr>'WP-2019 True Up TRR Adj'!Print_Area</vt:lpstr>
      <vt:lpstr>'WP-2020 Sch20-AandG'!Print_Area</vt:lpstr>
      <vt:lpstr>'WP-2020 Sch21-RevenueCredits'!Print_Area</vt:lpstr>
      <vt:lpstr>'WP-2020 Sch28-FFU'!Print_Area</vt:lpstr>
      <vt:lpstr>'WP-2020 Sch4-TUTRR'!Print_Area</vt:lpstr>
      <vt:lpstr>'WP-2020 True Up TRR Adj'!Print_Area</vt:lpstr>
      <vt:lpstr>'WP-Total Adj with Int'!Print_Area</vt:lpstr>
      <vt:lpstr>'WP-2020 Sch21-RevenueCredits'!Print_Titles</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2022-06-03T00:06:24Z</cp:lastPrinted>
  <dcterms:created xsi:type="dcterms:W3CDTF">2009-02-27T16:01:11Z</dcterms:created>
  <dcterms:modified xsi:type="dcterms:W3CDTF">2022-06-10T18:39:54Z</dcterms:modified>
</cp:coreProperties>
</file>